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7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Rockfish_SF_mortality\BBs_last_go_from_fbiv_folder\HarvRelEst\"/>
    </mc:Choice>
  </mc:AlternateContent>
  <xr:revisionPtr revIDLastSave="0" documentId="13_ncr:1_{5ED67BCC-FF64-4F5C-8ED3-F1A9AA022D76}" xr6:coauthVersionLast="47" xr6:coauthVersionMax="47" xr10:uidLastSave="{00000000-0000-0000-0000-000000000000}"/>
  <bookViews>
    <workbookView xWindow="-120" yWindow="-120" windowWidth="29040" windowHeight="15840" tabRatio="837" firstSheet="3" activeTab="7" xr2:uid="{A093FB95-EA4F-495F-9C78-120B75CA432D}"/>
  </bookViews>
  <sheets>
    <sheet name="instructions" sheetId="1" r:id="rId1"/>
    <sheet name="rockfish harvests" sheetId="2" r:id="rId2"/>
    <sheet name="rf harv figs" sheetId="14" r:id="rId3"/>
    <sheet name="BRF harvest" sheetId="4" r:id="rId4"/>
    <sheet name="brf harv figs" sheetId="15" r:id="rId5"/>
    <sheet name="YE harvest" sheetId="6" r:id="rId6"/>
    <sheet name="ye harv figs" sheetId="16" r:id="rId7"/>
    <sheet name="DSR harvest" sheetId="20" r:id="rId8"/>
    <sheet name="Slope harvest" sheetId="22" r:id="rId9"/>
    <sheet name="RF harv Kodiak" sheetId="11" r:id="rId10"/>
    <sheet name="RF harv Central" sheetId="18" r:id="rId11"/>
    <sheet name="RF harv SEAK" sheetId="19" r:id="rId12"/>
    <sheet name="SEAK est vs SWHS" sheetId="12" r:id="rId13"/>
    <sheet name="logbook v guiSWHS" sheetId="10" r:id="rId14"/>
    <sheet name="log vs totalSWHS" sheetId="13" r:id="rId15"/>
  </sheets>
  <externalReferences>
    <externalReference r:id="rId16"/>
    <externalReference r:id="rId17"/>
  </externalReferences>
  <definedNames>
    <definedName name="_xlnm._FilterDatabase" localSheetId="3" hidden="1">'BRF harvest'!$A$2:$AC$377</definedName>
    <definedName name="_xlnm._FilterDatabase" localSheetId="7" hidden="1">'DSR harvest'!$A$2:$AD$369</definedName>
    <definedName name="_xlnm._FilterDatabase" localSheetId="1" hidden="1">'rockfish harvests'!$A$1:$Y$376</definedName>
    <definedName name="_xlnm._FilterDatabase" localSheetId="8" hidden="1">'Slope harvest'!$A$2:$AD$368</definedName>
    <definedName name="_xlnm._FilterDatabase" localSheetId="5" hidden="1">'YE harvest'!$A$2:$AG$377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9" l="1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 s="1"/>
  <c r="Q84" i="19" s="1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 s="1"/>
  <c r="P326" i="4" l="1"/>
  <c r="O326" i="4"/>
  <c r="R368" i="22" l="1"/>
  <c r="S368" i="22" s="1"/>
  <c r="Q368" i="22"/>
  <c r="N368" i="22"/>
  <c r="M368" i="22"/>
  <c r="D368" i="22"/>
  <c r="E368" i="22"/>
  <c r="I368" i="22" s="1"/>
  <c r="R343" i="22"/>
  <c r="Q343" i="22"/>
  <c r="N343" i="22"/>
  <c r="M343" i="22"/>
  <c r="D343" i="22"/>
  <c r="E343" i="22"/>
  <c r="I343" i="22" s="1"/>
  <c r="R293" i="22"/>
  <c r="Q293" i="22"/>
  <c r="N293" i="22"/>
  <c r="M293" i="22"/>
  <c r="D293" i="22"/>
  <c r="E293" i="22"/>
  <c r="I293" i="22" s="1"/>
  <c r="R318" i="22"/>
  <c r="S318" i="22" s="1"/>
  <c r="Q318" i="22"/>
  <c r="R268" i="22"/>
  <c r="S268" i="22" s="1"/>
  <c r="Q268" i="22"/>
  <c r="O317" i="22"/>
  <c r="P317" i="22"/>
  <c r="G317" i="22"/>
  <c r="I318" i="22"/>
  <c r="F317" i="22"/>
  <c r="H318" i="22"/>
  <c r="N318" i="22"/>
  <c r="M318" i="22"/>
  <c r="N268" i="22"/>
  <c r="M268" i="22"/>
  <c r="F267" i="22"/>
  <c r="G267" i="22"/>
  <c r="F268" i="22"/>
  <c r="G268" i="22"/>
  <c r="D318" i="22"/>
  <c r="E318" i="22"/>
  <c r="F268" i="20"/>
  <c r="G268" i="20"/>
  <c r="F269" i="20"/>
  <c r="G269" i="20"/>
  <c r="D268" i="22"/>
  <c r="E268" i="22"/>
  <c r="R243" i="22"/>
  <c r="Q243" i="22"/>
  <c r="N243" i="22"/>
  <c r="M243" i="22"/>
  <c r="D243" i="22"/>
  <c r="E243" i="22"/>
  <c r="I243" i="22" s="1"/>
  <c r="A368" i="22"/>
  <c r="B368" i="22"/>
  <c r="C368" i="22"/>
  <c r="A343" i="22"/>
  <c r="B343" i="22"/>
  <c r="C343" i="22"/>
  <c r="A318" i="22"/>
  <c r="B318" i="22"/>
  <c r="C318" i="22"/>
  <c r="A293" i="22"/>
  <c r="B293" i="22"/>
  <c r="C293" i="22"/>
  <c r="A268" i="22"/>
  <c r="B268" i="22"/>
  <c r="C268" i="22"/>
  <c r="R369" i="20"/>
  <c r="S369" i="20" s="1"/>
  <c r="Q369" i="20"/>
  <c r="N369" i="20"/>
  <c r="M369" i="20"/>
  <c r="D369" i="20"/>
  <c r="E369" i="20"/>
  <c r="I369" i="20" s="1"/>
  <c r="R344" i="20"/>
  <c r="Q344" i="20"/>
  <c r="N344" i="20"/>
  <c r="M344" i="20"/>
  <c r="D344" i="20"/>
  <c r="E344" i="20"/>
  <c r="I344" i="20" s="1"/>
  <c r="R319" i="20"/>
  <c r="Q319" i="20"/>
  <c r="N319" i="20"/>
  <c r="M319" i="20"/>
  <c r="D319" i="20"/>
  <c r="E319" i="20"/>
  <c r="H319" i="20" s="1"/>
  <c r="R294" i="20"/>
  <c r="S294" i="20" s="1"/>
  <c r="Q294" i="20"/>
  <c r="M294" i="20"/>
  <c r="N294" i="20"/>
  <c r="D294" i="20"/>
  <c r="E294" i="20"/>
  <c r="I294" i="20" s="1"/>
  <c r="R269" i="20"/>
  <c r="S269" i="20" s="1"/>
  <c r="Q269" i="20"/>
  <c r="M269" i="20"/>
  <c r="N269" i="20"/>
  <c r="D269" i="20"/>
  <c r="E269" i="20"/>
  <c r="I269" i="20" s="1"/>
  <c r="Q244" i="20"/>
  <c r="R244" i="20"/>
  <c r="N244" i="20"/>
  <c r="M244" i="20"/>
  <c r="D244" i="20"/>
  <c r="E244" i="20"/>
  <c r="H244" i="20" s="1"/>
  <c r="C344" i="20"/>
  <c r="A344" i="20"/>
  <c r="U377" i="6"/>
  <c r="V377" i="6" s="1"/>
  <c r="W377" i="6" s="1"/>
  <c r="T377" i="6"/>
  <c r="I377" i="6"/>
  <c r="J377" i="6"/>
  <c r="K377" i="6" s="1"/>
  <c r="L377" i="6" s="1"/>
  <c r="N377" i="6"/>
  <c r="O377" i="6"/>
  <c r="D377" i="6"/>
  <c r="T352" i="6"/>
  <c r="U352" i="6"/>
  <c r="V352" i="6" s="1"/>
  <c r="W352" i="6" s="1"/>
  <c r="N352" i="6"/>
  <c r="O352" i="6"/>
  <c r="I352" i="6"/>
  <c r="J352" i="6"/>
  <c r="K352" i="6" s="1"/>
  <c r="L352" i="6" s="1"/>
  <c r="D352" i="6"/>
  <c r="T327" i="6"/>
  <c r="U327" i="6"/>
  <c r="V327" i="6" s="1"/>
  <c r="W327" i="6" s="1"/>
  <c r="N327" i="6"/>
  <c r="O327" i="6"/>
  <c r="I327" i="6"/>
  <c r="J327" i="6"/>
  <c r="K327" i="6" s="1"/>
  <c r="L327" i="6" s="1"/>
  <c r="D327" i="6"/>
  <c r="T302" i="6"/>
  <c r="U302" i="6"/>
  <c r="V302" i="6" s="1"/>
  <c r="W302" i="6" s="1"/>
  <c r="N302" i="6"/>
  <c r="O302" i="6"/>
  <c r="I302" i="6"/>
  <c r="J302" i="6"/>
  <c r="K302" i="6" s="1"/>
  <c r="L302" i="6" s="1"/>
  <c r="D302" i="6"/>
  <c r="T277" i="6"/>
  <c r="U277" i="6"/>
  <c r="N277" i="6"/>
  <c r="O277" i="6"/>
  <c r="I277" i="6"/>
  <c r="D277" i="6"/>
  <c r="J277" i="6"/>
  <c r="K277" i="6" s="1"/>
  <c r="L277" i="6" s="1"/>
  <c r="T252" i="6"/>
  <c r="U252" i="6"/>
  <c r="V252" i="6" s="1"/>
  <c r="W252" i="6" s="1"/>
  <c r="N252" i="6"/>
  <c r="O252" i="6"/>
  <c r="I252" i="6"/>
  <c r="J252" i="6"/>
  <c r="K252" i="6" s="1"/>
  <c r="L252" i="6" s="1"/>
  <c r="D252" i="6"/>
  <c r="Q377" i="4"/>
  <c r="R377" i="4"/>
  <c r="S377" i="4" s="1"/>
  <c r="T377" i="4" s="1"/>
  <c r="H377" i="4"/>
  <c r="I377" i="4"/>
  <c r="J377" i="4" s="1"/>
  <c r="K377" i="4" s="1"/>
  <c r="M377" i="4"/>
  <c r="N377" i="4"/>
  <c r="Q352" i="4"/>
  <c r="R352" i="4"/>
  <c r="S352" i="4" s="1"/>
  <c r="T352" i="4" s="1"/>
  <c r="H352" i="4"/>
  <c r="I352" i="4"/>
  <c r="J352" i="4" s="1"/>
  <c r="K352" i="4" s="1"/>
  <c r="M352" i="4"/>
  <c r="N352" i="4"/>
  <c r="Q327" i="4"/>
  <c r="R327" i="4"/>
  <c r="S327" i="4" s="1"/>
  <c r="T327" i="4" s="1"/>
  <c r="M327" i="4"/>
  <c r="N327" i="4"/>
  <c r="H327" i="4"/>
  <c r="I327" i="4"/>
  <c r="J327" i="4" s="1"/>
  <c r="K327" i="4" s="1"/>
  <c r="Q302" i="4"/>
  <c r="R302" i="4"/>
  <c r="S302" i="4" s="1"/>
  <c r="T302" i="4" s="1"/>
  <c r="M302" i="4"/>
  <c r="N302" i="4"/>
  <c r="H302" i="4"/>
  <c r="I302" i="4"/>
  <c r="J302" i="4" s="1"/>
  <c r="K302" i="4" s="1"/>
  <c r="Q277" i="4"/>
  <c r="R277" i="4"/>
  <c r="S277" i="4" s="1"/>
  <c r="T277" i="4" s="1"/>
  <c r="H277" i="4"/>
  <c r="I277" i="4"/>
  <c r="J277" i="4" s="1"/>
  <c r="K277" i="4" s="1"/>
  <c r="M277" i="4"/>
  <c r="N277" i="4"/>
  <c r="Q252" i="4"/>
  <c r="R252" i="4"/>
  <c r="N252" i="4"/>
  <c r="M252" i="4"/>
  <c r="H252" i="4"/>
  <c r="I252" i="4"/>
  <c r="J252" i="4" s="1"/>
  <c r="K252" i="4" s="1"/>
  <c r="Y377" i="6" l="1"/>
  <c r="I319" i="20"/>
  <c r="W319" i="20" s="1"/>
  <c r="X319" i="20" s="1"/>
  <c r="H344" i="20"/>
  <c r="V344" i="20" s="1"/>
  <c r="I244" i="20"/>
  <c r="W244" i="20" s="1"/>
  <c r="X244" i="20" s="1"/>
  <c r="Y244" i="20" s="1"/>
  <c r="H368" i="22"/>
  <c r="H268" i="22"/>
  <c r="H243" i="22"/>
  <c r="Z377" i="6"/>
  <c r="AA377" i="6" s="1"/>
  <c r="AC377" i="6" s="1"/>
  <c r="H293" i="22"/>
  <c r="H369" i="20"/>
  <c r="V369" i="20" s="1"/>
  <c r="H269" i="20"/>
  <c r="V269" i="20" s="1"/>
  <c r="H343" i="22"/>
  <c r="V343" i="22" s="1"/>
  <c r="I268" i="22"/>
  <c r="W268" i="22" s="1"/>
  <c r="X268" i="22" s="1"/>
  <c r="V377" i="4"/>
  <c r="L56" i="19" s="1"/>
  <c r="W343" i="22"/>
  <c r="X343" i="22" s="1"/>
  <c r="Y343" i="22" s="1"/>
  <c r="V368" i="22"/>
  <c r="W368" i="22"/>
  <c r="X368" i="22" s="1"/>
  <c r="S343" i="22"/>
  <c r="V293" i="22"/>
  <c r="W293" i="22"/>
  <c r="X293" i="22" s="1"/>
  <c r="S293" i="22"/>
  <c r="V318" i="22"/>
  <c r="V268" i="22"/>
  <c r="W318" i="22"/>
  <c r="X318" i="22" s="1"/>
  <c r="V243" i="22"/>
  <c r="W243" i="22"/>
  <c r="X243" i="22" s="1"/>
  <c r="S243" i="22"/>
  <c r="W369" i="20"/>
  <c r="X369" i="20" s="1"/>
  <c r="V319" i="20"/>
  <c r="W344" i="20"/>
  <c r="X344" i="20" s="1"/>
  <c r="Y344" i="20" s="1"/>
  <c r="S344" i="20"/>
  <c r="S319" i="20"/>
  <c r="H294" i="20"/>
  <c r="V294" i="20" s="1"/>
  <c r="Y352" i="6"/>
  <c r="W294" i="20"/>
  <c r="X294" i="20" s="1"/>
  <c r="Y294" i="20" s="1"/>
  <c r="W269" i="20"/>
  <c r="X269" i="20" s="1"/>
  <c r="V244" i="20"/>
  <c r="Y252" i="6"/>
  <c r="Z352" i="6"/>
  <c r="AA352" i="6" s="1"/>
  <c r="Y327" i="6"/>
  <c r="Z327" i="6"/>
  <c r="AA327" i="6" s="1"/>
  <c r="AB327" i="6" s="1"/>
  <c r="Y302" i="6"/>
  <c r="Z302" i="6"/>
  <c r="AA302" i="6" s="1"/>
  <c r="Z277" i="6"/>
  <c r="AA277" i="6" s="1"/>
  <c r="AB277" i="6" s="1"/>
  <c r="Y277" i="6"/>
  <c r="V277" i="6"/>
  <c r="W277" i="6" s="1"/>
  <c r="Z252" i="6"/>
  <c r="AA252" i="6" s="1"/>
  <c r="AB252" i="6" s="1"/>
  <c r="W377" i="4"/>
  <c r="V352" i="4"/>
  <c r="J56" i="19" s="1"/>
  <c r="W352" i="4"/>
  <c r="V327" i="4"/>
  <c r="H56" i="19" s="1"/>
  <c r="W327" i="4"/>
  <c r="V277" i="4"/>
  <c r="D56" i="19" s="1"/>
  <c r="V302" i="4"/>
  <c r="F56" i="19" s="1"/>
  <c r="W302" i="4"/>
  <c r="V252" i="4"/>
  <c r="B56" i="19" s="1"/>
  <c r="W252" i="4"/>
  <c r="W277" i="4"/>
  <c r="S252" i="4"/>
  <c r="T252" i="4" s="1"/>
  <c r="X252" i="4" l="1"/>
  <c r="C56" i="19"/>
  <c r="X327" i="4"/>
  <c r="I56" i="19"/>
  <c r="X277" i="4"/>
  <c r="E56" i="19"/>
  <c r="X352" i="4"/>
  <c r="K56" i="19"/>
  <c r="N56" i="19"/>
  <c r="X302" i="4"/>
  <c r="G56" i="19"/>
  <c r="X377" i="4"/>
  <c r="Z377" i="4" s="1"/>
  <c r="M56" i="19"/>
  <c r="Z243" i="22"/>
  <c r="AB377" i="6"/>
  <c r="Z319" i="20"/>
  <c r="Z343" i="22"/>
  <c r="Z344" i="20"/>
  <c r="Z293" i="22"/>
  <c r="Y319" i="20"/>
  <c r="Z368" i="22"/>
  <c r="Y368" i="22"/>
  <c r="Y293" i="22"/>
  <c r="Z318" i="22"/>
  <c r="Y318" i="22"/>
  <c r="Z268" i="22"/>
  <c r="Y268" i="22"/>
  <c r="Z369" i="20"/>
  <c r="Y243" i="22"/>
  <c r="Y369" i="20"/>
  <c r="Z294" i="20"/>
  <c r="Z269" i="20"/>
  <c r="Y269" i="20"/>
  <c r="Z244" i="20"/>
  <c r="AB352" i="6"/>
  <c r="AC352" i="6"/>
  <c r="AB302" i="6"/>
  <c r="AC302" i="6"/>
  <c r="AC252" i="6"/>
  <c r="Y377" i="4"/>
  <c r="Z252" i="4"/>
  <c r="Y352" i="4"/>
  <c r="Z352" i="4"/>
  <c r="Y327" i="4"/>
  <c r="Z327" i="4"/>
  <c r="Y252" i="4"/>
  <c r="Y302" i="4"/>
  <c r="Z302" i="4"/>
  <c r="Y277" i="4"/>
  <c r="Z277" i="4"/>
  <c r="O56" i="19" l="1"/>
  <c r="P56" i="19" s="1"/>
  <c r="Q56" i="19" s="1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P199" i="4" l="1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C193" i="10" l="1"/>
  <c r="D193" i="10"/>
  <c r="E193" i="10"/>
  <c r="F193" i="10" s="1"/>
  <c r="G193" i="10" s="1"/>
  <c r="C181" i="10"/>
  <c r="D181" i="10"/>
  <c r="E181" i="10"/>
  <c r="F181" i="10" s="1"/>
  <c r="G181" i="10" s="1"/>
  <c r="C169" i="10"/>
  <c r="D169" i="10"/>
  <c r="E169" i="10"/>
  <c r="F169" i="10" s="1"/>
  <c r="G169" i="10" s="1"/>
  <c r="C157" i="10"/>
  <c r="D157" i="10"/>
  <c r="E157" i="10"/>
  <c r="F157" i="10" s="1"/>
  <c r="G157" i="10" s="1"/>
  <c r="C145" i="10"/>
  <c r="D145" i="10"/>
  <c r="E145" i="10"/>
  <c r="F145" i="10" s="1"/>
  <c r="G145" i="10" s="1"/>
  <c r="C133" i="10"/>
  <c r="C121" i="10"/>
  <c r="D121" i="10"/>
  <c r="E121" i="10"/>
  <c r="F121" i="10" s="1"/>
  <c r="G121" i="10" s="1"/>
  <c r="C109" i="10"/>
  <c r="F109" i="10"/>
  <c r="G109" i="10" s="1"/>
  <c r="F97" i="10"/>
  <c r="G97" i="10" s="1"/>
  <c r="C85" i="10"/>
  <c r="D85" i="10"/>
  <c r="E85" i="10"/>
  <c r="F85" i="10" s="1"/>
  <c r="G85" i="10" s="1"/>
  <c r="C73" i="10"/>
  <c r="D73" i="10"/>
  <c r="E73" i="10"/>
  <c r="F73" i="10" s="1"/>
  <c r="G73" i="10" s="1"/>
  <c r="C61" i="10"/>
  <c r="D61" i="10"/>
  <c r="E61" i="10"/>
  <c r="F61" i="10" s="1"/>
  <c r="G61" i="10" s="1"/>
  <c r="C49" i="10"/>
  <c r="D49" i="10"/>
  <c r="E49" i="10"/>
  <c r="F49" i="10" s="1"/>
  <c r="G49" i="10" s="1"/>
  <c r="C37" i="10"/>
  <c r="D37" i="10"/>
  <c r="E37" i="10"/>
  <c r="F37" i="10" s="1"/>
  <c r="G37" i="10" s="1"/>
  <c r="C25" i="10"/>
  <c r="D25" i="10"/>
  <c r="E25" i="10"/>
  <c r="F25" i="10" s="1"/>
  <c r="G25" i="10" s="1"/>
  <c r="C13" i="10"/>
  <c r="D13" i="10"/>
  <c r="E13" i="10"/>
  <c r="F13" i="10" s="1"/>
  <c r="G13" i="10" s="1"/>
  <c r="D27" i="20" l="1"/>
  <c r="E27" i="20"/>
  <c r="I52" i="6"/>
  <c r="J52" i="6"/>
  <c r="K52" i="6" s="1"/>
  <c r="L52" i="6" s="1"/>
  <c r="I77" i="6"/>
  <c r="J77" i="6"/>
  <c r="K77" i="6" s="1"/>
  <c r="L77" i="6" s="1"/>
  <c r="I227" i="6"/>
  <c r="J227" i="6"/>
  <c r="K227" i="6" s="1"/>
  <c r="L227" i="6" s="1"/>
  <c r="I202" i="6"/>
  <c r="J202" i="6"/>
  <c r="K202" i="6" s="1"/>
  <c r="L202" i="6" s="1"/>
  <c r="I177" i="6"/>
  <c r="J177" i="6"/>
  <c r="K177" i="6" s="1"/>
  <c r="L177" i="6" s="1"/>
  <c r="I152" i="6"/>
  <c r="J152" i="6"/>
  <c r="K152" i="6" s="1"/>
  <c r="L152" i="6" s="1"/>
  <c r="I127" i="6"/>
  <c r="J127" i="6"/>
  <c r="K127" i="6" s="1"/>
  <c r="L127" i="6" s="1"/>
  <c r="D127" i="6"/>
  <c r="I102" i="6"/>
  <c r="J102" i="6"/>
  <c r="K102" i="6" s="1"/>
  <c r="L102" i="6" s="1"/>
  <c r="D102" i="6"/>
  <c r="I27" i="6"/>
  <c r="J27" i="6"/>
  <c r="K27" i="6" s="1"/>
  <c r="L27" i="6" s="1"/>
  <c r="D27" i="6"/>
  <c r="F77" i="4"/>
  <c r="H77" i="4" s="1"/>
  <c r="G77" i="4"/>
  <c r="I77" i="4" s="1"/>
  <c r="J77" i="4" s="1"/>
  <c r="K77" i="4" s="1"/>
  <c r="H227" i="4"/>
  <c r="I227" i="4"/>
  <c r="J227" i="4" s="1"/>
  <c r="K227" i="4" s="1"/>
  <c r="I202" i="4"/>
  <c r="J202" i="4" s="1"/>
  <c r="K202" i="4" s="1"/>
  <c r="H202" i="4"/>
  <c r="I177" i="4"/>
  <c r="J177" i="4" s="1"/>
  <c r="K177" i="4" s="1"/>
  <c r="H177" i="4"/>
  <c r="I152" i="4"/>
  <c r="J152" i="4" s="1"/>
  <c r="K152" i="4" s="1"/>
  <c r="H152" i="4"/>
  <c r="O127" i="4"/>
  <c r="P127" i="4"/>
  <c r="P77" i="4" s="1"/>
  <c r="I127" i="4"/>
  <c r="J127" i="4" s="1"/>
  <c r="K127" i="4" s="1"/>
  <c r="H127" i="4"/>
  <c r="I102" i="4"/>
  <c r="J102" i="4" s="1"/>
  <c r="K102" i="4" s="1"/>
  <c r="H102" i="4"/>
  <c r="P27" i="4"/>
  <c r="P52" i="4" s="1"/>
  <c r="O27" i="4"/>
  <c r="O52" i="4" s="1"/>
  <c r="G27" i="4"/>
  <c r="I27" i="4" s="1"/>
  <c r="F27" i="4"/>
  <c r="H27" i="4" s="1"/>
  <c r="H26" i="4"/>
  <c r="F52" i="4" l="1"/>
  <c r="H52" i="4" s="1"/>
  <c r="G52" i="4"/>
  <c r="I52" i="4" s="1"/>
  <c r="J52" i="4" s="1"/>
  <c r="K52" i="4" s="1"/>
  <c r="O77" i="4"/>
  <c r="J27" i="4"/>
  <c r="K27" i="4" s="1"/>
  <c r="D377" i="4" l="1"/>
  <c r="D352" i="4"/>
  <c r="D327" i="4"/>
  <c r="D302" i="4"/>
  <c r="D277" i="4"/>
  <c r="D252" i="4"/>
  <c r="D227" i="4"/>
  <c r="D202" i="4"/>
  <c r="D177" i="4"/>
  <c r="D152" i="4"/>
  <c r="D127" i="4"/>
  <c r="D102" i="4"/>
  <c r="D77" i="4"/>
  <c r="D52" i="4"/>
  <c r="D27" i="4"/>
  <c r="J376" i="2"/>
  <c r="J351" i="2"/>
  <c r="L351" i="2" s="1"/>
  <c r="M351" i="2" s="1"/>
  <c r="N351" i="2" s="1"/>
  <c r="J326" i="2"/>
  <c r="J301" i="2"/>
  <c r="J276" i="2"/>
  <c r="J251" i="2"/>
  <c r="J226" i="2"/>
  <c r="J201" i="2"/>
  <c r="J176" i="2"/>
  <c r="L176" i="2" s="1"/>
  <c r="J151" i="2"/>
  <c r="J101" i="2"/>
  <c r="J26" i="2"/>
  <c r="H376" i="2"/>
  <c r="H351" i="2"/>
  <c r="H326" i="2"/>
  <c r="H301" i="2"/>
  <c r="H276" i="2"/>
  <c r="H251" i="2"/>
  <c r="H226" i="2"/>
  <c r="H201" i="2"/>
  <c r="H176" i="2"/>
  <c r="H151" i="2"/>
  <c r="H126" i="2"/>
  <c r="H101" i="2"/>
  <c r="H76" i="2"/>
  <c r="H51" i="2"/>
  <c r="G51" i="2"/>
  <c r="I51" i="2" s="1"/>
  <c r="K51" i="2" s="1"/>
  <c r="H26" i="2"/>
  <c r="I376" i="2"/>
  <c r="K376" i="2" s="1"/>
  <c r="O376" i="2" s="1"/>
  <c r="I351" i="2"/>
  <c r="K351" i="2" s="1"/>
  <c r="O351" i="2" s="1"/>
  <c r="I326" i="2"/>
  <c r="K326" i="2" s="1"/>
  <c r="O326" i="2" s="1"/>
  <c r="I301" i="2"/>
  <c r="K301" i="2" s="1"/>
  <c r="O301" i="2" s="1"/>
  <c r="I276" i="2"/>
  <c r="K276" i="2" s="1"/>
  <c r="O276" i="2" s="1"/>
  <c r="I251" i="2"/>
  <c r="K251" i="2" s="1"/>
  <c r="O251" i="2" s="1"/>
  <c r="I226" i="2"/>
  <c r="K226" i="2" s="1"/>
  <c r="O226" i="2" s="1"/>
  <c r="I201" i="2"/>
  <c r="K201" i="2" s="1"/>
  <c r="O201" i="2" s="1"/>
  <c r="I176" i="2"/>
  <c r="K176" i="2" s="1"/>
  <c r="I151" i="2"/>
  <c r="K151" i="2" s="1"/>
  <c r="O151" i="2" s="1"/>
  <c r="G126" i="2"/>
  <c r="I101" i="2"/>
  <c r="K101" i="2" s="1"/>
  <c r="O101" i="2" s="1"/>
  <c r="G76" i="2"/>
  <c r="I26" i="2"/>
  <c r="K26" i="2" s="1"/>
  <c r="F376" i="2"/>
  <c r="F351" i="2"/>
  <c r="F326" i="2"/>
  <c r="F301" i="2"/>
  <c r="F276" i="2"/>
  <c r="F251" i="2"/>
  <c r="F226" i="2"/>
  <c r="F201" i="2"/>
  <c r="F176" i="2"/>
  <c r="F151" i="2"/>
  <c r="F126" i="2"/>
  <c r="E133" i="10" s="1"/>
  <c r="F133" i="10" s="1"/>
  <c r="G133" i="10" s="1"/>
  <c r="F101" i="2"/>
  <c r="F76" i="2"/>
  <c r="F51" i="2"/>
  <c r="F26" i="2"/>
  <c r="E126" i="2"/>
  <c r="D133" i="10" s="1"/>
  <c r="E76" i="2"/>
  <c r="F51" i="4"/>
  <c r="H51" i="4" s="1"/>
  <c r="G51" i="4"/>
  <c r="I51" i="4" s="1"/>
  <c r="J51" i="4" s="1"/>
  <c r="K51" i="4" s="1"/>
  <c r="O26" i="2" l="1"/>
  <c r="B28" i="11"/>
  <c r="L26" i="2"/>
  <c r="C28" i="11" s="1"/>
  <c r="N102" i="6"/>
  <c r="M102" i="4"/>
  <c r="M176" i="2"/>
  <c r="N176" i="2" s="1"/>
  <c r="G28" i="11"/>
  <c r="M202" i="4"/>
  <c r="N202" i="6"/>
  <c r="O176" i="2"/>
  <c r="F28" i="11"/>
  <c r="M152" i="4"/>
  <c r="N152" i="6"/>
  <c r="M227" i="4"/>
  <c r="N227" i="6"/>
  <c r="O51" i="2"/>
  <c r="H28" i="11"/>
  <c r="L201" i="2"/>
  <c r="P201" i="2" s="1"/>
  <c r="L226" i="2"/>
  <c r="M226" i="2" s="1"/>
  <c r="N226" i="2" s="1"/>
  <c r="L326" i="2"/>
  <c r="P326" i="2" s="1"/>
  <c r="Q326" i="2" s="1"/>
  <c r="R326" i="2" s="1"/>
  <c r="L151" i="2"/>
  <c r="M151" i="2" s="1"/>
  <c r="N151" i="2" s="1"/>
  <c r="I126" i="2"/>
  <c r="K126" i="2" s="1"/>
  <c r="J51" i="2"/>
  <c r="L51" i="2" s="1"/>
  <c r="J126" i="2"/>
  <c r="L376" i="2"/>
  <c r="M376" i="2" s="1"/>
  <c r="N376" i="2" s="1"/>
  <c r="J76" i="2"/>
  <c r="I76" i="2"/>
  <c r="K76" i="2" s="1"/>
  <c r="L101" i="2"/>
  <c r="M101" i="2" s="1"/>
  <c r="N101" i="2" s="1"/>
  <c r="M26" i="2"/>
  <c r="N26" i="2" s="1"/>
  <c r="P351" i="2"/>
  <c r="Q351" i="2" s="1"/>
  <c r="R351" i="2" s="1"/>
  <c r="L276" i="2"/>
  <c r="M276" i="2" s="1"/>
  <c r="N276" i="2" s="1"/>
  <c r="L251" i="2"/>
  <c r="M251" i="2" s="1"/>
  <c r="N251" i="2" s="1"/>
  <c r="L301" i="2"/>
  <c r="P301" i="2" s="1"/>
  <c r="Q301" i="2" s="1"/>
  <c r="R301" i="2" s="1"/>
  <c r="P176" i="2"/>
  <c r="H224" i="13"/>
  <c r="I224" i="13"/>
  <c r="H196" i="13"/>
  <c r="I196" i="13"/>
  <c r="B168" i="13"/>
  <c r="C168" i="13"/>
  <c r="H168" i="13"/>
  <c r="I168" i="13"/>
  <c r="B140" i="13"/>
  <c r="C140" i="13"/>
  <c r="H140" i="13"/>
  <c r="I140" i="13"/>
  <c r="B112" i="13"/>
  <c r="C112" i="13"/>
  <c r="H112" i="13"/>
  <c r="I112" i="13"/>
  <c r="B84" i="13"/>
  <c r="C84" i="13"/>
  <c r="H84" i="13"/>
  <c r="I84" i="13"/>
  <c r="B56" i="13"/>
  <c r="C56" i="13"/>
  <c r="H56" i="13"/>
  <c r="I56" i="13"/>
  <c r="B28" i="13"/>
  <c r="C28" i="13"/>
  <c r="H28" i="13"/>
  <c r="I28" i="13"/>
  <c r="C12" i="10"/>
  <c r="D12" i="10"/>
  <c r="E12" i="10"/>
  <c r="F12" i="10" s="1"/>
  <c r="G12" i="10" s="1"/>
  <c r="C24" i="10"/>
  <c r="D24" i="10"/>
  <c r="E24" i="10"/>
  <c r="F24" i="10" s="1"/>
  <c r="G24" i="10" s="1"/>
  <c r="C36" i="10"/>
  <c r="D36" i="10"/>
  <c r="E36" i="10"/>
  <c r="F36" i="10" s="1"/>
  <c r="G36" i="10" s="1"/>
  <c r="C48" i="10"/>
  <c r="D48" i="10"/>
  <c r="E48" i="10"/>
  <c r="F48" i="10" s="1"/>
  <c r="G48" i="10" s="1"/>
  <c r="C60" i="10"/>
  <c r="D60" i="10"/>
  <c r="E60" i="10"/>
  <c r="F60" i="10" s="1"/>
  <c r="G60" i="10" s="1"/>
  <c r="C72" i="10"/>
  <c r="D72" i="10"/>
  <c r="E72" i="10"/>
  <c r="F72" i="10" s="1"/>
  <c r="G72" i="10" s="1"/>
  <c r="C84" i="10"/>
  <c r="D84" i="10"/>
  <c r="E84" i="10"/>
  <c r="F84" i="10" s="1"/>
  <c r="G84" i="10" s="1"/>
  <c r="F96" i="10"/>
  <c r="G96" i="10" s="1"/>
  <c r="C108" i="10"/>
  <c r="F108" i="10"/>
  <c r="G108" i="10" s="1"/>
  <c r="C120" i="10"/>
  <c r="D120" i="10"/>
  <c r="E120" i="10"/>
  <c r="F120" i="10" s="1"/>
  <c r="G120" i="10" s="1"/>
  <c r="C132" i="10"/>
  <c r="D132" i="10"/>
  <c r="E132" i="10"/>
  <c r="F132" i="10" s="1"/>
  <c r="G132" i="10" s="1"/>
  <c r="C144" i="10"/>
  <c r="D144" i="10"/>
  <c r="E144" i="10"/>
  <c r="F144" i="10" s="1"/>
  <c r="G144" i="10" s="1"/>
  <c r="C156" i="10"/>
  <c r="D156" i="10"/>
  <c r="E156" i="10"/>
  <c r="F156" i="10" s="1"/>
  <c r="G156" i="10" s="1"/>
  <c r="C168" i="10"/>
  <c r="D168" i="10"/>
  <c r="E168" i="10"/>
  <c r="F168" i="10" s="1"/>
  <c r="G168" i="10" s="1"/>
  <c r="C180" i="10"/>
  <c r="D180" i="10"/>
  <c r="E180" i="10"/>
  <c r="F180" i="10" s="1"/>
  <c r="G180" i="10" s="1"/>
  <c r="C192" i="10"/>
  <c r="D192" i="10"/>
  <c r="E192" i="10"/>
  <c r="F192" i="10" s="1"/>
  <c r="G192" i="10" s="1"/>
  <c r="D67" i="12"/>
  <c r="D56" i="12"/>
  <c r="D45" i="12"/>
  <c r="D34" i="12"/>
  <c r="D23" i="12"/>
  <c r="D12" i="12"/>
  <c r="I376" i="6"/>
  <c r="J376" i="6"/>
  <c r="K376" i="6" s="1"/>
  <c r="L376" i="6" s="1"/>
  <c r="I351" i="6"/>
  <c r="J351" i="6"/>
  <c r="K351" i="6" s="1"/>
  <c r="L351" i="6" s="1"/>
  <c r="I326" i="6"/>
  <c r="J326" i="6"/>
  <c r="K326" i="6" s="1"/>
  <c r="L326" i="6" s="1"/>
  <c r="I301" i="6"/>
  <c r="J301" i="6"/>
  <c r="K301" i="6" s="1"/>
  <c r="L301" i="6" s="1"/>
  <c r="I276" i="6"/>
  <c r="J276" i="6"/>
  <c r="K276" i="6" s="1"/>
  <c r="L276" i="6" s="1"/>
  <c r="I251" i="6"/>
  <c r="J251" i="6"/>
  <c r="K251" i="6" s="1"/>
  <c r="L251" i="6" s="1"/>
  <c r="M201" i="2" l="1"/>
  <c r="N201" i="2" s="1"/>
  <c r="L126" i="2"/>
  <c r="M126" i="2" s="1"/>
  <c r="N126" i="2" s="1"/>
  <c r="P226" i="2"/>
  <c r="I28" i="11"/>
  <c r="M51" i="2"/>
  <c r="N51" i="2" s="1"/>
  <c r="P51" i="2"/>
  <c r="Q201" i="2"/>
  <c r="R201" i="2" s="1"/>
  <c r="O202" i="6"/>
  <c r="U202" i="6" s="1"/>
  <c r="N202" i="4"/>
  <c r="R202" i="4" s="1"/>
  <c r="O76" i="2"/>
  <c r="J28" i="11"/>
  <c r="O126" i="2"/>
  <c r="D28" i="11"/>
  <c r="N52" i="6"/>
  <c r="M52" i="4"/>
  <c r="T227" i="6"/>
  <c r="Y227" i="6" s="1"/>
  <c r="H85" i="18" s="1"/>
  <c r="Q227" i="4"/>
  <c r="V227" i="4" s="1"/>
  <c r="H56" i="18" s="1"/>
  <c r="T152" i="6"/>
  <c r="Y152" i="6" s="1"/>
  <c r="D85" i="18" s="1"/>
  <c r="S85" i="18" s="1"/>
  <c r="Q176" i="2"/>
  <c r="R176" i="2" s="1"/>
  <c r="N177" i="4"/>
  <c r="O177" i="6"/>
  <c r="Q152" i="4"/>
  <c r="V152" i="4" s="1"/>
  <c r="D56" i="18" s="1"/>
  <c r="S56" i="18" s="1"/>
  <c r="Q226" i="2"/>
  <c r="R226" i="2" s="1"/>
  <c r="O227" i="6"/>
  <c r="U227" i="6" s="1"/>
  <c r="N227" i="4"/>
  <c r="R227" i="4" s="1"/>
  <c r="P151" i="2"/>
  <c r="M177" i="4"/>
  <c r="N177" i="6"/>
  <c r="T202" i="6"/>
  <c r="Y202" i="6" s="1"/>
  <c r="F85" i="18" s="1"/>
  <c r="U85" i="18" s="1"/>
  <c r="Q202" i="4"/>
  <c r="V202" i="4" s="1"/>
  <c r="F56" i="18" s="1"/>
  <c r="U56" i="18" s="1"/>
  <c r="M326" i="2"/>
  <c r="N326" i="2" s="1"/>
  <c r="Q102" i="4"/>
  <c r="V102" i="4" s="1"/>
  <c r="B56" i="18" s="1"/>
  <c r="Q56" i="18" s="1"/>
  <c r="T102" i="6"/>
  <c r="Y102" i="6" s="1"/>
  <c r="B85" i="18" s="1"/>
  <c r="Q85" i="18" s="1"/>
  <c r="P26" i="2"/>
  <c r="M27" i="4"/>
  <c r="N27" i="6"/>
  <c r="P376" i="2"/>
  <c r="Q376" i="2" s="1"/>
  <c r="R376" i="2" s="1"/>
  <c r="P101" i="2"/>
  <c r="D168" i="13"/>
  <c r="E168" i="13" s="1"/>
  <c r="P126" i="2"/>
  <c r="D28" i="13"/>
  <c r="M301" i="2"/>
  <c r="N301" i="2" s="1"/>
  <c r="J84" i="13"/>
  <c r="P276" i="2"/>
  <c r="Q276" i="2" s="1"/>
  <c r="R276" i="2" s="1"/>
  <c r="J224" i="13"/>
  <c r="K224" i="13" s="1"/>
  <c r="L76" i="2"/>
  <c r="K28" i="11" s="1"/>
  <c r="J196" i="13"/>
  <c r="P251" i="2"/>
  <c r="Q251" i="2" s="1"/>
  <c r="R251" i="2" s="1"/>
  <c r="J56" i="13"/>
  <c r="D140" i="13"/>
  <c r="J168" i="13"/>
  <c r="J140" i="13"/>
  <c r="K140" i="13" s="1"/>
  <c r="J112" i="13"/>
  <c r="D112" i="13"/>
  <c r="D84" i="13"/>
  <c r="E84" i="13" s="1"/>
  <c r="D56" i="13"/>
  <c r="J28" i="13"/>
  <c r="E28" i="11" l="1"/>
  <c r="V227" i="6"/>
  <c r="W227" i="6" s="1"/>
  <c r="Z227" i="6"/>
  <c r="S202" i="4"/>
  <c r="T202" i="4" s="1"/>
  <c r="W202" i="4"/>
  <c r="S227" i="4"/>
  <c r="T227" i="4" s="1"/>
  <c r="W227" i="4"/>
  <c r="V202" i="6"/>
  <c r="W202" i="6" s="1"/>
  <c r="Z202" i="6"/>
  <c r="U177" i="6"/>
  <c r="T177" i="6"/>
  <c r="Y177" i="6" s="1"/>
  <c r="F86" i="11" s="1"/>
  <c r="W86" i="11" s="1"/>
  <c r="Q151" i="2"/>
  <c r="R151" i="2" s="1"/>
  <c r="O152" i="6"/>
  <c r="U152" i="6" s="1"/>
  <c r="N152" i="4"/>
  <c r="R152" i="4" s="1"/>
  <c r="Q177" i="4"/>
  <c r="V177" i="4" s="1"/>
  <c r="F57" i="11" s="1"/>
  <c r="W57" i="11" s="1"/>
  <c r="R177" i="4"/>
  <c r="W56" i="18"/>
  <c r="Y56" i="18" s="1"/>
  <c r="J56" i="18"/>
  <c r="W85" i="18"/>
  <c r="Y85" i="18" s="1"/>
  <c r="J85" i="18"/>
  <c r="Q126" i="2"/>
  <c r="R126" i="2" s="1"/>
  <c r="N127" i="4"/>
  <c r="O127" i="6"/>
  <c r="T52" i="6"/>
  <c r="Y52" i="6" s="1"/>
  <c r="H86" i="11" s="1"/>
  <c r="Y86" i="11" s="1"/>
  <c r="U52" i="6"/>
  <c r="Q101" i="2"/>
  <c r="R101" i="2" s="1"/>
  <c r="O102" i="6"/>
  <c r="U102" i="6" s="1"/>
  <c r="N102" i="4"/>
  <c r="R102" i="4" s="1"/>
  <c r="U27" i="6"/>
  <c r="T27" i="6"/>
  <c r="Y27" i="6" s="1"/>
  <c r="B86" i="11" s="1"/>
  <c r="S86" i="11" s="1"/>
  <c r="Q51" i="2"/>
  <c r="R51" i="2" s="1"/>
  <c r="N52" i="4"/>
  <c r="R52" i="4" s="1"/>
  <c r="O52" i="6"/>
  <c r="Q52" i="4"/>
  <c r="V52" i="4" s="1"/>
  <c r="H57" i="11" s="1"/>
  <c r="Y57" i="11" s="1"/>
  <c r="Q27" i="4"/>
  <c r="V27" i="4" s="1"/>
  <c r="B57" i="11" s="1"/>
  <c r="S57" i="11" s="1"/>
  <c r="N77" i="6"/>
  <c r="M77" i="4"/>
  <c r="M127" i="4"/>
  <c r="N127" i="6"/>
  <c r="Q26" i="2"/>
  <c r="R26" i="2" s="1"/>
  <c r="O27" i="6"/>
  <c r="N27" i="4"/>
  <c r="R27" i="4" s="1"/>
  <c r="M76" i="2"/>
  <c r="N76" i="2" s="1"/>
  <c r="P76" i="2"/>
  <c r="H376" i="4"/>
  <c r="I376" i="4"/>
  <c r="H351" i="4"/>
  <c r="I351" i="4"/>
  <c r="H326" i="4"/>
  <c r="I326" i="4"/>
  <c r="H301" i="4"/>
  <c r="I301" i="4"/>
  <c r="H276" i="4"/>
  <c r="I276" i="4"/>
  <c r="J276" i="4" s="1"/>
  <c r="K276" i="4" s="1"/>
  <c r="H251" i="4"/>
  <c r="I251" i="4"/>
  <c r="J251" i="4" s="1"/>
  <c r="K251" i="4" s="1"/>
  <c r="W52" i="4" l="1"/>
  <c r="S52" i="4"/>
  <c r="T52" i="4" s="1"/>
  <c r="S27" i="4"/>
  <c r="T27" i="4" s="1"/>
  <c r="W27" i="4"/>
  <c r="S102" i="4"/>
  <c r="T102" i="4" s="1"/>
  <c r="W102" i="4"/>
  <c r="V52" i="6"/>
  <c r="W52" i="6" s="1"/>
  <c r="Z52" i="6"/>
  <c r="V102" i="6"/>
  <c r="W102" i="6" s="1"/>
  <c r="Z102" i="6"/>
  <c r="G85" i="18"/>
  <c r="V85" i="18" s="1"/>
  <c r="AA202" i="6"/>
  <c r="S177" i="4"/>
  <c r="T177" i="4" s="1"/>
  <c r="W177" i="4"/>
  <c r="V152" i="6"/>
  <c r="W152" i="6" s="1"/>
  <c r="Z152" i="6"/>
  <c r="V177" i="6"/>
  <c r="W177" i="6" s="1"/>
  <c r="Z177" i="6"/>
  <c r="Q127" i="4"/>
  <c r="V127" i="4" s="1"/>
  <c r="D57" i="11" s="1"/>
  <c r="U57" i="11" s="1"/>
  <c r="R127" i="4"/>
  <c r="Q77" i="4"/>
  <c r="V77" i="4" s="1"/>
  <c r="J57" i="11" s="1"/>
  <c r="I56" i="18"/>
  <c r="X56" i="18" s="1"/>
  <c r="X227" i="4"/>
  <c r="V27" i="6"/>
  <c r="W27" i="6" s="1"/>
  <c r="Z27" i="6"/>
  <c r="S152" i="4"/>
  <c r="T152" i="4" s="1"/>
  <c r="W152" i="4"/>
  <c r="T77" i="6"/>
  <c r="Y77" i="6" s="1"/>
  <c r="J86" i="11" s="1"/>
  <c r="Q76" i="2"/>
  <c r="R76" i="2" s="1"/>
  <c r="O77" i="6"/>
  <c r="U77" i="6" s="1"/>
  <c r="N77" i="4"/>
  <c r="R77" i="4" s="1"/>
  <c r="T127" i="6"/>
  <c r="Y127" i="6" s="1"/>
  <c r="D86" i="11" s="1"/>
  <c r="U86" i="11" s="1"/>
  <c r="U127" i="6"/>
  <c r="X202" i="4"/>
  <c r="G56" i="18"/>
  <c r="V56" i="18" s="1"/>
  <c r="I85" i="18"/>
  <c r="X85" i="18" s="1"/>
  <c r="AA227" i="6"/>
  <c r="J351" i="4"/>
  <c r="K351" i="4" s="1"/>
  <c r="J376" i="4"/>
  <c r="K376" i="4" s="1"/>
  <c r="J301" i="4"/>
  <c r="K301" i="4" s="1"/>
  <c r="J326" i="4"/>
  <c r="K326" i="4" s="1"/>
  <c r="V77" i="6" l="1"/>
  <c r="W77" i="6" s="1"/>
  <c r="Z77" i="6"/>
  <c r="Y227" i="4"/>
  <c r="Z227" i="4"/>
  <c r="W127" i="4"/>
  <c r="S127" i="4"/>
  <c r="T127" i="4" s="1"/>
  <c r="E56" i="18"/>
  <c r="T56" i="18" s="1"/>
  <c r="X152" i="4"/>
  <c r="C86" i="11"/>
  <c r="T86" i="11" s="1"/>
  <c r="AA27" i="6"/>
  <c r="AA86" i="11"/>
  <c r="AC86" i="11" s="1"/>
  <c r="L86" i="11"/>
  <c r="C56" i="18"/>
  <c r="X102" i="4"/>
  <c r="G86" i="11"/>
  <c r="X86" i="11" s="1"/>
  <c r="AA177" i="6"/>
  <c r="G57" i="11"/>
  <c r="X57" i="11" s="1"/>
  <c r="X177" i="4"/>
  <c r="W77" i="4"/>
  <c r="S77" i="4"/>
  <c r="T77" i="4" s="1"/>
  <c r="AA152" i="6"/>
  <c r="E85" i="18"/>
  <c r="T85" i="18" s="1"/>
  <c r="AB227" i="6"/>
  <c r="AC227" i="6"/>
  <c r="Y202" i="4"/>
  <c r="Z202" i="4"/>
  <c r="X27" i="4"/>
  <c r="C57" i="11"/>
  <c r="T57" i="11" s="1"/>
  <c r="AB202" i="6"/>
  <c r="AC202" i="6"/>
  <c r="V127" i="6"/>
  <c r="W127" i="6" s="1"/>
  <c r="Z127" i="6"/>
  <c r="C85" i="18"/>
  <c r="AA102" i="6"/>
  <c r="AA57" i="11"/>
  <c r="AC57" i="11" s="1"/>
  <c r="L57" i="11"/>
  <c r="I86" i="11"/>
  <c r="Z86" i="11" s="1"/>
  <c r="AA52" i="6"/>
  <c r="I57" i="11"/>
  <c r="Z57" i="11" s="1"/>
  <c r="X52" i="4"/>
  <c r="I226" i="6"/>
  <c r="J226" i="6"/>
  <c r="K226" i="6" s="1"/>
  <c r="L226" i="6" s="1"/>
  <c r="I201" i="6"/>
  <c r="J201" i="6"/>
  <c r="K201" i="6" s="1"/>
  <c r="L201" i="6" s="1"/>
  <c r="I176" i="6"/>
  <c r="J176" i="6"/>
  <c r="K176" i="6" s="1"/>
  <c r="L176" i="6" s="1"/>
  <c r="I151" i="6"/>
  <c r="J151" i="6"/>
  <c r="K151" i="6" s="1"/>
  <c r="L151" i="6" s="1"/>
  <c r="I126" i="6"/>
  <c r="J126" i="6"/>
  <c r="K126" i="6" s="1"/>
  <c r="L126" i="6" s="1"/>
  <c r="I101" i="6"/>
  <c r="J101" i="6"/>
  <c r="K101" i="6" s="1"/>
  <c r="L101" i="6" s="1"/>
  <c r="I76" i="6"/>
  <c r="J76" i="6"/>
  <c r="K76" i="6" s="1"/>
  <c r="L76" i="6" s="1"/>
  <c r="I51" i="6"/>
  <c r="J51" i="6"/>
  <c r="K51" i="6" s="1"/>
  <c r="L51" i="6" s="1"/>
  <c r="I26" i="6"/>
  <c r="J26" i="6"/>
  <c r="K26" i="6" s="1"/>
  <c r="L26" i="6" s="1"/>
  <c r="O126" i="4"/>
  <c r="O76" i="4" s="1"/>
  <c r="P126" i="4"/>
  <c r="P76" i="4" s="1"/>
  <c r="F76" i="4"/>
  <c r="H76" i="4" s="1"/>
  <c r="G76" i="4"/>
  <c r="I76" i="4" s="1"/>
  <c r="J76" i="4" s="1"/>
  <c r="K76" i="4" s="1"/>
  <c r="O26" i="4"/>
  <c r="O51" i="4" s="1"/>
  <c r="P26" i="4"/>
  <c r="H226" i="4"/>
  <c r="I226" i="4"/>
  <c r="J226" i="4" s="1"/>
  <c r="K226" i="4" s="1"/>
  <c r="H201" i="4"/>
  <c r="I201" i="4"/>
  <c r="J201" i="4" s="1"/>
  <c r="K201" i="4" s="1"/>
  <c r="H176" i="4"/>
  <c r="I176" i="4"/>
  <c r="J176" i="4" s="1"/>
  <c r="K176" i="4" s="1"/>
  <c r="H151" i="4"/>
  <c r="I151" i="4"/>
  <c r="J151" i="4" s="1"/>
  <c r="K151" i="4" s="1"/>
  <c r="H126" i="4"/>
  <c r="I126" i="4"/>
  <c r="J126" i="4" s="1"/>
  <c r="K126" i="4" s="1"/>
  <c r="H101" i="4"/>
  <c r="I101" i="4"/>
  <c r="J101" i="4" s="1"/>
  <c r="K101" i="4" s="1"/>
  <c r="O25" i="4"/>
  <c r="I26" i="4"/>
  <c r="J26" i="4" s="1"/>
  <c r="K26" i="4" s="1"/>
  <c r="E86" i="11" l="1"/>
  <c r="AA127" i="6"/>
  <c r="Y52" i="4"/>
  <c r="Z52" i="4"/>
  <c r="Z102" i="4"/>
  <c r="Y102" i="4"/>
  <c r="R56" i="18"/>
  <c r="K56" i="18"/>
  <c r="L56" i="18" s="1"/>
  <c r="M56" i="18" s="1"/>
  <c r="Z56" i="18" s="1"/>
  <c r="AC27" i="6"/>
  <c r="AB27" i="6"/>
  <c r="AB52" i="6"/>
  <c r="AC52" i="6"/>
  <c r="X77" i="4"/>
  <c r="K57" i="11"/>
  <c r="AB57" i="11" s="1"/>
  <c r="X127" i="4"/>
  <c r="E57" i="11"/>
  <c r="Y152" i="4"/>
  <c r="Z152" i="4"/>
  <c r="Z27" i="4"/>
  <c r="Y27" i="4"/>
  <c r="AB152" i="6"/>
  <c r="AC152" i="6"/>
  <c r="Y177" i="4"/>
  <c r="Z177" i="4"/>
  <c r="AB102" i="6"/>
  <c r="AC102" i="6"/>
  <c r="K86" i="11"/>
  <c r="AB86" i="11" s="1"/>
  <c r="AA77" i="6"/>
  <c r="AB177" i="6"/>
  <c r="AC177" i="6"/>
  <c r="R85" i="18"/>
  <c r="K85" i="18"/>
  <c r="L85" i="18" s="1"/>
  <c r="M85" i="18" s="1"/>
  <c r="Z85" i="18" s="1"/>
  <c r="P51" i="4"/>
  <c r="AB77" i="6" l="1"/>
  <c r="AC77" i="6"/>
  <c r="V57" i="11"/>
  <c r="M57" i="11"/>
  <c r="N57" i="11" s="1"/>
  <c r="O57" i="11" s="1"/>
  <c r="AD57" i="11" s="1"/>
  <c r="Z77" i="4"/>
  <c r="Y77" i="4"/>
  <c r="Y127" i="4"/>
  <c r="Z127" i="4"/>
  <c r="AB127" i="6"/>
  <c r="AC127" i="6"/>
  <c r="V86" i="11"/>
  <c r="M86" i="11"/>
  <c r="N86" i="11" s="1"/>
  <c r="O86" i="11" s="1"/>
  <c r="AD86" i="11" s="1"/>
  <c r="I375" i="2"/>
  <c r="K375" i="2" s="1"/>
  <c r="O375" i="2" s="1"/>
  <c r="J375" i="2"/>
  <c r="I350" i="2"/>
  <c r="K350" i="2" s="1"/>
  <c r="O350" i="2" s="1"/>
  <c r="J350" i="2"/>
  <c r="I325" i="2"/>
  <c r="K325" i="2" s="1"/>
  <c r="O325" i="2" s="1"/>
  <c r="J325" i="2"/>
  <c r="I300" i="2"/>
  <c r="K300" i="2" s="1"/>
  <c r="J300" i="2"/>
  <c r="I275" i="2"/>
  <c r="K275" i="2" s="1"/>
  <c r="J275" i="2"/>
  <c r="I250" i="2"/>
  <c r="K250" i="2" s="1"/>
  <c r="J250" i="2"/>
  <c r="I225" i="2"/>
  <c r="K225" i="2" s="1"/>
  <c r="H27" i="18" s="1"/>
  <c r="J225" i="2"/>
  <c r="I200" i="2"/>
  <c r="K200" i="2" s="1"/>
  <c r="J200" i="2"/>
  <c r="I175" i="2"/>
  <c r="K175" i="2" s="1"/>
  <c r="F27" i="11" s="1"/>
  <c r="J175" i="2"/>
  <c r="I150" i="2"/>
  <c r="K150" i="2" s="1"/>
  <c r="D27" i="18" s="1"/>
  <c r="J150" i="2"/>
  <c r="I100" i="2"/>
  <c r="K100" i="2" s="1"/>
  <c r="J100" i="2"/>
  <c r="I125" i="2"/>
  <c r="K125" i="2" s="1"/>
  <c r="J125" i="2"/>
  <c r="L375" i="2" l="1"/>
  <c r="M27" i="19" s="1"/>
  <c r="L225" i="2"/>
  <c r="I27" i="18" s="1"/>
  <c r="L100" i="2"/>
  <c r="L325" i="2"/>
  <c r="L200" i="2"/>
  <c r="G27" i="18" s="1"/>
  <c r="L250" i="2"/>
  <c r="C27" i="19" s="1"/>
  <c r="L300" i="2"/>
  <c r="P300" i="2" s="1"/>
  <c r="L175" i="2"/>
  <c r="G27" i="11" s="1"/>
  <c r="L150" i="2"/>
  <c r="E27" i="18" s="1"/>
  <c r="L350" i="2"/>
  <c r="K27" i="19" s="1"/>
  <c r="I27" i="19"/>
  <c r="P325" i="2"/>
  <c r="M325" i="2"/>
  <c r="N325" i="2" s="1"/>
  <c r="M367" i="22"/>
  <c r="M376" i="4"/>
  <c r="M368" i="20"/>
  <c r="N376" i="6"/>
  <c r="M343" i="20"/>
  <c r="N351" i="6"/>
  <c r="M342" i="22"/>
  <c r="M351" i="4"/>
  <c r="D27" i="11"/>
  <c r="O125" i="2"/>
  <c r="D27" i="19"/>
  <c r="C23" i="12"/>
  <c r="E23" i="12" s="1"/>
  <c r="O275" i="2"/>
  <c r="M317" i="22"/>
  <c r="M326" i="4"/>
  <c r="M318" i="20"/>
  <c r="N326" i="6"/>
  <c r="L275" i="2"/>
  <c r="O200" i="2"/>
  <c r="F27" i="18"/>
  <c r="B27" i="19"/>
  <c r="C12" i="12"/>
  <c r="E12" i="12" s="1"/>
  <c r="O150" i="2"/>
  <c r="M100" i="2"/>
  <c r="N100" i="2" s="1"/>
  <c r="C27" i="18"/>
  <c r="L125" i="2"/>
  <c r="E27" i="11" s="1"/>
  <c r="O100" i="2"/>
  <c r="B27" i="18"/>
  <c r="O175" i="2"/>
  <c r="O225" i="2"/>
  <c r="O250" i="2"/>
  <c r="O300" i="2"/>
  <c r="F27" i="19"/>
  <c r="C34" i="12"/>
  <c r="E34" i="12" s="1"/>
  <c r="C45" i="12"/>
  <c r="E45" i="12" s="1"/>
  <c r="H27" i="19"/>
  <c r="C56" i="12"/>
  <c r="E56" i="12" s="1"/>
  <c r="J27" i="19"/>
  <c r="C67" i="12"/>
  <c r="E67" i="12" s="1"/>
  <c r="L27" i="19"/>
  <c r="P375" i="2"/>
  <c r="M375" i="2"/>
  <c r="N375" i="2" s="1"/>
  <c r="P250" i="2"/>
  <c r="M250" i="2"/>
  <c r="N250" i="2" s="1"/>
  <c r="M225" i="2"/>
  <c r="N225" i="2" s="1"/>
  <c r="P225" i="2"/>
  <c r="M200" i="2"/>
  <c r="N200" i="2" s="1"/>
  <c r="P200" i="2"/>
  <c r="P100" i="2"/>
  <c r="I75" i="2"/>
  <c r="K75" i="2" s="1"/>
  <c r="J75" i="2"/>
  <c r="I50" i="2"/>
  <c r="K50" i="2" s="1"/>
  <c r="J50" i="2"/>
  <c r="I25" i="2"/>
  <c r="K25" i="2" s="1"/>
  <c r="B27" i="11" s="1"/>
  <c r="J25" i="2"/>
  <c r="P150" i="2" l="1"/>
  <c r="M150" i="2"/>
  <c r="N150" i="2" s="1"/>
  <c r="M125" i="2"/>
  <c r="N125" i="2" s="1"/>
  <c r="P125" i="2"/>
  <c r="M175" i="2"/>
  <c r="N175" i="2" s="1"/>
  <c r="G27" i="19"/>
  <c r="M300" i="2"/>
  <c r="N300" i="2" s="1"/>
  <c r="P175" i="2"/>
  <c r="N176" i="4" s="1"/>
  <c r="L25" i="2"/>
  <c r="M25" i="2" s="1"/>
  <c r="N25" i="2" s="1"/>
  <c r="P350" i="2"/>
  <c r="O351" i="6" s="1"/>
  <c r="U351" i="6" s="1"/>
  <c r="M350" i="2"/>
  <c r="N350" i="2" s="1"/>
  <c r="N27" i="19"/>
  <c r="Q250" i="2"/>
  <c r="R250" i="2" s="1"/>
  <c r="N243" i="20"/>
  <c r="O251" i="6"/>
  <c r="N242" i="22"/>
  <c r="N251" i="4"/>
  <c r="M293" i="20"/>
  <c r="N301" i="6"/>
  <c r="M292" i="22"/>
  <c r="M301" i="4"/>
  <c r="M275" i="2"/>
  <c r="N275" i="2" s="1"/>
  <c r="E27" i="19"/>
  <c r="P275" i="2"/>
  <c r="Q317" i="22"/>
  <c r="Q150" i="2"/>
  <c r="R150" i="2" s="1"/>
  <c r="N147" i="20"/>
  <c r="O151" i="6"/>
  <c r="N146" i="22"/>
  <c r="N151" i="4"/>
  <c r="Q343" i="20"/>
  <c r="Q367" i="22"/>
  <c r="O50" i="2"/>
  <c r="H27" i="11"/>
  <c r="O25" i="2"/>
  <c r="L75" i="2"/>
  <c r="K27" i="11" s="1"/>
  <c r="Q100" i="2"/>
  <c r="R100" i="2" s="1"/>
  <c r="N99" i="20"/>
  <c r="O101" i="6"/>
  <c r="N98" i="22"/>
  <c r="N101" i="4"/>
  <c r="Q225" i="2"/>
  <c r="R225" i="2" s="1"/>
  <c r="N218" i="22"/>
  <c r="N226" i="4"/>
  <c r="N219" i="20"/>
  <c r="O226" i="6"/>
  <c r="Q375" i="2"/>
  <c r="R375" i="2" s="1"/>
  <c r="N367" i="22"/>
  <c r="R367" i="22" s="1"/>
  <c r="N376" i="4"/>
  <c r="R376" i="4" s="1"/>
  <c r="N368" i="20"/>
  <c r="R368" i="20" s="1"/>
  <c r="O376" i="6"/>
  <c r="U376" i="6" s="1"/>
  <c r="M243" i="20"/>
  <c r="N251" i="6"/>
  <c r="M242" i="22"/>
  <c r="M251" i="4"/>
  <c r="M99" i="20"/>
  <c r="N101" i="6"/>
  <c r="M98" i="22"/>
  <c r="M101" i="4"/>
  <c r="M147" i="20"/>
  <c r="N151" i="6"/>
  <c r="M146" i="22"/>
  <c r="M151" i="4"/>
  <c r="M195" i="20"/>
  <c r="N201" i="6"/>
  <c r="M194" i="22"/>
  <c r="M201" i="4"/>
  <c r="T326" i="6"/>
  <c r="Y326" i="6" s="1"/>
  <c r="H83" i="19" s="1"/>
  <c r="M267" i="22"/>
  <c r="M276" i="4"/>
  <c r="M268" i="20"/>
  <c r="N276" i="6"/>
  <c r="Q351" i="4"/>
  <c r="V351" i="4" s="1"/>
  <c r="J55" i="19" s="1"/>
  <c r="T376" i="6"/>
  <c r="Y376" i="6" s="1"/>
  <c r="L83" i="19" s="1"/>
  <c r="O75" i="2"/>
  <c r="J27" i="11"/>
  <c r="M218" i="22"/>
  <c r="M226" i="4"/>
  <c r="M219" i="20"/>
  <c r="N226" i="6"/>
  <c r="Q318" i="20"/>
  <c r="Q342" i="22"/>
  <c r="Q368" i="20"/>
  <c r="Q325" i="2"/>
  <c r="R325" i="2" s="1"/>
  <c r="N317" i="22"/>
  <c r="R317" i="22" s="1"/>
  <c r="N326" i="4"/>
  <c r="R326" i="4" s="1"/>
  <c r="N318" i="20"/>
  <c r="R318" i="20" s="1"/>
  <c r="O326" i="6"/>
  <c r="U326" i="6" s="1"/>
  <c r="L50" i="2"/>
  <c r="I27" i="11" s="1"/>
  <c r="Q125" i="2"/>
  <c r="R125" i="2" s="1"/>
  <c r="N122" i="22"/>
  <c r="N126" i="4"/>
  <c r="N123" i="20"/>
  <c r="O126" i="6"/>
  <c r="Q200" i="2"/>
  <c r="R200" i="2" s="1"/>
  <c r="N195" i="20"/>
  <c r="O201" i="6"/>
  <c r="N194" i="22"/>
  <c r="N201" i="4"/>
  <c r="M170" i="22"/>
  <c r="M176" i="4"/>
  <c r="M171" i="20"/>
  <c r="N176" i="6"/>
  <c r="Q300" i="2"/>
  <c r="R300" i="2" s="1"/>
  <c r="N293" i="20"/>
  <c r="O301" i="6"/>
  <c r="N292" i="22"/>
  <c r="N301" i="4"/>
  <c r="Q326" i="4"/>
  <c r="V326" i="4" s="1"/>
  <c r="H55" i="19" s="1"/>
  <c r="M122" i="22"/>
  <c r="M126" i="4"/>
  <c r="M123" i="20"/>
  <c r="N126" i="6"/>
  <c r="T351" i="6"/>
  <c r="Y351" i="6" s="1"/>
  <c r="J83" i="19" s="1"/>
  <c r="Q376" i="4"/>
  <c r="V376" i="4" s="1"/>
  <c r="L55" i="19" s="1"/>
  <c r="A367" i="22"/>
  <c r="B367" i="22"/>
  <c r="C367" i="22"/>
  <c r="D367" i="22"/>
  <c r="E367" i="22"/>
  <c r="A342" i="22"/>
  <c r="B342" i="22"/>
  <c r="C342" i="22"/>
  <c r="D342" i="22"/>
  <c r="E342" i="22"/>
  <c r="A317" i="22"/>
  <c r="B317" i="22"/>
  <c r="C317" i="22"/>
  <c r="D317" i="22"/>
  <c r="E317" i="22"/>
  <c r="A292" i="22"/>
  <c r="B292" i="22"/>
  <c r="C292" i="22"/>
  <c r="D292" i="22"/>
  <c r="E292" i="22"/>
  <c r="A267" i="22"/>
  <c r="B267" i="22"/>
  <c r="C267" i="22"/>
  <c r="D267" i="22"/>
  <c r="E267" i="22"/>
  <c r="A242" i="22"/>
  <c r="B242" i="22"/>
  <c r="C242" i="22"/>
  <c r="D242" i="22"/>
  <c r="E242" i="22"/>
  <c r="A218" i="22"/>
  <c r="B218" i="22"/>
  <c r="C218" i="22"/>
  <c r="D218" i="22"/>
  <c r="E218" i="22"/>
  <c r="A194" i="22"/>
  <c r="B194" i="22"/>
  <c r="C194" i="22"/>
  <c r="D194" i="22"/>
  <c r="E194" i="22"/>
  <c r="A170" i="22"/>
  <c r="B170" i="22"/>
  <c r="C170" i="22"/>
  <c r="D170" i="22"/>
  <c r="E170" i="22"/>
  <c r="A146" i="22"/>
  <c r="B146" i="22"/>
  <c r="C146" i="22"/>
  <c r="D146" i="22"/>
  <c r="E146" i="22"/>
  <c r="A122" i="22"/>
  <c r="B122" i="22"/>
  <c r="C122" i="22"/>
  <c r="D122" i="22"/>
  <c r="E122" i="22"/>
  <c r="A98" i="22"/>
  <c r="B98" i="22"/>
  <c r="C98" i="22"/>
  <c r="D98" i="22"/>
  <c r="E98" i="22"/>
  <c r="A74" i="22"/>
  <c r="B74" i="22"/>
  <c r="C74" i="22"/>
  <c r="D74" i="22"/>
  <c r="E74" i="22"/>
  <c r="A50" i="22"/>
  <c r="B50" i="22"/>
  <c r="C50" i="22"/>
  <c r="D50" i="22"/>
  <c r="E50" i="22"/>
  <c r="A26" i="22"/>
  <c r="B26" i="22"/>
  <c r="C26" i="22"/>
  <c r="D26" i="22"/>
  <c r="E26" i="22"/>
  <c r="A368" i="20"/>
  <c r="B368" i="20"/>
  <c r="C368" i="20"/>
  <c r="D368" i="20"/>
  <c r="E368" i="20"/>
  <c r="A343" i="20"/>
  <c r="B343" i="20"/>
  <c r="C343" i="20"/>
  <c r="D343" i="20"/>
  <c r="E343" i="20"/>
  <c r="A318" i="20"/>
  <c r="B318" i="20"/>
  <c r="C318" i="20"/>
  <c r="D318" i="20"/>
  <c r="E318" i="20"/>
  <c r="A293" i="20"/>
  <c r="B293" i="20"/>
  <c r="C293" i="20"/>
  <c r="D293" i="20"/>
  <c r="E293" i="20"/>
  <c r="A268" i="20"/>
  <c r="B268" i="20"/>
  <c r="C268" i="20"/>
  <c r="D268" i="20"/>
  <c r="E268" i="20"/>
  <c r="A243" i="20"/>
  <c r="B243" i="20"/>
  <c r="C243" i="20"/>
  <c r="D243" i="20"/>
  <c r="E243" i="20"/>
  <c r="A219" i="20"/>
  <c r="B219" i="20"/>
  <c r="C219" i="20"/>
  <c r="D219" i="20"/>
  <c r="E219" i="20"/>
  <c r="A195" i="20"/>
  <c r="B195" i="20"/>
  <c r="C195" i="20"/>
  <c r="D195" i="20"/>
  <c r="E195" i="20"/>
  <c r="A171" i="20"/>
  <c r="B171" i="20"/>
  <c r="C171" i="20"/>
  <c r="D171" i="20"/>
  <c r="E171" i="20"/>
  <c r="A147" i="20"/>
  <c r="B147" i="20"/>
  <c r="C147" i="20"/>
  <c r="D147" i="20"/>
  <c r="E147" i="20"/>
  <c r="A123" i="20"/>
  <c r="B123" i="20"/>
  <c r="C123" i="20"/>
  <c r="D123" i="20"/>
  <c r="E123" i="20"/>
  <c r="A99" i="20"/>
  <c r="B99" i="20"/>
  <c r="C99" i="20"/>
  <c r="D99" i="20"/>
  <c r="E99" i="20"/>
  <c r="A75" i="20"/>
  <c r="B75" i="20"/>
  <c r="C75" i="20"/>
  <c r="D75" i="20"/>
  <c r="E75" i="20"/>
  <c r="A51" i="20"/>
  <c r="B51" i="20"/>
  <c r="C51" i="20"/>
  <c r="D51" i="20"/>
  <c r="E51" i="20"/>
  <c r="A26" i="20"/>
  <c r="B26" i="20"/>
  <c r="C26" i="20"/>
  <c r="D26" i="20"/>
  <c r="E26" i="20"/>
  <c r="A376" i="6"/>
  <c r="B376" i="6"/>
  <c r="C376" i="6"/>
  <c r="D376" i="6"/>
  <c r="A351" i="6"/>
  <c r="B351" i="6"/>
  <c r="C351" i="6"/>
  <c r="D351" i="6"/>
  <c r="A326" i="6"/>
  <c r="B326" i="6"/>
  <c r="C326" i="6"/>
  <c r="D326" i="6"/>
  <c r="A301" i="6"/>
  <c r="B301" i="6"/>
  <c r="C301" i="6"/>
  <c r="D301" i="6"/>
  <c r="A276" i="6"/>
  <c r="B276" i="6"/>
  <c r="C276" i="6"/>
  <c r="D276" i="6"/>
  <c r="A251" i="6"/>
  <c r="B251" i="6"/>
  <c r="C251" i="6"/>
  <c r="D251" i="6"/>
  <c r="A226" i="6"/>
  <c r="B226" i="6"/>
  <c r="C226" i="6"/>
  <c r="D226" i="6"/>
  <c r="A201" i="6"/>
  <c r="B201" i="6"/>
  <c r="C201" i="6"/>
  <c r="D201" i="6"/>
  <c r="A176" i="6"/>
  <c r="B176" i="6"/>
  <c r="C176" i="6"/>
  <c r="D176" i="6"/>
  <c r="A151" i="6"/>
  <c r="B151" i="6"/>
  <c r="C151" i="6"/>
  <c r="D151" i="6"/>
  <c r="A126" i="6"/>
  <c r="B126" i="6"/>
  <c r="C126" i="6"/>
  <c r="D126" i="6"/>
  <c r="A101" i="6"/>
  <c r="B101" i="6"/>
  <c r="C101" i="6"/>
  <c r="D101" i="6"/>
  <c r="A76" i="6"/>
  <c r="B76" i="6"/>
  <c r="C76" i="6"/>
  <c r="D76" i="6"/>
  <c r="A51" i="6"/>
  <c r="B51" i="6"/>
  <c r="C51" i="6"/>
  <c r="D51" i="6"/>
  <c r="A26" i="6"/>
  <c r="B26" i="6"/>
  <c r="C26" i="6"/>
  <c r="D26" i="6"/>
  <c r="A376" i="4"/>
  <c r="B376" i="4"/>
  <c r="C376" i="4"/>
  <c r="D376" i="4"/>
  <c r="A351" i="4"/>
  <c r="B351" i="4"/>
  <c r="C351" i="4"/>
  <c r="D351" i="4"/>
  <c r="A326" i="4"/>
  <c r="B326" i="4"/>
  <c r="C326" i="4"/>
  <c r="D326" i="4"/>
  <c r="A301" i="4"/>
  <c r="B301" i="4"/>
  <c r="C301" i="4"/>
  <c r="D301" i="4"/>
  <c r="D276" i="4"/>
  <c r="A276" i="4"/>
  <c r="B276" i="4"/>
  <c r="C276" i="4"/>
  <c r="A251" i="4"/>
  <c r="B251" i="4"/>
  <c r="C251" i="4"/>
  <c r="D251" i="4"/>
  <c r="A226" i="4"/>
  <c r="B226" i="4"/>
  <c r="C226" i="4"/>
  <c r="D226" i="4"/>
  <c r="A201" i="4"/>
  <c r="B201" i="4"/>
  <c r="C201" i="4"/>
  <c r="D201" i="4"/>
  <c r="A176" i="4"/>
  <c r="B176" i="4"/>
  <c r="C176" i="4"/>
  <c r="D176" i="4"/>
  <c r="A151" i="4"/>
  <c r="B151" i="4"/>
  <c r="C151" i="4"/>
  <c r="D151" i="4"/>
  <c r="A126" i="4"/>
  <c r="B126" i="4"/>
  <c r="C126" i="4"/>
  <c r="D126" i="4"/>
  <c r="D101" i="4"/>
  <c r="A101" i="4"/>
  <c r="B101" i="4"/>
  <c r="C101" i="4"/>
  <c r="D76" i="4"/>
  <c r="A76" i="4"/>
  <c r="B76" i="4"/>
  <c r="C76" i="4"/>
  <c r="D51" i="4"/>
  <c r="A51" i="4"/>
  <c r="B51" i="4"/>
  <c r="C51" i="4"/>
  <c r="A26" i="4"/>
  <c r="B26" i="4"/>
  <c r="C26" i="4"/>
  <c r="D26" i="4"/>
  <c r="N343" i="20" l="1"/>
  <c r="R343" i="20" s="1"/>
  <c r="S343" i="20" s="1"/>
  <c r="T343" i="20" s="1"/>
  <c r="P25" i="2"/>
  <c r="I268" i="20"/>
  <c r="H268" i="20"/>
  <c r="H292" i="22"/>
  <c r="I292" i="22"/>
  <c r="I317" i="22"/>
  <c r="W317" i="22" s="1"/>
  <c r="X317" i="22" s="1"/>
  <c r="H317" i="22"/>
  <c r="V317" i="22" s="1"/>
  <c r="I318" i="20"/>
  <c r="W318" i="20" s="1"/>
  <c r="X318" i="20" s="1"/>
  <c r="H318" i="20"/>
  <c r="V318" i="20" s="1"/>
  <c r="H242" i="22"/>
  <c r="I242" i="22"/>
  <c r="H342" i="22"/>
  <c r="V342" i="22" s="1"/>
  <c r="I342" i="22"/>
  <c r="I368" i="20"/>
  <c r="W368" i="20" s="1"/>
  <c r="X368" i="20" s="1"/>
  <c r="H368" i="20"/>
  <c r="V368" i="20" s="1"/>
  <c r="H293" i="20"/>
  <c r="I293" i="20"/>
  <c r="H243" i="20"/>
  <c r="I243" i="20"/>
  <c r="H343" i="20"/>
  <c r="V343" i="20" s="1"/>
  <c r="I343" i="20"/>
  <c r="W343" i="20" s="1"/>
  <c r="X343" i="20" s="1"/>
  <c r="I267" i="22"/>
  <c r="H267" i="22"/>
  <c r="I367" i="22"/>
  <c r="W367" i="22" s="1"/>
  <c r="X367" i="22" s="1"/>
  <c r="H367" i="22"/>
  <c r="V367" i="22" s="1"/>
  <c r="O27" i="19"/>
  <c r="P27" i="19" s="1"/>
  <c r="Q27" i="19" s="1"/>
  <c r="N170" i="22"/>
  <c r="N171" i="20"/>
  <c r="O176" i="6"/>
  <c r="U176" i="6" s="1"/>
  <c r="Q175" i="2"/>
  <c r="R175" i="2" s="1"/>
  <c r="Q350" i="2"/>
  <c r="R350" i="2" s="1"/>
  <c r="C27" i="11"/>
  <c r="M50" i="2"/>
  <c r="N50" i="2" s="1"/>
  <c r="N342" i="22"/>
  <c r="R342" i="22" s="1"/>
  <c r="S342" i="22" s="1"/>
  <c r="T342" i="22" s="1"/>
  <c r="N351" i="4"/>
  <c r="R351" i="4" s="1"/>
  <c r="S351" i="4" s="1"/>
  <c r="T351" i="4" s="1"/>
  <c r="P75" i="2"/>
  <c r="N76" i="4" s="1"/>
  <c r="M75" i="2"/>
  <c r="N75" i="2" s="1"/>
  <c r="P50" i="2"/>
  <c r="O51" i="6" s="1"/>
  <c r="V326" i="6"/>
  <c r="W326" i="6" s="1"/>
  <c r="Z326" i="6"/>
  <c r="S318" i="20"/>
  <c r="T318" i="20" s="1"/>
  <c r="S367" i="22"/>
  <c r="T367" i="22" s="1"/>
  <c r="S317" i="22"/>
  <c r="T317" i="22" s="1"/>
  <c r="S326" i="4"/>
  <c r="T326" i="4" s="1"/>
  <c r="W326" i="4"/>
  <c r="Q176" i="4"/>
  <c r="V176" i="4" s="1"/>
  <c r="F56" i="11" s="1"/>
  <c r="W56" i="11" s="1"/>
  <c r="R176" i="4"/>
  <c r="Q226" i="4"/>
  <c r="V226" i="4" s="1"/>
  <c r="H55" i="18" s="1"/>
  <c r="W55" i="18" s="1"/>
  <c r="R226" i="4"/>
  <c r="M74" i="22"/>
  <c r="M76" i="4"/>
  <c r="M75" i="20"/>
  <c r="N76" i="6"/>
  <c r="Q267" i="22"/>
  <c r="Q242" i="22"/>
  <c r="R242" i="22"/>
  <c r="Q301" i="4"/>
  <c r="V301" i="4" s="1"/>
  <c r="F55" i="19" s="1"/>
  <c r="R301" i="4"/>
  <c r="Q75" i="2"/>
  <c r="R75" i="2" s="1"/>
  <c r="V351" i="6"/>
  <c r="W351" i="6" s="1"/>
  <c r="Z351" i="6"/>
  <c r="R126" i="4"/>
  <c r="Q126" i="4"/>
  <c r="V126" i="4" s="1"/>
  <c r="D56" i="11" s="1"/>
  <c r="U56" i="11" s="1"/>
  <c r="V376" i="6"/>
  <c r="W376" i="6" s="1"/>
  <c r="Z376" i="6"/>
  <c r="T276" i="6"/>
  <c r="Y276" i="6" s="1"/>
  <c r="D83" i="19" s="1"/>
  <c r="T201" i="6"/>
  <c r="Y201" i="6" s="1"/>
  <c r="F84" i="18" s="1"/>
  <c r="U84" i="18" s="1"/>
  <c r="U201" i="6"/>
  <c r="T151" i="6"/>
  <c r="Y151" i="6" s="1"/>
  <c r="D84" i="18" s="1"/>
  <c r="S84" i="18" s="1"/>
  <c r="U151" i="6"/>
  <c r="T101" i="6"/>
  <c r="Y101" i="6" s="1"/>
  <c r="B84" i="18" s="1"/>
  <c r="Q84" i="18" s="1"/>
  <c r="U101" i="6"/>
  <c r="U251" i="6"/>
  <c r="T251" i="6"/>
  <c r="Y251" i="6" s="1"/>
  <c r="B83" i="19" s="1"/>
  <c r="M51" i="20"/>
  <c r="N51" i="6"/>
  <c r="M50" i="22"/>
  <c r="M51" i="4"/>
  <c r="Q275" i="2"/>
  <c r="R275" i="2" s="1"/>
  <c r="N267" i="22"/>
  <c r="R267" i="22" s="1"/>
  <c r="N276" i="4"/>
  <c r="R276" i="4" s="1"/>
  <c r="N268" i="20"/>
  <c r="R268" i="20" s="1"/>
  <c r="O276" i="6"/>
  <c r="U276" i="6" s="1"/>
  <c r="Q292" i="22"/>
  <c r="R292" i="22"/>
  <c r="Q25" i="2"/>
  <c r="R25" i="2" s="1"/>
  <c r="N26" i="22"/>
  <c r="N26" i="20"/>
  <c r="N26" i="4"/>
  <c r="O26" i="6"/>
  <c r="T176" i="6"/>
  <c r="Y176" i="6" s="1"/>
  <c r="F85" i="11" s="1"/>
  <c r="W85" i="11" s="1"/>
  <c r="T226" i="6"/>
  <c r="Y226" i="6" s="1"/>
  <c r="H84" i="18" s="1"/>
  <c r="W84" i="18" s="1"/>
  <c r="U226" i="6"/>
  <c r="Q268" i="20"/>
  <c r="Q243" i="20"/>
  <c r="R243" i="20"/>
  <c r="T301" i="6"/>
  <c r="Y301" i="6" s="1"/>
  <c r="F83" i="19" s="1"/>
  <c r="U301" i="6"/>
  <c r="S376" i="4"/>
  <c r="T376" i="4" s="1"/>
  <c r="W376" i="4"/>
  <c r="T126" i="6"/>
  <c r="Y126" i="6" s="1"/>
  <c r="D85" i="11" s="1"/>
  <c r="U85" i="11" s="1"/>
  <c r="U126" i="6"/>
  <c r="S368" i="20"/>
  <c r="T368" i="20" s="1"/>
  <c r="Q276" i="4"/>
  <c r="V276" i="4" s="1"/>
  <c r="D55" i="19" s="1"/>
  <c r="Q201" i="4"/>
  <c r="V201" i="4" s="1"/>
  <c r="F55" i="18" s="1"/>
  <c r="U55" i="18" s="1"/>
  <c r="R201" i="4"/>
  <c r="Q151" i="4"/>
  <c r="V151" i="4" s="1"/>
  <c r="D55" i="18" s="1"/>
  <c r="S55" i="18" s="1"/>
  <c r="R151" i="4"/>
  <c r="Q101" i="4"/>
  <c r="V101" i="4" s="1"/>
  <c r="B55" i="18" s="1"/>
  <c r="Q55" i="18" s="1"/>
  <c r="R101" i="4"/>
  <c r="Q251" i="4"/>
  <c r="V251" i="4" s="1"/>
  <c r="B55" i="19" s="1"/>
  <c r="R251" i="4"/>
  <c r="M26" i="22"/>
  <c r="M26" i="20"/>
  <c r="M26" i="4"/>
  <c r="N26" i="6"/>
  <c r="Q293" i="20"/>
  <c r="R293" i="20"/>
  <c r="O50" i="4"/>
  <c r="P25" i="4"/>
  <c r="P50" i="4" s="1"/>
  <c r="F25" i="4"/>
  <c r="F50" i="4" s="1"/>
  <c r="G25" i="4"/>
  <c r="G50" i="4" s="1"/>
  <c r="F75" i="4"/>
  <c r="G75" i="4"/>
  <c r="O125" i="4"/>
  <c r="O75" i="4" s="1"/>
  <c r="P125" i="4"/>
  <c r="P75" i="4" s="1"/>
  <c r="Y55" i="18" l="1"/>
  <c r="Y84" i="18"/>
  <c r="V242" i="22"/>
  <c r="V243" i="20"/>
  <c r="Q50" i="2"/>
  <c r="R50" i="2" s="1"/>
  <c r="V268" i="20"/>
  <c r="V293" i="20"/>
  <c r="V267" i="22"/>
  <c r="V292" i="22"/>
  <c r="O76" i="6"/>
  <c r="U76" i="6" s="1"/>
  <c r="N74" i="22"/>
  <c r="N75" i="20"/>
  <c r="N51" i="4"/>
  <c r="R51" i="4" s="1"/>
  <c r="N51" i="20"/>
  <c r="W351" i="4"/>
  <c r="K55" i="19" s="1"/>
  <c r="W342" i="22"/>
  <c r="X342" i="22" s="1"/>
  <c r="Y342" i="22" s="1"/>
  <c r="N50" i="22"/>
  <c r="N83" i="19"/>
  <c r="N55" i="19"/>
  <c r="J84" i="18"/>
  <c r="S267" i="22"/>
  <c r="T267" i="22" s="1"/>
  <c r="W267" i="22"/>
  <c r="X267" i="22" s="1"/>
  <c r="V276" i="6"/>
  <c r="W276" i="6" s="1"/>
  <c r="Z276" i="6"/>
  <c r="Q26" i="4"/>
  <c r="V26" i="4" s="1"/>
  <c r="B56" i="11" s="1"/>
  <c r="S56" i="11" s="1"/>
  <c r="R26" i="4"/>
  <c r="S101" i="4"/>
  <c r="T101" i="4" s="1"/>
  <c r="W101" i="4"/>
  <c r="T26" i="6"/>
  <c r="Y26" i="6" s="1"/>
  <c r="B85" i="11" s="1"/>
  <c r="S85" i="11" s="1"/>
  <c r="U26" i="6"/>
  <c r="S251" i="4"/>
  <c r="T251" i="4" s="1"/>
  <c r="W251" i="4"/>
  <c r="S151" i="4"/>
  <c r="T151" i="4" s="1"/>
  <c r="W151" i="4"/>
  <c r="S276" i="4"/>
  <c r="T276" i="4" s="1"/>
  <c r="W276" i="4"/>
  <c r="V126" i="6"/>
  <c r="W126" i="6" s="1"/>
  <c r="Z126" i="6"/>
  <c r="V226" i="6"/>
  <c r="W226" i="6" s="1"/>
  <c r="Z226" i="6"/>
  <c r="Q51" i="4"/>
  <c r="V51" i="4" s="1"/>
  <c r="H56" i="11" s="1"/>
  <c r="Y56" i="11" s="1"/>
  <c r="V151" i="6"/>
  <c r="W151" i="6" s="1"/>
  <c r="Z151" i="6"/>
  <c r="K83" i="19"/>
  <c r="AA351" i="6"/>
  <c r="Z317" i="22"/>
  <c r="Y317" i="22"/>
  <c r="Z367" i="22"/>
  <c r="Y367" i="22"/>
  <c r="AA326" i="6"/>
  <c r="AB326" i="6" s="1"/>
  <c r="I83" i="19"/>
  <c r="V301" i="6"/>
  <c r="W301" i="6" s="1"/>
  <c r="Z301" i="6"/>
  <c r="S268" i="20"/>
  <c r="T268" i="20" s="1"/>
  <c r="W268" i="20"/>
  <c r="X268" i="20" s="1"/>
  <c r="S292" i="22"/>
  <c r="T292" i="22" s="1"/>
  <c r="W292" i="22"/>
  <c r="X292" i="22" s="1"/>
  <c r="V251" i="6"/>
  <c r="W251" i="6" s="1"/>
  <c r="Z251" i="6"/>
  <c r="S242" i="22"/>
  <c r="T242" i="22" s="1"/>
  <c r="W242" i="22"/>
  <c r="X242" i="22" s="1"/>
  <c r="T76" i="6"/>
  <c r="Y76" i="6" s="1"/>
  <c r="J85" i="11" s="1"/>
  <c r="AA85" i="11" s="1"/>
  <c r="S226" i="4"/>
  <c r="T226" i="4" s="1"/>
  <c r="W226" i="4"/>
  <c r="X326" i="4"/>
  <c r="I55" i="19"/>
  <c r="S293" i="20"/>
  <c r="T293" i="20" s="1"/>
  <c r="W293" i="20"/>
  <c r="X293" i="20" s="1"/>
  <c r="Y368" i="20"/>
  <c r="Z368" i="20"/>
  <c r="M55" i="19"/>
  <c r="X376" i="4"/>
  <c r="V176" i="6"/>
  <c r="W176" i="6" s="1"/>
  <c r="Z176" i="6"/>
  <c r="T51" i="6"/>
  <c r="Y51" i="6" s="1"/>
  <c r="H85" i="11" s="1"/>
  <c r="Y85" i="11" s="1"/>
  <c r="U51" i="6"/>
  <c r="V101" i="6"/>
  <c r="W101" i="6" s="1"/>
  <c r="Z101" i="6"/>
  <c r="V201" i="6"/>
  <c r="W201" i="6" s="1"/>
  <c r="Z201" i="6"/>
  <c r="AA376" i="6"/>
  <c r="M83" i="19"/>
  <c r="J55" i="18"/>
  <c r="Z343" i="20"/>
  <c r="Y343" i="20"/>
  <c r="S201" i="4"/>
  <c r="T201" i="4" s="1"/>
  <c r="W201" i="4"/>
  <c r="S243" i="20"/>
  <c r="T243" i="20" s="1"/>
  <c r="W243" i="20"/>
  <c r="X243" i="20" s="1"/>
  <c r="S126" i="4"/>
  <c r="T126" i="4" s="1"/>
  <c r="W126" i="4"/>
  <c r="S301" i="4"/>
  <c r="T301" i="4" s="1"/>
  <c r="W301" i="4"/>
  <c r="R76" i="4"/>
  <c r="Q76" i="4"/>
  <c r="V76" i="4" s="1"/>
  <c r="J56" i="11" s="1"/>
  <c r="AA56" i="11" s="1"/>
  <c r="S176" i="4"/>
  <c r="T176" i="4" s="1"/>
  <c r="W176" i="4"/>
  <c r="Y318" i="20"/>
  <c r="Z318" i="20"/>
  <c r="P316" i="22"/>
  <c r="O316" i="22"/>
  <c r="G316" i="22"/>
  <c r="F316" i="22"/>
  <c r="G366" i="22"/>
  <c r="F366" i="22"/>
  <c r="G266" i="22"/>
  <c r="F266" i="22"/>
  <c r="P317" i="20"/>
  <c r="O317" i="20"/>
  <c r="G367" i="20"/>
  <c r="F367" i="20"/>
  <c r="G317" i="20"/>
  <c r="G267" i="20" s="1"/>
  <c r="F317" i="20"/>
  <c r="F267" i="20" s="1"/>
  <c r="Q325" i="6"/>
  <c r="P325" i="6"/>
  <c r="P325" i="4"/>
  <c r="O325" i="4"/>
  <c r="AC85" i="11" l="1"/>
  <c r="AC56" i="11"/>
  <c r="L56" i="11"/>
  <c r="X351" i="4"/>
  <c r="Y351" i="4" s="1"/>
  <c r="Z342" i="22"/>
  <c r="S76" i="4"/>
  <c r="T76" i="4" s="1"/>
  <c r="W76" i="4"/>
  <c r="AA201" i="6"/>
  <c r="G84" i="18"/>
  <c r="V84" i="18" s="1"/>
  <c r="V51" i="6"/>
  <c r="W51" i="6" s="1"/>
  <c r="Z51" i="6"/>
  <c r="Y376" i="4"/>
  <c r="Z376" i="4"/>
  <c r="Z293" i="20"/>
  <c r="Y293" i="20"/>
  <c r="I55" i="18"/>
  <c r="X55" i="18" s="1"/>
  <c r="X226" i="4"/>
  <c r="Z242" i="22"/>
  <c r="Y242" i="22"/>
  <c r="Z292" i="22"/>
  <c r="Y292" i="22"/>
  <c r="AA301" i="6"/>
  <c r="G83" i="19"/>
  <c r="AB351" i="6"/>
  <c r="AC351" i="6"/>
  <c r="AA151" i="6"/>
  <c r="E84" i="18"/>
  <c r="T84" i="18" s="1"/>
  <c r="AA226" i="6"/>
  <c r="I84" i="18"/>
  <c r="X84" i="18" s="1"/>
  <c r="X276" i="4"/>
  <c r="E55" i="19"/>
  <c r="C55" i="19"/>
  <c r="X251" i="4"/>
  <c r="C55" i="18"/>
  <c r="R55" i="18" s="1"/>
  <c r="X101" i="4"/>
  <c r="AA276" i="6"/>
  <c r="AB276" i="6" s="1"/>
  <c r="E83" i="19"/>
  <c r="X176" i="4"/>
  <c r="G56" i="11"/>
  <c r="X56" i="11" s="1"/>
  <c r="X301" i="4"/>
  <c r="G55" i="19"/>
  <c r="AA101" i="6"/>
  <c r="C84" i="18"/>
  <c r="R84" i="18" s="1"/>
  <c r="AA176" i="6"/>
  <c r="G85" i="11"/>
  <c r="X85" i="11" s="1"/>
  <c r="L85" i="11"/>
  <c r="AA251" i="6"/>
  <c r="C83" i="19"/>
  <c r="Z268" i="20"/>
  <c r="Y268" i="20"/>
  <c r="S51" i="4"/>
  <c r="T51" i="4" s="1"/>
  <c r="W51" i="4"/>
  <c r="AA126" i="6"/>
  <c r="E85" i="11"/>
  <c r="V85" i="11" s="1"/>
  <c r="E55" i="18"/>
  <c r="T55" i="18" s="1"/>
  <c r="X151" i="4"/>
  <c r="V26" i="6"/>
  <c r="W26" i="6" s="1"/>
  <c r="Z26" i="6"/>
  <c r="W26" i="4"/>
  <c r="S26" i="4"/>
  <c r="T26" i="4" s="1"/>
  <c r="Z267" i="22"/>
  <c r="Y267" i="22"/>
  <c r="Z243" i="20"/>
  <c r="Y243" i="20"/>
  <c r="X126" i="4"/>
  <c r="E56" i="11"/>
  <c r="V56" i="11" s="1"/>
  <c r="G55" i="18"/>
  <c r="V55" i="18" s="1"/>
  <c r="X201" i="4"/>
  <c r="AC376" i="6"/>
  <c r="AB376" i="6"/>
  <c r="Y326" i="4"/>
  <c r="Z326" i="4"/>
  <c r="V76" i="6"/>
  <c r="W76" i="6" s="1"/>
  <c r="Z76" i="6"/>
  <c r="J48" i="2"/>
  <c r="I45" i="2"/>
  <c r="Z351" i="4" l="1"/>
  <c r="O83" i="19"/>
  <c r="P83" i="19" s="1"/>
  <c r="Q83" i="19" s="1"/>
  <c r="AA76" i="6"/>
  <c r="K85" i="11"/>
  <c r="AB85" i="11" s="1"/>
  <c r="AA26" i="6"/>
  <c r="C85" i="11"/>
  <c r="T85" i="11" s="1"/>
  <c r="AC251" i="6"/>
  <c r="AB251" i="6"/>
  <c r="O55" i="19"/>
  <c r="P55" i="19" s="1"/>
  <c r="Q55" i="19" s="1"/>
  <c r="Z251" i="4"/>
  <c r="Y251" i="4"/>
  <c r="Z226" i="4"/>
  <c r="Y226" i="4"/>
  <c r="K84" i="18"/>
  <c r="L84" i="18" s="1"/>
  <c r="M84" i="18" s="1"/>
  <c r="Z84" i="18" s="1"/>
  <c r="Z126" i="4"/>
  <c r="Y126" i="4"/>
  <c r="AC126" i="6"/>
  <c r="AB126" i="6"/>
  <c r="AB101" i="6"/>
  <c r="AC101" i="6"/>
  <c r="Z301" i="4"/>
  <c r="Y301" i="4"/>
  <c r="AC226" i="6"/>
  <c r="AB226" i="6"/>
  <c r="AB201" i="6"/>
  <c r="AC201" i="6"/>
  <c r="Z201" i="4"/>
  <c r="Y201" i="4"/>
  <c r="Z151" i="4"/>
  <c r="Y151" i="4"/>
  <c r="I56" i="11"/>
  <c r="Z56" i="11" s="1"/>
  <c r="X51" i="4"/>
  <c r="Z101" i="4"/>
  <c r="Y101" i="4"/>
  <c r="AA51" i="6"/>
  <c r="I85" i="11"/>
  <c r="Z85" i="11" s="1"/>
  <c r="X76" i="4"/>
  <c r="K56" i="11"/>
  <c r="AB56" i="11" s="1"/>
  <c r="X26" i="4"/>
  <c r="C56" i="11"/>
  <c r="T56" i="11" s="1"/>
  <c r="K55" i="18"/>
  <c r="L55" i="18" s="1"/>
  <c r="M55" i="18" s="1"/>
  <c r="Z55" i="18" s="1"/>
  <c r="AB176" i="6"/>
  <c r="AC176" i="6"/>
  <c r="Y176" i="4"/>
  <c r="Z176" i="4"/>
  <c r="Z276" i="4"/>
  <c r="Y276" i="4"/>
  <c r="AB151" i="6"/>
  <c r="AC151" i="6"/>
  <c r="AC301" i="6"/>
  <c r="AB301" i="6"/>
  <c r="I48" i="2"/>
  <c r="I121" i="2"/>
  <c r="I375" i="6"/>
  <c r="J375" i="6"/>
  <c r="K375" i="6" s="1"/>
  <c r="L375" i="6" s="1"/>
  <c r="I350" i="6"/>
  <c r="J350" i="6"/>
  <c r="K350" i="6" s="1"/>
  <c r="L350" i="6" s="1"/>
  <c r="I325" i="6"/>
  <c r="J325" i="6"/>
  <c r="K325" i="6" s="1"/>
  <c r="L325" i="6" s="1"/>
  <c r="I300" i="6"/>
  <c r="J300" i="6"/>
  <c r="K300" i="6" s="1"/>
  <c r="L300" i="6" s="1"/>
  <c r="I275" i="6"/>
  <c r="J275" i="6"/>
  <c r="K275" i="6" s="1"/>
  <c r="L275" i="6" s="1"/>
  <c r="I250" i="6"/>
  <c r="J250" i="6"/>
  <c r="K250" i="6" s="1"/>
  <c r="L250" i="6" s="1"/>
  <c r="I225" i="6"/>
  <c r="J225" i="6"/>
  <c r="K225" i="6" s="1"/>
  <c r="L225" i="6" s="1"/>
  <c r="I200" i="6"/>
  <c r="J200" i="6"/>
  <c r="K200" i="6" s="1"/>
  <c r="L200" i="6" s="1"/>
  <c r="I175" i="6"/>
  <c r="J175" i="6"/>
  <c r="K175" i="6" s="1"/>
  <c r="L175" i="6" s="1"/>
  <c r="I150" i="6"/>
  <c r="J150" i="6"/>
  <c r="K150" i="6" s="1"/>
  <c r="L150" i="6" s="1"/>
  <c r="I125" i="6"/>
  <c r="J125" i="6"/>
  <c r="K125" i="6" s="1"/>
  <c r="L125" i="6" s="1"/>
  <c r="I100" i="6"/>
  <c r="J100" i="6"/>
  <c r="K100" i="6" s="1"/>
  <c r="L100" i="6" s="1"/>
  <c r="I75" i="6"/>
  <c r="J75" i="6"/>
  <c r="K75" i="6" s="1"/>
  <c r="L75" i="6" s="1"/>
  <c r="I50" i="6"/>
  <c r="J50" i="6"/>
  <c r="K50" i="6" s="1"/>
  <c r="L50" i="6" s="1"/>
  <c r="I25" i="6"/>
  <c r="J25" i="6"/>
  <c r="K25" i="6" s="1"/>
  <c r="L25" i="6" s="1"/>
  <c r="H375" i="4"/>
  <c r="I375" i="4"/>
  <c r="J375" i="4" s="1"/>
  <c r="K375" i="4" s="1"/>
  <c r="H350" i="4"/>
  <c r="I350" i="4"/>
  <c r="J350" i="4" s="1"/>
  <c r="K350" i="4" s="1"/>
  <c r="H325" i="4"/>
  <c r="I325" i="4"/>
  <c r="J325" i="4" s="1"/>
  <c r="K325" i="4" s="1"/>
  <c r="H300" i="4"/>
  <c r="I300" i="4"/>
  <c r="J300" i="4" s="1"/>
  <c r="K300" i="4" s="1"/>
  <c r="H275" i="4"/>
  <c r="I275" i="4"/>
  <c r="J275" i="4" s="1"/>
  <c r="K275" i="4" s="1"/>
  <c r="H250" i="4"/>
  <c r="I250" i="4"/>
  <c r="J250" i="4" s="1"/>
  <c r="K250" i="4" s="1"/>
  <c r="H225" i="4"/>
  <c r="I225" i="4"/>
  <c r="J225" i="4" s="1"/>
  <c r="K225" i="4" s="1"/>
  <c r="H200" i="4"/>
  <c r="I200" i="4"/>
  <c r="J200" i="4" s="1"/>
  <c r="K200" i="4" s="1"/>
  <c r="H175" i="4"/>
  <c r="I175" i="4"/>
  <c r="J175" i="4" s="1"/>
  <c r="K175" i="4" s="1"/>
  <c r="H150" i="4"/>
  <c r="I150" i="4"/>
  <c r="J150" i="4" s="1"/>
  <c r="K150" i="4" s="1"/>
  <c r="H125" i="4"/>
  <c r="I125" i="4"/>
  <c r="J125" i="4" s="1"/>
  <c r="K125" i="4" s="1"/>
  <c r="H100" i="4"/>
  <c r="I100" i="4"/>
  <c r="J100" i="4" s="1"/>
  <c r="K100" i="4" s="1"/>
  <c r="H75" i="4"/>
  <c r="I75" i="4"/>
  <c r="J75" i="4" s="1"/>
  <c r="K75" i="4" s="1"/>
  <c r="H50" i="4"/>
  <c r="I50" i="4"/>
  <c r="J50" i="4" s="1"/>
  <c r="K50" i="4" s="1"/>
  <c r="H25" i="4"/>
  <c r="I25" i="4"/>
  <c r="J25" i="4" s="1"/>
  <c r="K25" i="4" s="1"/>
  <c r="I374" i="2"/>
  <c r="K374" i="2" s="1"/>
  <c r="O374" i="2" s="1"/>
  <c r="M367" i="20" s="1"/>
  <c r="J374" i="2"/>
  <c r="I349" i="2"/>
  <c r="K349" i="2" s="1"/>
  <c r="O349" i="2" s="1"/>
  <c r="M341" i="22" s="1"/>
  <c r="J349" i="2"/>
  <c r="I324" i="2"/>
  <c r="K324" i="2" s="1"/>
  <c r="O324" i="2" s="1"/>
  <c r="N325" i="6" s="1"/>
  <c r="J324" i="2"/>
  <c r="I299" i="2"/>
  <c r="K299" i="2" s="1"/>
  <c r="O299" i="2" s="1"/>
  <c r="M292" i="20" s="1"/>
  <c r="J299" i="2"/>
  <c r="I274" i="2"/>
  <c r="K274" i="2" s="1"/>
  <c r="O274" i="2" s="1"/>
  <c r="M266" i="22" s="1"/>
  <c r="J274" i="2"/>
  <c r="I249" i="2"/>
  <c r="K249" i="2" s="1"/>
  <c r="O249" i="2" s="1"/>
  <c r="M241" i="22" s="1"/>
  <c r="J249" i="2"/>
  <c r="I224" i="2"/>
  <c r="K224" i="2" s="1"/>
  <c r="O224" i="2" s="1"/>
  <c r="M218" i="20" s="1"/>
  <c r="J224" i="2"/>
  <c r="I199" i="2"/>
  <c r="K199" i="2" s="1"/>
  <c r="O199" i="2" s="1"/>
  <c r="M194" i="20" s="1"/>
  <c r="J199" i="2"/>
  <c r="I174" i="2"/>
  <c r="K174" i="2" s="1"/>
  <c r="O174" i="2" s="1"/>
  <c r="N175" i="6" s="1"/>
  <c r="J174" i="2"/>
  <c r="I149" i="2"/>
  <c r="K149" i="2" s="1"/>
  <c r="O149" i="2" s="1"/>
  <c r="N150" i="6" s="1"/>
  <c r="J149" i="2"/>
  <c r="I124" i="2"/>
  <c r="K124" i="2" s="1"/>
  <c r="O124" i="2" s="1"/>
  <c r="M121" i="22" s="1"/>
  <c r="J124" i="2"/>
  <c r="I99" i="2"/>
  <c r="K99" i="2" s="1"/>
  <c r="O99" i="2" s="1"/>
  <c r="M98" i="20" s="1"/>
  <c r="J99" i="2"/>
  <c r="I74" i="2"/>
  <c r="K74" i="2" s="1"/>
  <c r="O74" i="2" s="1"/>
  <c r="M74" i="20" s="1"/>
  <c r="J74" i="2"/>
  <c r="I49" i="2"/>
  <c r="K49" i="2" s="1"/>
  <c r="O49" i="2" s="1"/>
  <c r="J49" i="2"/>
  <c r="J23" i="2"/>
  <c r="I24" i="2"/>
  <c r="J24" i="2"/>
  <c r="I23" i="2"/>
  <c r="K23" i="2" s="1"/>
  <c r="D74" i="4"/>
  <c r="M85" i="11" l="1"/>
  <c r="N85" i="11" s="1"/>
  <c r="O85" i="11" s="1"/>
  <c r="AD85" i="11" s="1"/>
  <c r="L99" i="2"/>
  <c r="L299" i="2"/>
  <c r="M299" i="2" s="1"/>
  <c r="N299" i="2" s="1"/>
  <c r="Z76" i="4"/>
  <c r="Y76" i="4"/>
  <c r="AB26" i="6"/>
  <c r="AC26" i="6"/>
  <c r="N50" i="6"/>
  <c r="T50" i="6" s="1"/>
  <c r="Y50" i="6" s="1"/>
  <c r="M50" i="20"/>
  <c r="K24" i="2"/>
  <c r="O24" i="2" s="1"/>
  <c r="Z26" i="4"/>
  <c r="Y26" i="4"/>
  <c r="AC51" i="6"/>
  <c r="AB51" i="6"/>
  <c r="Y51" i="4"/>
  <c r="Z51" i="4"/>
  <c r="M56" i="11"/>
  <c r="N56" i="11" s="1"/>
  <c r="O56" i="11" s="1"/>
  <c r="AD56" i="11" s="1"/>
  <c r="AC76" i="6"/>
  <c r="AB76" i="6"/>
  <c r="L149" i="2"/>
  <c r="M149" i="2" s="1"/>
  <c r="N149" i="2" s="1"/>
  <c r="L249" i="2"/>
  <c r="M249" i="2" s="1"/>
  <c r="N249" i="2" s="1"/>
  <c r="L349" i="2"/>
  <c r="M349" i="2" s="1"/>
  <c r="N349" i="2" s="1"/>
  <c r="L74" i="2"/>
  <c r="P74" i="2" s="1"/>
  <c r="L174" i="2"/>
  <c r="M174" i="2" s="1"/>
  <c r="N174" i="2" s="1"/>
  <c r="L274" i="2"/>
  <c r="P274" i="2" s="1"/>
  <c r="L374" i="2"/>
  <c r="P374" i="2" s="1"/>
  <c r="M146" i="20"/>
  <c r="M97" i="22"/>
  <c r="L49" i="2"/>
  <c r="M49" i="2" s="1"/>
  <c r="N49" i="2" s="1"/>
  <c r="M100" i="4"/>
  <c r="Q100" i="4" s="1"/>
  <c r="V100" i="4" s="1"/>
  <c r="M342" i="20"/>
  <c r="Q342" i="20" s="1"/>
  <c r="M200" i="4"/>
  <c r="Q200" i="4" s="1"/>
  <c r="V200" i="4" s="1"/>
  <c r="M170" i="20"/>
  <c r="M73" i="22"/>
  <c r="M300" i="4"/>
  <c r="Q300" i="4" s="1"/>
  <c r="V300" i="4" s="1"/>
  <c r="L24" i="2"/>
  <c r="M24" i="2" s="1"/>
  <c r="N24" i="2" s="1"/>
  <c r="M267" i="20"/>
  <c r="Q267" i="20" s="1"/>
  <c r="Q341" i="22"/>
  <c r="T325" i="6"/>
  <c r="Y325" i="6" s="1"/>
  <c r="T150" i="6"/>
  <c r="Y150" i="6" s="1"/>
  <c r="Q241" i="22"/>
  <c r="T175" i="6"/>
  <c r="Y175" i="6" s="1"/>
  <c r="Q367" i="20"/>
  <c r="Q266" i="22"/>
  <c r="Q292" i="20"/>
  <c r="M217" i="22"/>
  <c r="M316" i="22"/>
  <c r="N125" i="6"/>
  <c r="N225" i="6"/>
  <c r="M75" i="4"/>
  <c r="M175" i="4"/>
  <c r="M275" i="4"/>
  <c r="M375" i="4"/>
  <c r="M122" i="20"/>
  <c r="M49" i="22"/>
  <c r="M193" i="22"/>
  <c r="N100" i="6"/>
  <c r="N200" i="6"/>
  <c r="N300" i="6"/>
  <c r="M317" i="20"/>
  <c r="M366" i="22"/>
  <c r="M50" i="4"/>
  <c r="M150" i="4"/>
  <c r="M250" i="4"/>
  <c r="M350" i="4"/>
  <c r="M242" i="20"/>
  <c r="M169" i="22"/>
  <c r="N75" i="6"/>
  <c r="N275" i="6"/>
  <c r="N375" i="6"/>
  <c r="M291" i="22"/>
  <c r="M125" i="4"/>
  <c r="M225" i="4"/>
  <c r="M325" i="4"/>
  <c r="M145" i="22"/>
  <c r="L124" i="2"/>
  <c r="M124" i="2" s="1"/>
  <c r="N124" i="2" s="1"/>
  <c r="L324" i="2"/>
  <c r="P324" i="2" s="1"/>
  <c r="N250" i="6"/>
  <c r="N350" i="6"/>
  <c r="L224" i="2"/>
  <c r="L199" i="2"/>
  <c r="M99" i="2"/>
  <c r="N99" i="2" s="1"/>
  <c r="P99" i="2"/>
  <c r="P349" i="2" l="1"/>
  <c r="P49" i="2"/>
  <c r="N50" i="20" s="1"/>
  <c r="M74" i="2"/>
  <c r="N74" i="2" s="1"/>
  <c r="P299" i="2"/>
  <c r="N292" i="20" s="1"/>
  <c r="R292" i="20" s="1"/>
  <c r="S292" i="20" s="1"/>
  <c r="T292" i="20" s="1"/>
  <c r="M25" i="20"/>
  <c r="M25" i="4"/>
  <c r="N25" i="6"/>
  <c r="T25" i="6" s="1"/>
  <c r="Y25" i="6" s="1"/>
  <c r="M25" i="22"/>
  <c r="T100" i="6"/>
  <c r="Y100" i="6" s="1"/>
  <c r="P174" i="2"/>
  <c r="Q174" i="2" s="1"/>
  <c r="R174" i="2" s="1"/>
  <c r="M274" i="2"/>
  <c r="N274" i="2" s="1"/>
  <c r="P149" i="2"/>
  <c r="O150" i="6" s="1"/>
  <c r="U150" i="6" s="1"/>
  <c r="M374" i="2"/>
  <c r="N374" i="2" s="1"/>
  <c r="P249" i="2"/>
  <c r="N242" i="20" s="1"/>
  <c r="R242" i="20" s="1"/>
  <c r="P24" i="2"/>
  <c r="N25" i="20" s="1"/>
  <c r="P124" i="2"/>
  <c r="N122" i="20" s="1"/>
  <c r="Q324" i="2"/>
  <c r="R324" i="2" s="1"/>
  <c r="O325" i="6"/>
  <c r="U325" i="6" s="1"/>
  <c r="N325" i="4"/>
  <c r="R325" i="4" s="1"/>
  <c r="N317" i="20"/>
  <c r="R317" i="20" s="1"/>
  <c r="N316" i="22"/>
  <c r="R316" i="22" s="1"/>
  <c r="T75" i="6"/>
  <c r="Y75" i="6" s="1"/>
  <c r="Q50" i="4"/>
  <c r="V50" i="4" s="1"/>
  <c r="Q99" i="2"/>
  <c r="R99" i="2" s="1"/>
  <c r="N97" i="22"/>
  <c r="N100" i="4"/>
  <c r="R100" i="4" s="1"/>
  <c r="N98" i="20"/>
  <c r="O100" i="6"/>
  <c r="U100" i="6" s="1"/>
  <c r="M324" i="2"/>
  <c r="N324" i="2" s="1"/>
  <c r="Q325" i="4"/>
  <c r="V325" i="4" s="1"/>
  <c r="Q366" i="22"/>
  <c r="Q75" i="4"/>
  <c r="V75" i="4" s="1"/>
  <c r="Q175" i="4"/>
  <c r="V175" i="4" s="1"/>
  <c r="Q225" i="4"/>
  <c r="V225" i="4" s="1"/>
  <c r="T225" i="6"/>
  <c r="Y225" i="6" s="1"/>
  <c r="T275" i="6"/>
  <c r="Y275" i="6" s="1"/>
  <c r="T350" i="6"/>
  <c r="Y350" i="6" s="1"/>
  <c r="Q242" i="20"/>
  <c r="Q317" i="20"/>
  <c r="T125" i="6"/>
  <c r="Y125" i="6" s="1"/>
  <c r="Q150" i="4"/>
  <c r="V150" i="4" s="1"/>
  <c r="Q349" i="2"/>
  <c r="R349" i="2" s="1"/>
  <c r="N342" i="20"/>
  <c r="R342" i="20" s="1"/>
  <c r="S342" i="20" s="1"/>
  <c r="T342" i="20" s="1"/>
  <c r="N341" i="22"/>
  <c r="R341" i="22" s="1"/>
  <c r="S341" i="22" s="1"/>
  <c r="T341" i="22" s="1"/>
  <c r="O350" i="6"/>
  <c r="U350" i="6" s="1"/>
  <c r="N350" i="4"/>
  <c r="R350" i="4" s="1"/>
  <c r="Q125" i="4"/>
  <c r="V125" i="4" s="1"/>
  <c r="T250" i="6"/>
  <c r="Y250" i="6" s="1"/>
  <c r="Q25" i="4"/>
  <c r="V25" i="4" s="1"/>
  <c r="T300" i="6"/>
  <c r="Y300" i="6" s="1"/>
  <c r="Q316" i="22"/>
  <c r="Q350" i="4"/>
  <c r="V350" i="4" s="1"/>
  <c r="Q49" i="2"/>
  <c r="R49" i="2" s="1"/>
  <c r="O50" i="6"/>
  <c r="U50" i="6" s="1"/>
  <c r="N49" i="22"/>
  <c r="N50" i="4"/>
  <c r="R50" i="4" s="1"/>
  <c r="Q274" i="2"/>
  <c r="R274" i="2" s="1"/>
  <c r="N266" i="22"/>
  <c r="R266" i="22" s="1"/>
  <c r="N267" i="20"/>
  <c r="R267" i="20" s="1"/>
  <c r="O275" i="6"/>
  <c r="U275" i="6" s="1"/>
  <c r="N275" i="4"/>
  <c r="R275" i="4" s="1"/>
  <c r="Q374" i="2"/>
  <c r="R374" i="2" s="1"/>
  <c r="N367" i="20"/>
  <c r="R367" i="20" s="1"/>
  <c r="O375" i="6"/>
  <c r="U375" i="6" s="1"/>
  <c r="N366" i="22"/>
  <c r="R366" i="22" s="1"/>
  <c r="N375" i="4"/>
  <c r="R375" i="4" s="1"/>
  <c r="Q291" i="22"/>
  <c r="T200" i="6"/>
  <c r="Y200" i="6" s="1"/>
  <c r="T375" i="6"/>
  <c r="Y375" i="6" s="1"/>
  <c r="Q250" i="4"/>
  <c r="V250" i="4" s="1"/>
  <c r="Q375" i="4"/>
  <c r="V375" i="4" s="1"/>
  <c r="Q74" i="2"/>
  <c r="R74" i="2" s="1"/>
  <c r="N74" i="20"/>
  <c r="O75" i="6"/>
  <c r="U75" i="6" s="1"/>
  <c r="N75" i="4"/>
  <c r="R75" i="4" s="1"/>
  <c r="N73" i="22"/>
  <c r="Q275" i="4"/>
  <c r="V275" i="4" s="1"/>
  <c r="M224" i="2"/>
  <c r="N224" i="2" s="1"/>
  <c r="P224" i="2"/>
  <c r="M199" i="2"/>
  <c r="N199" i="2" s="1"/>
  <c r="P199" i="2"/>
  <c r="O300" i="6" l="1"/>
  <c r="U300" i="6" s="1"/>
  <c r="N291" i="22"/>
  <c r="R291" i="22" s="1"/>
  <c r="S291" i="22" s="1"/>
  <c r="T291" i="22" s="1"/>
  <c r="N300" i="4"/>
  <c r="R300" i="4" s="1"/>
  <c r="Q299" i="2"/>
  <c r="R299" i="2" s="1"/>
  <c r="N150" i="4"/>
  <c r="R150" i="4" s="1"/>
  <c r="S150" i="4" s="1"/>
  <c r="T150" i="4" s="1"/>
  <c r="Q149" i="2"/>
  <c r="R149" i="2" s="1"/>
  <c r="N250" i="4"/>
  <c r="R250" i="4" s="1"/>
  <c r="W250" i="4" s="1"/>
  <c r="X250" i="4" s="1"/>
  <c r="O25" i="6"/>
  <c r="U25" i="6" s="1"/>
  <c r="Z25" i="6" s="1"/>
  <c r="AA25" i="6" s="1"/>
  <c r="Q24" i="2"/>
  <c r="R24" i="2" s="1"/>
  <c r="N175" i="4"/>
  <c r="R175" i="4" s="1"/>
  <c r="S175" i="4" s="1"/>
  <c r="T175" i="4" s="1"/>
  <c r="N169" i="22"/>
  <c r="O175" i="6"/>
  <c r="U175" i="6" s="1"/>
  <c r="Z175" i="6" s="1"/>
  <c r="AA175" i="6" s="1"/>
  <c r="N170" i="20"/>
  <c r="N121" i="22"/>
  <c r="N146" i="20"/>
  <c r="Q124" i="2"/>
  <c r="R124" i="2" s="1"/>
  <c r="N145" i="22"/>
  <c r="O125" i="6"/>
  <c r="U125" i="6" s="1"/>
  <c r="Z125" i="6" s="1"/>
  <c r="AA125" i="6" s="1"/>
  <c r="N125" i="4"/>
  <c r="R125" i="4" s="1"/>
  <c r="S125" i="4" s="1"/>
  <c r="T125" i="4" s="1"/>
  <c r="O250" i="6"/>
  <c r="U250" i="6" s="1"/>
  <c r="V250" i="6" s="1"/>
  <c r="W250" i="6" s="1"/>
  <c r="N241" i="22"/>
  <c r="R241" i="22" s="1"/>
  <c r="Q249" i="2"/>
  <c r="R249" i="2" s="1"/>
  <c r="N25" i="22"/>
  <c r="N25" i="4"/>
  <c r="R25" i="4" s="1"/>
  <c r="S25" i="4" s="1"/>
  <c r="T25" i="4" s="1"/>
  <c r="V275" i="6"/>
  <c r="W275" i="6" s="1"/>
  <c r="Z275" i="6"/>
  <c r="AA275" i="6" s="1"/>
  <c r="S350" i="4"/>
  <c r="T350" i="4" s="1"/>
  <c r="W350" i="4"/>
  <c r="X350" i="4" s="1"/>
  <c r="W150" i="4"/>
  <c r="X150" i="4" s="1"/>
  <c r="S250" i="4"/>
  <c r="T250" i="4" s="1"/>
  <c r="V350" i="6"/>
  <c r="W350" i="6" s="1"/>
  <c r="Z350" i="6"/>
  <c r="AA350" i="6" s="1"/>
  <c r="V75" i="6"/>
  <c r="W75" i="6" s="1"/>
  <c r="Z75" i="6"/>
  <c r="AA75" i="6" s="1"/>
  <c r="S366" i="22"/>
  <c r="T366" i="22" s="1"/>
  <c r="S75" i="4"/>
  <c r="T75" i="4" s="1"/>
  <c r="W75" i="4"/>
  <c r="X75" i="4" s="1"/>
  <c r="S275" i="4"/>
  <c r="T275" i="4" s="1"/>
  <c r="W275" i="4"/>
  <c r="X275" i="4" s="1"/>
  <c r="V300" i="6"/>
  <c r="W300" i="6" s="1"/>
  <c r="Z300" i="6"/>
  <c r="AA300" i="6" s="1"/>
  <c r="S325" i="4"/>
  <c r="T325" i="4" s="1"/>
  <c r="W325" i="4"/>
  <c r="X325" i="4" s="1"/>
  <c r="Q224" i="2"/>
  <c r="R224" i="2" s="1"/>
  <c r="N217" i="22"/>
  <c r="N218" i="20"/>
  <c r="N225" i="4"/>
  <c r="R225" i="4" s="1"/>
  <c r="O225" i="6"/>
  <c r="U225" i="6" s="1"/>
  <c r="V150" i="6"/>
  <c r="W150" i="6" s="1"/>
  <c r="Z150" i="6"/>
  <c r="AA150" i="6" s="1"/>
  <c r="S367" i="20"/>
  <c r="T367" i="20" s="1"/>
  <c r="S317" i="20"/>
  <c r="T317" i="20" s="1"/>
  <c r="V100" i="6"/>
  <c r="W100" i="6" s="1"/>
  <c r="Z100" i="6"/>
  <c r="AA100" i="6" s="1"/>
  <c r="S300" i="4"/>
  <c r="T300" i="4" s="1"/>
  <c r="W300" i="4"/>
  <c r="X300" i="4" s="1"/>
  <c r="S100" i="4"/>
  <c r="T100" i="4" s="1"/>
  <c r="W100" i="4"/>
  <c r="X100" i="4" s="1"/>
  <c r="Q199" i="2"/>
  <c r="R199" i="2" s="1"/>
  <c r="N200" i="4"/>
  <c r="R200" i="4" s="1"/>
  <c r="N194" i="20"/>
  <c r="O200" i="6"/>
  <c r="U200" i="6" s="1"/>
  <c r="N193" i="22"/>
  <c r="V50" i="6"/>
  <c r="W50" i="6" s="1"/>
  <c r="Z50" i="6"/>
  <c r="AA50" i="6" s="1"/>
  <c r="S242" i="20"/>
  <c r="T242" i="20" s="1"/>
  <c r="S266" i="22"/>
  <c r="T266" i="22" s="1"/>
  <c r="S50" i="4"/>
  <c r="T50" i="4" s="1"/>
  <c r="W50" i="4"/>
  <c r="X50" i="4" s="1"/>
  <c r="V375" i="6"/>
  <c r="W375" i="6" s="1"/>
  <c r="Z375" i="6"/>
  <c r="AA375" i="6" s="1"/>
  <c r="S316" i="22"/>
  <c r="T316" i="22" s="1"/>
  <c r="V325" i="6"/>
  <c r="W325" i="6" s="1"/>
  <c r="Z325" i="6"/>
  <c r="AA325" i="6" s="1"/>
  <c r="S375" i="4"/>
  <c r="T375" i="4" s="1"/>
  <c r="W375" i="4"/>
  <c r="X375" i="4" s="1"/>
  <c r="S267" i="20"/>
  <c r="T267" i="20" s="1"/>
  <c r="H223" i="13"/>
  <c r="I223" i="13"/>
  <c r="H195" i="13"/>
  <c r="I195" i="13"/>
  <c r="B167" i="13"/>
  <c r="C167" i="13"/>
  <c r="H167" i="13"/>
  <c r="I167" i="13"/>
  <c r="B139" i="13"/>
  <c r="C139" i="13"/>
  <c r="H139" i="13"/>
  <c r="I139" i="13"/>
  <c r="B111" i="13"/>
  <c r="C111" i="13"/>
  <c r="H111" i="13"/>
  <c r="I111" i="13"/>
  <c r="B83" i="13"/>
  <c r="C83" i="13"/>
  <c r="H83" i="13"/>
  <c r="I83" i="13"/>
  <c r="B55" i="13"/>
  <c r="C55" i="13"/>
  <c r="H55" i="13"/>
  <c r="I55" i="13"/>
  <c r="B27" i="13"/>
  <c r="C27" i="13"/>
  <c r="H27" i="13"/>
  <c r="I27" i="13"/>
  <c r="C191" i="10"/>
  <c r="D191" i="10"/>
  <c r="E191" i="10"/>
  <c r="F191" i="10" s="1"/>
  <c r="G191" i="10" s="1"/>
  <c r="C179" i="10"/>
  <c r="D179" i="10"/>
  <c r="E179" i="10"/>
  <c r="F179" i="10" s="1"/>
  <c r="G179" i="10" s="1"/>
  <c r="C167" i="10"/>
  <c r="D167" i="10"/>
  <c r="E167" i="10"/>
  <c r="F167" i="10" s="1"/>
  <c r="G167" i="10" s="1"/>
  <c r="C155" i="10"/>
  <c r="D155" i="10"/>
  <c r="E155" i="10"/>
  <c r="F155" i="10" s="1"/>
  <c r="G155" i="10" s="1"/>
  <c r="C143" i="10"/>
  <c r="D143" i="10"/>
  <c r="E143" i="10"/>
  <c r="F143" i="10" s="1"/>
  <c r="G143" i="10" s="1"/>
  <c r="C131" i="10"/>
  <c r="D131" i="10"/>
  <c r="E131" i="10"/>
  <c r="F131" i="10" s="1"/>
  <c r="G131" i="10" s="1"/>
  <c r="C119" i="10"/>
  <c r="D119" i="10"/>
  <c r="E119" i="10"/>
  <c r="F119" i="10" s="1"/>
  <c r="G119" i="10" s="1"/>
  <c r="C107" i="10"/>
  <c r="F107" i="10"/>
  <c r="G107" i="10" s="1"/>
  <c r="F95" i="10"/>
  <c r="G95" i="10" s="1"/>
  <c r="C83" i="10"/>
  <c r="D83" i="10"/>
  <c r="E83" i="10"/>
  <c r="F83" i="10" s="1"/>
  <c r="G83" i="10" s="1"/>
  <c r="C71" i="10"/>
  <c r="D71" i="10"/>
  <c r="E71" i="10"/>
  <c r="F71" i="10" s="1"/>
  <c r="G71" i="10" s="1"/>
  <c r="C59" i="10"/>
  <c r="D59" i="10"/>
  <c r="E59" i="10"/>
  <c r="F59" i="10" s="1"/>
  <c r="G59" i="10" s="1"/>
  <c r="C35" i="10"/>
  <c r="D35" i="10"/>
  <c r="E35" i="10"/>
  <c r="F35" i="10" s="1"/>
  <c r="G35" i="10" s="1"/>
  <c r="C47" i="10"/>
  <c r="D47" i="10"/>
  <c r="E47" i="10"/>
  <c r="F47" i="10" s="1"/>
  <c r="G47" i="10" s="1"/>
  <c r="C23" i="10"/>
  <c r="D23" i="10"/>
  <c r="E23" i="10"/>
  <c r="F23" i="10" s="1"/>
  <c r="G23" i="10" s="1"/>
  <c r="C11" i="10"/>
  <c r="D11" i="10"/>
  <c r="E11" i="10"/>
  <c r="F11" i="10" s="1"/>
  <c r="G11" i="10" s="1"/>
  <c r="C66" i="12"/>
  <c r="D66" i="12"/>
  <c r="C55" i="12"/>
  <c r="D55" i="12"/>
  <c r="C44" i="12"/>
  <c r="D44" i="12"/>
  <c r="C33" i="12"/>
  <c r="D33" i="12"/>
  <c r="C22" i="12"/>
  <c r="D22" i="12"/>
  <c r="C11" i="12"/>
  <c r="D11" i="12"/>
  <c r="B82" i="19"/>
  <c r="D82" i="19"/>
  <c r="F82" i="19"/>
  <c r="H82" i="19"/>
  <c r="J82" i="19"/>
  <c r="L82" i="19"/>
  <c r="B54" i="19"/>
  <c r="D54" i="19"/>
  <c r="F54" i="19"/>
  <c r="H54" i="19"/>
  <c r="J54" i="19"/>
  <c r="L54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B83" i="18"/>
  <c r="Q83" i="18" s="1"/>
  <c r="D83" i="18"/>
  <c r="S83" i="18" s="1"/>
  <c r="F83" i="18"/>
  <c r="U83" i="18" s="1"/>
  <c r="H83" i="18"/>
  <c r="W83" i="18" s="1"/>
  <c r="B54" i="18"/>
  <c r="Q54" i="18" s="1"/>
  <c r="D54" i="18"/>
  <c r="S54" i="18" s="1"/>
  <c r="F54" i="18"/>
  <c r="U54" i="18" s="1"/>
  <c r="H54" i="18"/>
  <c r="W54" i="18" s="1"/>
  <c r="B26" i="18"/>
  <c r="C26" i="18"/>
  <c r="D26" i="18"/>
  <c r="E26" i="18"/>
  <c r="F26" i="18"/>
  <c r="G26" i="18"/>
  <c r="H26" i="18"/>
  <c r="I26" i="18"/>
  <c r="B84" i="11"/>
  <c r="S84" i="11" s="1"/>
  <c r="D84" i="11"/>
  <c r="U84" i="11" s="1"/>
  <c r="F84" i="11"/>
  <c r="W84" i="11" s="1"/>
  <c r="H84" i="11"/>
  <c r="Y84" i="11" s="1"/>
  <c r="J84" i="11"/>
  <c r="AA84" i="11" s="1"/>
  <c r="B55" i="11"/>
  <c r="S55" i="11" s="1"/>
  <c r="D55" i="11"/>
  <c r="U55" i="11" s="1"/>
  <c r="F55" i="11"/>
  <c r="W55" i="11" s="1"/>
  <c r="H55" i="11"/>
  <c r="Y55" i="11" s="1"/>
  <c r="J55" i="11"/>
  <c r="AA55" i="11" s="1"/>
  <c r="B26" i="11"/>
  <c r="C26" i="11"/>
  <c r="D26" i="11"/>
  <c r="E26" i="11"/>
  <c r="F26" i="11"/>
  <c r="G26" i="11"/>
  <c r="H26" i="11"/>
  <c r="I26" i="11"/>
  <c r="J26" i="11"/>
  <c r="K26" i="11"/>
  <c r="A25" i="22"/>
  <c r="B25" i="22"/>
  <c r="C25" i="22"/>
  <c r="D25" i="22"/>
  <c r="E25" i="22"/>
  <c r="I25" i="22" s="1"/>
  <c r="J25" i="22" s="1"/>
  <c r="K25" i="22" s="1"/>
  <c r="A49" i="22"/>
  <c r="B49" i="22"/>
  <c r="C49" i="22"/>
  <c r="D49" i="22"/>
  <c r="E49" i="22"/>
  <c r="I49" i="22" s="1"/>
  <c r="J49" i="22" s="1"/>
  <c r="K49" i="22" s="1"/>
  <c r="A73" i="22"/>
  <c r="B73" i="22"/>
  <c r="C73" i="22"/>
  <c r="D73" i="22"/>
  <c r="E73" i="22"/>
  <c r="I73" i="22" s="1"/>
  <c r="J73" i="22" s="1"/>
  <c r="K73" i="22" s="1"/>
  <c r="A97" i="22"/>
  <c r="B97" i="22"/>
  <c r="C97" i="22"/>
  <c r="D97" i="22"/>
  <c r="E97" i="22"/>
  <c r="I97" i="22" s="1"/>
  <c r="J97" i="22" s="1"/>
  <c r="K97" i="22" s="1"/>
  <c r="A121" i="22"/>
  <c r="B121" i="22"/>
  <c r="C121" i="22"/>
  <c r="D121" i="22"/>
  <c r="E121" i="22"/>
  <c r="I121" i="22" s="1"/>
  <c r="J121" i="22" s="1"/>
  <c r="K121" i="22" s="1"/>
  <c r="A145" i="22"/>
  <c r="B145" i="22"/>
  <c r="C145" i="22"/>
  <c r="D145" i="22"/>
  <c r="E145" i="22"/>
  <c r="I145" i="22" s="1"/>
  <c r="J145" i="22" s="1"/>
  <c r="K145" i="22" s="1"/>
  <c r="A169" i="22"/>
  <c r="B169" i="22"/>
  <c r="C169" i="22"/>
  <c r="D169" i="22"/>
  <c r="E169" i="22"/>
  <c r="I169" i="22" s="1"/>
  <c r="J169" i="22" s="1"/>
  <c r="K169" i="22" s="1"/>
  <c r="A193" i="22"/>
  <c r="B193" i="22"/>
  <c r="C193" i="22"/>
  <c r="D193" i="22"/>
  <c r="E193" i="22"/>
  <c r="I193" i="22" s="1"/>
  <c r="J193" i="22" s="1"/>
  <c r="K193" i="22" s="1"/>
  <c r="A217" i="22"/>
  <c r="B217" i="22"/>
  <c r="C217" i="22"/>
  <c r="D217" i="22"/>
  <c r="E217" i="22"/>
  <c r="I217" i="22" s="1"/>
  <c r="J217" i="22" s="1"/>
  <c r="K217" i="22" s="1"/>
  <c r="A241" i="22"/>
  <c r="B241" i="22"/>
  <c r="C241" i="22"/>
  <c r="D241" i="22"/>
  <c r="E241" i="22"/>
  <c r="H241" i="22" s="1"/>
  <c r="A266" i="22"/>
  <c r="B266" i="22"/>
  <c r="C266" i="22"/>
  <c r="D266" i="22"/>
  <c r="E266" i="22"/>
  <c r="A291" i="22"/>
  <c r="B291" i="22"/>
  <c r="C291" i="22"/>
  <c r="D291" i="22"/>
  <c r="E291" i="22"/>
  <c r="A316" i="22"/>
  <c r="B316" i="22"/>
  <c r="C316" i="22"/>
  <c r="D316" i="22"/>
  <c r="E316" i="22"/>
  <c r="A341" i="22"/>
  <c r="B341" i="22"/>
  <c r="C341" i="22"/>
  <c r="D341" i="22"/>
  <c r="E341" i="22"/>
  <c r="A366" i="22"/>
  <c r="B366" i="22"/>
  <c r="C366" i="22"/>
  <c r="D366" i="22"/>
  <c r="E366" i="22"/>
  <c r="A25" i="20"/>
  <c r="B25" i="20"/>
  <c r="C25" i="20"/>
  <c r="D25" i="20"/>
  <c r="E25" i="20"/>
  <c r="I25" i="20" s="1"/>
  <c r="J25" i="20" s="1"/>
  <c r="K25" i="20" s="1"/>
  <c r="A50" i="20"/>
  <c r="B50" i="20"/>
  <c r="C50" i="20"/>
  <c r="D50" i="20"/>
  <c r="E50" i="20"/>
  <c r="I50" i="20" s="1"/>
  <c r="J50" i="20" s="1"/>
  <c r="K50" i="20" s="1"/>
  <c r="A74" i="20"/>
  <c r="B74" i="20"/>
  <c r="C74" i="20"/>
  <c r="D74" i="20"/>
  <c r="E74" i="20"/>
  <c r="I74" i="20" s="1"/>
  <c r="J74" i="20" s="1"/>
  <c r="K74" i="20" s="1"/>
  <c r="A98" i="20"/>
  <c r="B98" i="20"/>
  <c r="C98" i="20"/>
  <c r="D98" i="20"/>
  <c r="E98" i="20"/>
  <c r="I98" i="20" s="1"/>
  <c r="J98" i="20" s="1"/>
  <c r="K98" i="20" s="1"/>
  <c r="A122" i="20"/>
  <c r="B122" i="20"/>
  <c r="C122" i="20"/>
  <c r="D122" i="20"/>
  <c r="E122" i="20"/>
  <c r="I122" i="20" s="1"/>
  <c r="J122" i="20" s="1"/>
  <c r="K122" i="20" s="1"/>
  <c r="A146" i="20"/>
  <c r="B146" i="20"/>
  <c r="C146" i="20"/>
  <c r="D146" i="20"/>
  <c r="E146" i="20"/>
  <c r="I146" i="20" s="1"/>
  <c r="J146" i="20" s="1"/>
  <c r="K146" i="20" s="1"/>
  <c r="A170" i="20"/>
  <c r="B170" i="20"/>
  <c r="C170" i="20"/>
  <c r="D170" i="20"/>
  <c r="E170" i="20"/>
  <c r="I170" i="20" s="1"/>
  <c r="J170" i="20" s="1"/>
  <c r="K170" i="20" s="1"/>
  <c r="A194" i="20"/>
  <c r="B194" i="20"/>
  <c r="C194" i="20"/>
  <c r="D194" i="20"/>
  <c r="E194" i="20"/>
  <c r="I194" i="20" s="1"/>
  <c r="J194" i="20" s="1"/>
  <c r="K194" i="20" s="1"/>
  <c r="A218" i="20"/>
  <c r="B218" i="20"/>
  <c r="C218" i="20"/>
  <c r="D218" i="20"/>
  <c r="E218" i="20"/>
  <c r="I218" i="20" s="1"/>
  <c r="J218" i="20" s="1"/>
  <c r="K218" i="20" s="1"/>
  <c r="A242" i="20"/>
  <c r="B242" i="20"/>
  <c r="C242" i="20"/>
  <c r="D242" i="20"/>
  <c r="E242" i="20"/>
  <c r="H242" i="20" s="1"/>
  <c r="I242" i="20" s="1"/>
  <c r="J242" i="20" s="1"/>
  <c r="K242" i="20" s="1"/>
  <c r="A267" i="20"/>
  <c r="B267" i="20"/>
  <c r="C267" i="20"/>
  <c r="D267" i="20"/>
  <c r="E267" i="20"/>
  <c r="E292" i="20"/>
  <c r="E317" i="20"/>
  <c r="E342" i="20"/>
  <c r="A292" i="20"/>
  <c r="B292" i="20"/>
  <c r="C292" i="20"/>
  <c r="D292" i="20"/>
  <c r="A317" i="20"/>
  <c r="B317" i="20"/>
  <c r="C317" i="20"/>
  <c r="D317" i="20"/>
  <c r="A342" i="20"/>
  <c r="B342" i="20"/>
  <c r="C342" i="20"/>
  <c r="D342" i="20"/>
  <c r="A367" i="20"/>
  <c r="B367" i="20"/>
  <c r="C367" i="20"/>
  <c r="D367" i="20"/>
  <c r="E367" i="20"/>
  <c r="A375" i="6"/>
  <c r="B375" i="6"/>
  <c r="C375" i="6"/>
  <c r="D375" i="6"/>
  <c r="A350" i="6"/>
  <c r="B350" i="6"/>
  <c r="C350" i="6"/>
  <c r="D350" i="6"/>
  <c r="A325" i="6"/>
  <c r="B325" i="6"/>
  <c r="C325" i="6"/>
  <c r="D325" i="6"/>
  <c r="A300" i="6"/>
  <c r="B300" i="6"/>
  <c r="C300" i="6"/>
  <c r="D300" i="6"/>
  <c r="A275" i="6"/>
  <c r="B275" i="6"/>
  <c r="C275" i="6"/>
  <c r="D275" i="6"/>
  <c r="A250" i="6"/>
  <c r="B250" i="6"/>
  <c r="C250" i="6"/>
  <c r="D250" i="6"/>
  <c r="A225" i="6"/>
  <c r="B225" i="6"/>
  <c r="C225" i="6"/>
  <c r="D225" i="6"/>
  <c r="A200" i="6"/>
  <c r="B200" i="6"/>
  <c r="C200" i="6"/>
  <c r="D200" i="6"/>
  <c r="A175" i="6"/>
  <c r="B175" i="6"/>
  <c r="C175" i="6"/>
  <c r="D175" i="6"/>
  <c r="A150" i="6"/>
  <c r="B150" i="6"/>
  <c r="C150" i="6"/>
  <c r="D150" i="6"/>
  <c r="A125" i="6"/>
  <c r="B125" i="6"/>
  <c r="C125" i="6"/>
  <c r="D125" i="6"/>
  <c r="A100" i="6"/>
  <c r="B100" i="6"/>
  <c r="C100" i="6"/>
  <c r="D100" i="6"/>
  <c r="A75" i="6"/>
  <c r="B75" i="6"/>
  <c r="C75" i="6"/>
  <c r="D75" i="6"/>
  <c r="A50" i="6"/>
  <c r="B50" i="6"/>
  <c r="C50" i="6"/>
  <c r="D50" i="6"/>
  <c r="A25" i="6"/>
  <c r="B25" i="6"/>
  <c r="C25" i="6"/>
  <c r="D25" i="6"/>
  <c r="A375" i="4"/>
  <c r="B375" i="4"/>
  <c r="C375" i="4"/>
  <c r="D375" i="4"/>
  <c r="A350" i="4"/>
  <c r="B350" i="4"/>
  <c r="C350" i="4"/>
  <c r="D350" i="4"/>
  <c r="A325" i="4"/>
  <c r="B325" i="4"/>
  <c r="C325" i="4"/>
  <c r="D325" i="4"/>
  <c r="A300" i="4"/>
  <c r="B300" i="4"/>
  <c r="C300" i="4"/>
  <c r="D300" i="4"/>
  <c r="A275" i="4"/>
  <c r="B275" i="4"/>
  <c r="C275" i="4"/>
  <c r="D275" i="4"/>
  <c r="A250" i="4"/>
  <c r="B250" i="4"/>
  <c r="C250" i="4"/>
  <c r="D250" i="4"/>
  <c r="A225" i="4"/>
  <c r="B225" i="4"/>
  <c r="C225" i="4"/>
  <c r="D225" i="4"/>
  <c r="A200" i="4"/>
  <c r="B200" i="4"/>
  <c r="C200" i="4"/>
  <c r="D200" i="4"/>
  <c r="A175" i="4"/>
  <c r="B175" i="4"/>
  <c r="C175" i="4"/>
  <c r="D175" i="4"/>
  <c r="A150" i="4"/>
  <c r="B150" i="4"/>
  <c r="C150" i="4"/>
  <c r="D150" i="4"/>
  <c r="A125" i="4"/>
  <c r="B125" i="4"/>
  <c r="C125" i="4"/>
  <c r="D125" i="4"/>
  <c r="A100" i="4"/>
  <c r="B100" i="4"/>
  <c r="C100" i="4"/>
  <c r="D100" i="4"/>
  <c r="A75" i="4"/>
  <c r="B75" i="4"/>
  <c r="C75" i="4"/>
  <c r="D75" i="4"/>
  <c r="A50" i="4"/>
  <c r="B50" i="4"/>
  <c r="C50" i="4"/>
  <c r="D50" i="4"/>
  <c r="A25" i="4"/>
  <c r="B25" i="4"/>
  <c r="C25" i="4"/>
  <c r="D25" i="4"/>
  <c r="P206" i="6"/>
  <c r="Q206" i="6"/>
  <c r="J64" i="2"/>
  <c r="J63" i="2"/>
  <c r="J62" i="2"/>
  <c r="J61" i="2"/>
  <c r="J60" i="2"/>
  <c r="J59" i="2"/>
  <c r="J58" i="2"/>
  <c r="J57" i="2"/>
  <c r="J56" i="2"/>
  <c r="J55" i="2"/>
  <c r="J54" i="2"/>
  <c r="J53" i="2"/>
  <c r="AC84" i="11" l="1"/>
  <c r="Y83" i="18"/>
  <c r="Y54" i="18"/>
  <c r="AC55" i="11"/>
  <c r="N26" i="19"/>
  <c r="O26" i="19"/>
  <c r="P26" i="19" s="1"/>
  <c r="V25" i="6"/>
  <c r="W25" i="6" s="1"/>
  <c r="I241" i="22"/>
  <c r="J241" i="22" s="1"/>
  <c r="K241" i="22" s="1"/>
  <c r="V241" i="22"/>
  <c r="W242" i="20"/>
  <c r="X242" i="20" s="1"/>
  <c r="Y242" i="20" s="1"/>
  <c r="H316" i="22"/>
  <c r="V316" i="22" s="1"/>
  <c r="I316" i="22"/>
  <c r="H266" i="22"/>
  <c r="V266" i="22" s="1"/>
  <c r="I266" i="22"/>
  <c r="I367" i="20"/>
  <c r="H367" i="20"/>
  <c r="V367" i="20" s="1"/>
  <c r="H267" i="20"/>
  <c r="V267" i="20" s="1"/>
  <c r="I267" i="20"/>
  <c r="V125" i="6"/>
  <c r="W125" i="6" s="1"/>
  <c r="V242" i="20"/>
  <c r="H317" i="20"/>
  <c r="V317" i="20" s="1"/>
  <c r="I317" i="20"/>
  <c r="H366" i="22"/>
  <c r="V366" i="22" s="1"/>
  <c r="I366" i="22"/>
  <c r="W175" i="4"/>
  <c r="X175" i="4" s="1"/>
  <c r="Z175" i="4" s="1"/>
  <c r="K54" i="19"/>
  <c r="V175" i="6"/>
  <c r="W175" i="6" s="1"/>
  <c r="K82" i="19"/>
  <c r="E82" i="19"/>
  <c r="M54" i="19"/>
  <c r="E54" i="18"/>
  <c r="T54" i="18" s="1"/>
  <c r="K55" i="11"/>
  <c r="AB55" i="11" s="1"/>
  <c r="G84" i="11"/>
  <c r="X84" i="11" s="1"/>
  <c r="G54" i="19"/>
  <c r="C84" i="11"/>
  <c r="T84" i="11" s="1"/>
  <c r="C83" i="18"/>
  <c r="R83" i="18" s="1"/>
  <c r="S241" i="22"/>
  <c r="T241" i="22" s="1"/>
  <c r="I84" i="11"/>
  <c r="Z84" i="11" s="1"/>
  <c r="E84" i="11"/>
  <c r="V84" i="11" s="1"/>
  <c r="W125" i="4"/>
  <c r="W25" i="4"/>
  <c r="X25" i="4" s="1"/>
  <c r="Y25" i="4" s="1"/>
  <c r="C54" i="18"/>
  <c r="R54" i="18" s="1"/>
  <c r="Z250" i="6"/>
  <c r="E83" i="18"/>
  <c r="T83" i="18" s="1"/>
  <c r="M82" i="19"/>
  <c r="K84" i="11"/>
  <c r="AB84" i="11" s="1"/>
  <c r="E54" i="19"/>
  <c r="G82" i="19"/>
  <c r="I54" i="19"/>
  <c r="V200" i="6"/>
  <c r="W200" i="6" s="1"/>
  <c r="Z200" i="6"/>
  <c r="V225" i="6"/>
  <c r="W225" i="6" s="1"/>
  <c r="Z225" i="6"/>
  <c r="AC325" i="6"/>
  <c r="AB325" i="6"/>
  <c r="Z250" i="4"/>
  <c r="Y250" i="4"/>
  <c r="S225" i="4"/>
  <c r="T225" i="4" s="1"/>
  <c r="W225" i="4"/>
  <c r="AB300" i="6"/>
  <c r="AC300" i="6"/>
  <c r="Z150" i="4"/>
  <c r="Y150" i="4"/>
  <c r="Y325" i="4"/>
  <c r="Z325" i="4"/>
  <c r="S200" i="4"/>
  <c r="T200" i="4" s="1"/>
  <c r="W200" i="4"/>
  <c r="Z300" i="4"/>
  <c r="Y300" i="4"/>
  <c r="AC25" i="6"/>
  <c r="AB25" i="6"/>
  <c r="AC375" i="6"/>
  <c r="AB375" i="6"/>
  <c r="Z275" i="4"/>
  <c r="Y275" i="4"/>
  <c r="AC75" i="6"/>
  <c r="AB75" i="6"/>
  <c r="Z350" i="4"/>
  <c r="Y350" i="4"/>
  <c r="Z50" i="4"/>
  <c r="Y50" i="4"/>
  <c r="I82" i="19"/>
  <c r="Z100" i="4"/>
  <c r="Y100" i="4"/>
  <c r="AC100" i="6"/>
  <c r="AB100" i="6"/>
  <c r="Z375" i="4"/>
  <c r="Y375" i="4"/>
  <c r="AC125" i="6"/>
  <c r="AB125" i="6"/>
  <c r="AB50" i="6"/>
  <c r="AC50" i="6"/>
  <c r="AB175" i="6"/>
  <c r="AC175" i="6"/>
  <c r="Y75" i="4"/>
  <c r="Z75" i="4"/>
  <c r="AB350" i="6"/>
  <c r="AC350" i="6"/>
  <c r="AB275" i="6"/>
  <c r="I55" i="11"/>
  <c r="Z55" i="11" s="1"/>
  <c r="C54" i="19"/>
  <c r="AB150" i="6"/>
  <c r="AC150" i="6"/>
  <c r="N82" i="19"/>
  <c r="J83" i="18"/>
  <c r="L84" i="11"/>
  <c r="N54" i="19"/>
  <c r="J54" i="18"/>
  <c r="L55" i="11"/>
  <c r="E55" i="12"/>
  <c r="E66" i="12"/>
  <c r="D167" i="13"/>
  <c r="E167" i="13" s="1"/>
  <c r="D111" i="13"/>
  <c r="E44" i="12"/>
  <c r="D55" i="13"/>
  <c r="E55" i="13" s="1"/>
  <c r="J223" i="13"/>
  <c r="K223" i="13" s="1"/>
  <c r="J195" i="13"/>
  <c r="J111" i="13"/>
  <c r="J167" i="13"/>
  <c r="J139" i="13"/>
  <c r="D27" i="13"/>
  <c r="J27" i="13"/>
  <c r="K27" i="13" s="1"/>
  <c r="J83" i="13"/>
  <c r="K83" i="13" s="1"/>
  <c r="D83" i="13"/>
  <c r="E83" i="13" s="1"/>
  <c r="D139" i="13"/>
  <c r="E139" i="13" s="1"/>
  <c r="J55" i="13"/>
  <c r="E22" i="12"/>
  <c r="E33" i="12"/>
  <c r="E11" i="12"/>
  <c r="Q26" i="19" l="1"/>
  <c r="G55" i="11"/>
  <c r="X55" i="11" s="1"/>
  <c r="Z242" i="20"/>
  <c r="W241" i="22"/>
  <c r="X241" i="22" s="1"/>
  <c r="J266" i="22"/>
  <c r="K266" i="22" s="1"/>
  <c r="W266" i="22"/>
  <c r="X266" i="22" s="1"/>
  <c r="J316" i="22"/>
  <c r="K316" i="22" s="1"/>
  <c r="W316" i="22"/>
  <c r="X316" i="22" s="1"/>
  <c r="J317" i="20"/>
  <c r="K317" i="20" s="1"/>
  <c r="W317" i="20"/>
  <c r="X317" i="20" s="1"/>
  <c r="J267" i="20"/>
  <c r="K267" i="20" s="1"/>
  <c r="W267" i="20"/>
  <c r="X267" i="20" s="1"/>
  <c r="J367" i="20"/>
  <c r="K367" i="20" s="1"/>
  <c r="W367" i="20"/>
  <c r="X367" i="20" s="1"/>
  <c r="J366" i="22"/>
  <c r="K366" i="22" s="1"/>
  <c r="W366" i="22"/>
  <c r="X366" i="22" s="1"/>
  <c r="Y175" i="4"/>
  <c r="Z25" i="4"/>
  <c r="C55" i="11"/>
  <c r="T55" i="11" s="1"/>
  <c r="M84" i="11"/>
  <c r="N84" i="11" s="1"/>
  <c r="O84" i="11" s="1"/>
  <c r="AD84" i="11" s="1"/>
  <c r="X125" i="4"/>
  <c r="E55" i="11"/>
  <c r="V55" i="11" s="1"/>
  <c r="AA250" i="6"/>
  <c r="C82" i="19"/>
  <c r="O82" i="19" s="1"/>
  <c r="P82" i="19" s="1"/>
  <c r="Q82" i="19" s="1"/>
  <c r="O54" i="19"/>
  <c r="P54" i="19" s="1"/>
  <c r="Q54" i="19" s="1"/>
  <c r="AA225" i="6"/>
  <c r="I83" i="18"/>
  <c r="X83" i="18" s="1"/>
  <c r="X200" i="4"/>
  <c r="G54" i="18"/>
  <c r="V54" i="18" s="1"/>
  <c r="X225" i="4"/>
  <c r="I54" i="18"/>
  <c r="X54" i="18" s="1"/>
  <c r="AA200" i="6"/>
  <c r="G83" i="18"/>
  <c r="V83" i="18" s="1"/>
  <c r="Z241" i="22" l="1"/>
  <c r="Y241" i="22"/>
  <c r="Y267" i="20"/>
  <c r="Z267" i="20"/>
  <c r="Y317" i="20"/>
  <c r="Z317" i="20"/>
  <c r="Y366" i="22"/>
  <c r="Z366" i="22"/>
  <c r="Y367" i="20"/>
  <c r="Z367" i="20"/>
  <c r="Y266" i="22"/>
  <c r="Z266" i="22"/>
  <c r="Z316" i="22"/>
  <c r="Y316" i="22"/>
  <c r="M55" i="11"/>
  <c r="N55" i="11" s="1"/>
  <c r="O55" i="11" s="1"/>
  <c r="AD55" i="11" s="1"/>
  <c r="Z125" i="4"/>
  <c r="Y125" i="4"/>
  <c r="AB250" i="6"/>
  <c r="AC250" i="6"/>
  <c r="K83" i="18"/>
  <c r="L83" i="18" s="1"/>
  <c r="M83" i="18" s="1"/>
  <c r="Z83" i="18" s="1"/>
  <c r="AC225" i="6"/>
  <c r="AB225" i="6"/>
  <c r="Y225" i="4"/>
  <c r="Z225" i="4"/>
  <c r="K54" i="18"/>
  <c r="L54" i="18" s="1"/>
  <c r="M54" i="18" s="1"/>
  <c r="Z54" i="18" s="1"/>
  <c r="AC200" i="6"/>
  <c r="AB200" i="6"/>
  <c r="Z200" i="4"/>
  <c r="Y200" i="4"/>
  <c r="I374" i="6"/>
  <c r="I349" i="6"/>
  <c r="I324" i="6"/>
  <c r="I299" i="6"/>
  <c r="J299" i="6"/>
  <c r="J324" i="6"/>
  <c r="J349" i="6"/>
  <c r="J374" i="6"/>
  <c r="I274" i="6"/>
  <c r="I249" i="6"/>
  <c r="J249" i="6"/>
  <c r="Q210" i="6"/>
  <c r="P210" i="6"/>
  <c r="Q209" i="6"/>
  <c r="P209" i="6"/>
  <c r="Q208" i="6"/>
  <c r="P208" i="6"/>
  <c r="I224" i="6"/>
  <c r="I199" i="6"/>
  <c r="J224" i="6"/>
  <c r="K224" i="6" s="1"/>
  <c r="L224" i="6" s="1"/>
  <c r="J199" i="6"/>
  <c r="K199" i="6" s="1"/>
  <c r="L199" i="6" s="1"/>
  <c r="Q174" i="6"/>
  <c r="P174" i="6"/>
  <c r="Q173" i="6"/>
  <c r="P173" i="6"/>
  <c r="Q172" i="6"/>
  <c r="P172" i="6"/>
  <c r="Q171" i="6"/>
  <c r="P171" i="6"/>
  <c r="Q170" i="6"/>
  <c r="P170" i="6"/>
  <c r="Q169" i="6"/>
  <c r="P169" i="6"/>
  <c r="Q168" i="6"/>
  <c r="P168" i="6"/>
  <c r="Q167" i="6"/>
  <c r="P167" i="6"/>
  <c r="Q166" i="6"/>
  <c r="P166" i="6"/>
  <c r="Q164" i="6"/>
  <c r="P164" i="6"/>
  <c r="Q163" i="6"/>
  <c r="P163" i="6"/>
  <c r="Q162" i="6"/>
  <c r="P162" i="6"/>
  <c r="Q161" i="6"/>
  <c r="P161" i="6"/>
  <c r="Q160" i="6"/>
  <c r="P160" i="6"/>
  <c r="Q159" i="6"/>
  <c r="P159" i="6"/>
  <c r="Q158" i="6"/>
  <c r="P158" i="6"/>
  <c r="Q157" i="6"/>
  <c r="P157" i="6"/>
  <c r="Q156" i="6"/>
  <c r="P156" i="6"/>
  <c r="Q155" i="6"/>
  <c r="P155" i="6"/>
  <c r="P153" i="6"/>
  <c r="Q153" i="6"/>
  <c r="Q154" i="6"/>
  <c r="P154" i="6"/>
  <c r="I174" i="6"/>
  <c r="J174" i="6"/>
  <c r="K174" i="6" s="1"/>
  <c r="L174" i="6" s="1"/>
  <c r="I149" i="6"/>
  <c r="J149" i="6"/>
  <c r="K149" i="6" s="1"/>
  <c r="L149" i="6" s="1"/>
  <c r="I124" i="6"/>
  <c r="J124" i="6"/>
  <c r="K124" i="6" s="1"/>
  <c r="L124" i="6" s="1"/>
  <c r="P81" i="6"/>
  <c r="Q81" i="6"/>
  <c r="P89" i="6"/>
  <c r="Q89" i="6"/>
  <c r="P90" i="6"/>
  <c r="Q90" i="6"/>
  <c r="P91" i="6"/>
  <c r="Q91" i="6"/>
  <c r="P92" i="6"/>
  <c r="Q92" i="6"/>
  <c r="P93" i="6"/>
  <c r="Q93" i="6"/>
  <c r="P94" i="6"/>
  <c r="Q94" i="6"/>
  <c r="P95" i="6"/>
  <c r="Q95" i="6"/>
  <c r="P96" i="6"/>
  <c r="Q96" i="6"/>
  <c r="P97" i="6"/>
  <c r="Q97" i="6"/>
  <c r="P98" i="6"/>
  <c r="Q98" i="6"/>
  <c r="P99" i="6"/>
  <c r="Q99" i="6"/>
  <c r="Q79" i="6"/>
  <c r="P79" i="6"/>
  <c r="I99" i="6"/>
  <c r="J99" i="6"/>
  <c r="K99" i="6" s="1"/>
  <c r="L99" i="6" s="1"/>
  <c r="I78" i="6"/>
  <c r="J74" i="6"/>
  <c r="K74" i="6" s="1"/>
  <c r="L74" i="6" s="1"/>
  <c r="I74" i="6"/>
  <c r="J49" i="6"/>
  <c r="K49" i="6" s="1"/>
  <c r="L49" i="6" s="1"/>
  <c r="I49" i="6"/>
  <c r="I24" i="6"/>
  <c r="K349" i="6" l="1"/>
  <c r="L349" i="6" s="1"/>
  <c r="K374" i="6"/>
  <c r="L374" i="6" s="1"/>
  <c r="K299" i="6"/>
  <c r="L299" i="6" s="1"/>
  <c r="K249" i="6"/>
  <c r="L249" i="6" s="1"/>
  <c r="K324" i="6"/>
  <c r="L324" i="6" s="1"/>
  <c r="P210" i="4" l="1"/>
  <c r="O210" i="4"/>
  <c r="P209" i="4"/>
  <c r="O209" i="4"/>
  <c r="P208" i="4"/>
  <c r="O208" i="4"/>
  <c r="P206" i="4"/>
  <c r="O206" i="4"/>
  <c r="O155" i="4"/>
  <c r="P155" i="4"/>
  <c r="O156" i="4"/>
  <c r="P156" i="4"/>
  <c r="O157" i="4"/>
  <c r="P157" i="4"/>
  <c r="O158" i="4"/>
  <c r="P158" i="4"/>
  <c r="O159" i="4"/>
  <c r="P159" i="4"/>
  <c r="O160" i="4"/>
  <c r="P160" i="4"/>
  <c r="O161" i="4"/>
  <c r="P161" i="4"/>
  <c r="O162" i="4"/>
  <c r="P162" i="4"/>
  <c r="O163" i="4"/>
  <c r="P163" i="4"/>
  <c r="O164" i="4"/>
  <c r="P164" i="4"/>
  <c r="O166" i="4"/>
  <c r="P166" i="4"/>
  <c r="O124" i="4"/>
  <c r="O153" i="4"/>
  <c r="O103" i="4" s="1"/>
  <c r="P153" i="4"/>
  <c r="P154" i="4"/>
  <c r="O154" i="4"/>
  <c r="O81" i="4"/>
  <c r="P81" i="4"/>
  <c r="P79" i="4"/>
  <c r="O79" i="4"/>
  <c r="G23" i="4"/>
  <c r="F23" i="4"/>
  <c r="F15" i="4"/>
  <c r="F24" i="4"/>
  <c r="G153" i="4"/>
  <c r="F153" i="4"/>
  <c r="H149" i="4"/>
  <c r="H254" i="4"/>
  <c r="H174" i="4" l="1"/>
  <c r="I324" i="4"/>
  <c r="H324" i="4"/>
  <c r="H274" i="4"/>
  <c r="I274" i="4"/>
  <c r="H349" i="4"/>
  <c r="I349" i="4"/>
  <c r="H249" i="4"/>
  <c r="I249" i="4"/>
  <c r="I299" i="4"/>
  <c r="H299" i="4"/>
  <c r="I374" i="4"/>
  <c r="H374" i="4"/>
  <c r="H224" i="4"/>
  <c r="O24" i="4"/>
  <c r="O49" i="4" s="1"/>
  <c r="P124" i="4"/>
  <c r="I199" i="4"/>
  <c r="J199" i="4" s="1"/>
  <c r="K199" i="4" s="1"/>
  <c r="I224" i="4"/>
  <c r="J224" i="4" s="1"/>
  <c r="K224" i="4" s="1"/>
  <c r="H199" i="4"/>
  <c r="I149" i="4"/>
  <c r="I174" i="4"/>
  <c r="P24" i="4"/>
  <c r="F114" i="4"/>
  <c r="G114" i="4"/>
  <c r="F121" i="4"/>
  <c r="G121" i="4"/>
  <c r="F122" i="4"/>
  <c r="F72" i="4" s="1"/>
  <c r="G122" i="4"/>
  <c r="F124" i="4"/>
  <c r="G124" i="4"/>
  <c r="I124" i="4" s="1"/>
  <c r="G24" i="4"/>
  <c r="G49" i="4" s="1"/>
  <c r="I49" i="4" s="1"/>
  <c r="J49" i="4" s="1"/>
  <c r="K49" i="4" s="1"/>
  <c r="F83" i="4"/>
  <c r="G83" i="4"/>
  <c r="F85" i="4"/>
  <c r="G85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H99" i="4" s="1"/>
  <c r="G99" i="4"/>
  <c r="I99" i="4" s="1"/>
  <c r="H124" i="4" l="1"/>
  <c r="F74" i="4"/>
  <c r="H74" i="4" s="1"/>
  <c r="H24" i="4"/>
  <c r="F49" i="4"/>
  <c r="H49" i="4" s="1"/>
  <c r="G74" i="4"/>
  <c r="I74" i="4" s="1"/>
  <c r="J74" i="4" s="1"/>
  <c r="K74" i="4" s="1"/>
  <c r="J299" i="4"/>
  <c r="K299" i="4" s="1"/>
  <c r="J274" i="4"/>
  <c r="K274" i="4" s="1"/>
  <c r="J324" i="4"/>
  <c r="K324" i="4" s="1"/>
  <c r="J374" i="4"/>
  <c r="K374" i="4" s="1"/>
  <c r="J249" i="4"/>
  <c r="K249" i="4" s="1"/>
  <c r="J349" i="4"/>
  <c r="K349" i="4" s="1"/>
  <c r="O74" i="4"/>
  <c r="P74" i="4"/>
  <c r="I24" i="4"/>
  <c r="J24" i="4" s="1"/>
  <c r="K24" i="4" s="1"/>
  <c r="J99" i="4"/>
  <c r="K99" i="4" s="1"/>
  <c r="J174" i="4"/>
  <c r="K174" i="4" s="1"/>
  <c r="J149" i="4"/>
  <c r="K149" i="4" s="1"/>
  <c r="J124" i="4"/>
  <c r="K124" i="4" s="1"/>
  <c r="P49" i="4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27" i="2" l="1"/>
  <c r="I227" i="2"/>
  <c r="I302" i="2"/>
  <c r="I202" i="2"/>
  <c r="I277" i="2"/>
  <c r="I352" i="2"/>
  <c r="I252" i="2"/>
  <c r="F106" i="10"/>
  <c r="G106" i="10" s="1"/>
  <c r="F94" i="10"/>
  <c r="G94" i="10" s="1"/>
  <c r="J24" i="6"/>
  <c r="K24" i="6" s="1"/>
  <c r="L24" i="6" s="1"/>
  <c r="L323" i="2"/>
  <c r="L298" i="2"/>
  <c r="L273" i="2"/>
  <c r="L248" i="2"/>
  <c r="L223" i="2"/>
  <c r="J198" i="2"/>
  <c r="J173" i="2"/>
  <c r="J148" i="2"/>
  <c r="J123" i="2"/>
  <c r="J98" i="2"/>
  <c r="J73" i="2"/>
  <c r="L48" i="2"/>
  <c r="L23" i="2"/>
  <c r="L373" i="2"/>
  <c r="L348" i="2"/>
  <c r="K348" i="2"/>
  <c r="O348" i="2" s="1"/>
  <c r="M341" i="20" s="1"/>
  <c r="K323" i="2"/>
  <c r="O323" i="2" s="1"/>
  <c r="N324" i="6" s="1"/>
  <c r="K298" i="2"/>
  <c r="O298" i="2" s="1"/>
  <c r="M290" i="22" s="1"/>
  <c r="K273" i="2"/>
  <c r="O273" i="2" s="1"/>
  <c r="M274" i="4" s="1"/>
  <c r="K248" i="2"/>
  <c r="O248" i="2" s="1"/>
  <c r="M241" i="20" s="1"/>
  <c r="K223" i="2"/>
  <c r="O223" i="2" s="1"/>
  <c r="I198" i="2"/>
  <c r="K198" i="2" s="1"/>
  <c r="O198" i="2" s="1"/>
  <c r="I173" i="2"/>
  <c r="K173" i="2" s="1"/>
  <c r="O173" i="2" s="1"/>
  <c r="I148" i="2"/>
  <c r="K148" i="2" s="1"/>
  <c r="O148" i="2" s="1"/>
  <c r="I123" i="2"/>
  <c r="K123" i="2" s="1"/>
  <c r="O123" i="2" s="1"/>
  <c r="I98" i="2"/>
  <c r="K98" i="2" s="1"/>
  <c r="O98" i="2" s="1"/>
  <c r="I73" i="2"/>
  <c r="K73" i="2" s="1"/>
  <c r="O73" i="2" s="1"/>
  <c r="K48" i="2"/>
  <c r="O48" i="2" s="1"/>
  <c r="M49" i="20" s="1"/>
  <c r="O23" i="2"/>
  <c r="K373" i="2"/>
  <c r="O373" i="2" s="1"/>
  <c r="M374" i="4" s="1"/>
  <c r="M174" i="4" l="1"/>
  <c r="Q174" i="4" s="1"/>
  <c r="V174" i="4" s="1"/>
  <c r="M168" i="22"/>
  <c r="M169" i="20"/>
  <c r="N199" i="6"/>
  <c r="T199" i="6" s="1"/>
  <c r="Y199" i="6" s="1"/>
  <c r="M192" i="22"/>
  <c r="M193" i="20"/>
  <c r="M149" i="4"/>
  <c r="Q149" i="4" s="1"/>
  <c r="V149" i="4" s="1"/>
  <c r="M145" i="20"/>
  <c r="M144" i="22"/>
  <c r="M24" i="22"/>
  <c r="M24" i="20"/>
  <c r="N224" i="6"/>
  <c r="T224" i="6" s="1"/>
  <c r="Y224" i="6" s="1"/>
  <c r="M216" i="22"/>
  <c r="M217" i="20"/>
  <c r="M49" i="4"/>
  <c r="Q49" i="4" s="1"/>
  <c r="V49" i="4" s="1"/>
  <c r="M48" i="22"/>
  <c r="M73" i="20"/>
  <c r="M72" i="22"/>
  <c r="M74" i="4"/>
  <c r="Q74" i="4" s="1"/>
  <c r="V74" i="4" s="1"/>
  <c r="N99" i="6"/>
  <c r="T99" i="6" s="1"/>
  <c r="Y99" i="6" s="1"/>
  <c r="M97" i="20"/>
  <c r="M96" i="22"/>
  <c r="N124" i="6"/>
  <c r="T124" i="6" s="1"/>
  <c r="Y124" i="6" s="1"/>
  <c r="M121" i="20"/>
  <c r="M120" i="22"/>
  <c r="Q241" i="20"/>
  <c r="Q274" i="4"/>
  <c r="V274" i="4" s="1"/>
  <c r="L73" i="2"/>
  <c r="M73" i="2" s="1"/>
  <c r="N73" i="2" s="1"/>
  <c r="Q290" i="22"/>
  <c r="L98" i="2"/>
  <c r="M98" i="2" s="1"/>
  <c r="N98" i="2" s="1"/>
  <c r="T324" i="6"/>
  <c r="Y324" i="6" s="1"/>
  <c r="L123" i="2"/>
  <c r="P123" i="2" s="1"/>
  <c r="Q341" i="20"/>
  <c r="L148" i="2"/>
  <c r="P148" i="2" s="1"/>
  <c r="L173" i="2"/>
  <c r="M173" i="2" s="1"/>
  <c r="N173" i="2" s="1"/>
  <c r="Q374" i="4"/>
  <c r="V374" i="4" s="1"/>
  <c r="L198" i="2"/>
  <c r="M198" i="2" s="1"/>
  <c r="N198" i="2" s="1"/>
  <c r="M298" i="2"/>
  <c r="N298" i="2" s="1"/>
  <c r="P298" i="2"/>
  <c r="M323" i="2"/>
  <c r="N323" i="2" s="1"/>
  <c r="P323" i="2"/>
  <c r="P348" i="2"/>
  <c r="M348" i="2"/>
  <c r="N348" i="2" s="1"/>
  <c r="M23" i="2"/>
  <c r="N23" i="2" s="1"/>
  <c r="P23" i="2"/>
  <c r="M223" i="2"/>
  <c r="N223" i="2" s="1"/>
  <c r="P223" i="2"/>
  <c r="M24" i="4"/>
  <c r="N24" i="6"/>
  <c r="M48" i="2"/>
  <c r="N48" i="2" s="1"/>
  <c r="P48" i="2"/>
  <c r="N49" i="20" s="1"/>
  <c r="M248" i="2"/>
  <c r="N248" i="2" s="1"/>
  <c r="P248" i="2"/>
  <c r="M273" i="2"/>
  <c r="N273" i="2" s="1"/>
  <c r="P273" i="2"/>
  <c r="M99" i="4"/>
  <c r="M199" i="4"/>
  <c r="M299" i="4"/>
  <c r="N49" i="6"/>
  <c r="N149" i="6"/>
  <c r="N249" i="6"/>
  <c r="N349" i="6"/>
  <c r="M266" i="20"/>
  <c r="M366" i="20"/>
  <c r="M315" i="22"/>
  <c r="M124" i="4"/>
  <c r="M224" i="4"/>
  <c r="M324" i="4"/>
  <c r="N74" i="6"/>
  <c r="N174" i="6"/>
  <c r="N274" i="6"/>
  <c r="T274" i="6" s="1"/>
  <c r="N374" i="6"/>
  <c r="M291" i="20"/>
  <c r="M240" i="22"/>
  <c r="M340" i="22"/>
  <c r="M249" i="4"/>
  <c r="M349" i="4"/>
  <c r="N299" i="6"/>
  <c r="M316" i="20"/>
  <c r="M265" i="22"/>
  <c r="M365" i="22"/>
  <c r="M373" i="2"/>
  <c r="N373" i="2" s="1"/>
  <c r="P373" i="2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01" i="13"/>
  <c r="H22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H194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45" i="13"/>
  <c r="H166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45" i="13"/>
  <c r="B166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17" i="13"/>
  <c r="H138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17" i="13"/>
  <c r="B138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89" i="13"/>
  <c r="H110" i="13"/>
  <c r="C110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89" i="13"/>
  <c r="B110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61" i="13"/>
  <c r="H82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61" i="13"/>
  <c r="B82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33" i="13"/>
  <c r="H54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33" i="13"/>
  <c r="B54" i="13"/>
  <c r="H26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5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B26" i="13"/>
  <c r="C183" i="10"/>
  <c r="D183" i="10"/>
  <c r="E183" i="10"/>
  <c r="C184" i="10"/>
  <c r="D184" i="10"/>
  <c r="E184" i="10"/>
  <c r="C185" i="10"/>
  <c r="D185" i="10"/>
  <c r="E185" i="10"/>
  <c r="C186" i="10"/>
  <c r="D186" i="10"/>
  <c r="E186" i="10"/>
  <c r="C187" i="10"/>
  <c r="D187" i="10"/>
  <c r="E187" i="10"/>
  <c r="C188" i="10"/>
  <c r="D188" i="10"/>
  <c r="E188" i="10"/>
  <c r="C189" i="10"/>
  <c r="D189" i="10"/>
  <c r="E189" i="10"/>
  <c r="C190" i="10"/>
  <c r="D190" i="10"/>
  <c r="E190" i="10"/>
  <c r="F190" i="10" s="1"/>
  <c r="G190" i="10" s="1"/>
  <c r="D182" i="10"/>
  <c r="E182" i="10"/>
  <c r="C182" i="10"/>
  <c r="C171" i="10"/>
  <c r="D171" i="10"/>
  <c r="E171" i="10"/>
  <c r="C172" i="10"/>
  <c r="D172" i="10"/>
  <c r="E172" i="10"/>
  <c r="C173" i="10"/>
  <c r="D173" i="10"/>
  <c r="E173" i="10"/>
  <c r="C174" i="10"/>
  <c r="D174" i="10"/>
  <c r="E174" i="10"/>
  <c r="C175" i="10"/>
  <c r="D175" i="10"/>
  <c r="E175" i="10"/>
  <c r="C176" i="10"/>
  <c r="D176" i="10"/>
  <c r="E176" i="10"/>
  <c r="C177" i="10"/>
  <c r="D177" i="10"/>
  <c r="E177" i="10"/>
  <c r="C178" i="10"/>
  <c r="D178" i="10"/>
  <c r="E178" i="10"/>
  <c r="F178" i="10" s="1"/>
  <c r="G178" i="10" s="1"/>
  <c r="D170" i="10"/>
  <c r="E170" i="10"/>
  <c r="C170" i="10"/>
  <c r="C159" i="10"/>
  <c r="D159" i="10"/>
  <c r="E159" i="10"/>
  <c r="C160" i="10"/>
  <c r="D160" i="10"/>
  <c r="E160" i="10"/>
  <c r="C161" i="10"/>
  <c r="D161" i="10"/>
  <c r="E161" i="10"/>
  <c r="C162" i="10"/>
  <c r="D162" i="10"/>
  <c r="E162" i="10"/>
  <c r="C163" i="10"/>
  <c r="D163" i="10"/>
  <c r="E163" i="10"/>
  <c r="C164" i="10"/>
  <c r="D164" i="10"/>
  <c r="E164" i="10"/>
  <c r="C165" i="10"/>
  <c r="D165" i="10"/>
  <c r="E165" i="10"/>
  <c r="C166" i="10"/>
  <c r="D166" i="10"/>
  <c r="E166" i="10"/>
  <c r="F166" i="10" s="1"/>
  <c r="G166" i="10" s="1"/>
  <c r="D158" i="10"/>
  <c r="E158" i="10"/>
  <c r="C158" i="10"/>
  <c r="C147" i="10"/>
  <c r="D147" i="10"/>
  <c r="E147" i="10"/>
  <c r="C148" i="10"/>
  <c r="D148" i="10"/>
  <c r="E148" i="10"/>
  <c r="C149" i="10"/>
  <c r="D149" i="10"/>
  <c r="E149" i="10"/>
  <c r="C150" i="10"/>
  <c r="D150" i="10"/>
  <c r="E150" i="10"/>
  <c r="C151" i="10"/>
  <c r="D151" i="10"/>
  <c r="E151" i="10"/>
  <c r="C152" i="10"/>
  <c r="D152" i="10"/>
  <c r="E152" i="10"/>
  <c r="C153" i="10"/>
  <c r="D153" i="10"/>
  <c r="E153" i="10"/>
  <c r="C154" i="10"/>
  <c r="D154" i="10"/>
  <c r="E154" i="10"/>
  <c r="F154" i="10" s="1"/>
  <c r="G154" i="10" s="1"/>
  <c r="D146" i="10"/>
  <c r="E146" i="10"/>
  <c r="C146" i="10"/>
  <c r="C135" i="10"/>
  <c r="D135" i="10"/>
  <c r="E135" i="10"/>
  <c r="C136" i="10"/>
  <c r="D136" i="10"/>
  <c r="E136" i="10"/>
  <c r="C137" i="10"/>
  <c r="D137" i="10"/>
  <c r="E137" i="10"/>
  <c r="C138" i="10"/>
  <c r="D138" i="10"/>
  <c r="E138" i="10"/>
  <c r="C139" i="10"/>
  <c r="D139" i="10"/>
  <c r="E139" i="10"/>
  <c r="C140" i="10"/>
  <c r="D140" i="10"/>
  <c r="E140" i="10"/>
  <c r="C141" i="10"/>
  <c r="D141" i="10"/>
  <c r="E141" i="10"/>
  <c r="C142" i="10"/>
  <c r="D142" i="10"/>
  <c r="E142" i="10"/>
  <c r="F142" i="10" s="1"/>
  <c r="G142" i="10" s="1"/>
  <c r="D134" i="10"/>
  <c r="E134" i="10"/>
  <c r="C134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F130" i="10" s="1"/>
  <c r="G130" i="10" s="1"/>
  <c r="D122" i="10"/>
  <c r="E122" i="10"/>
  <c r="C122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F118" i="10" s="1"/>
  <c r="G118" i="10" s="1"/>
  <c r="D110" i="10"/>
  <c r="E110" i="10"/>
  <c r="C110" i="10"/>
  <c r="C75" i="10"/>
  <c r="D75" i="10"/>
  <c r="E75" i="10"/>
  <c r="C76" i="10"/>
  <c r="D76" i="10"/>
  <c r="E76" i="10"/>
  <c r="C77" i="10"/>
  <c r="D77" i="10"/>
  <c r="E77" i="10"/>
  <c r="C78" i="10"/>
  <c r="D78" i="10"/>
  <c r="E78" i="10"/>
  <c r="C79" i="10"/>
  <c r="D79" i="10"/>
  <c r="E79" i="10"/>
  <c r="C80" i="10"/>
  <c r="D80" i="10"/>
  <c r="E80" i="10"/>
  <c r="C81" i="10"/>
  <c r="D81" i="10"/>
  <c r="E81" i="10"/>
  <c r="C82" i="10"/>
  <c r="D82" i="10"/>
  <c r="E82" i="10"/>
  <c r="F82" i="10" s="1"/>
  <c r="G82" i="10" s="1"/>
  <c r="D74" i="10"/>
  <c r="E74" i="10"/>
  <c r="C74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C67" i="10"/>
  <c r="D67" i="10"/>
  <c r="E67" i="10"/>
  <c r="C68" i="10"/>
  <c r="D68" i="10"/>
  <c r="E68" i="10"/>
  <c r="C69" i="10"/>
  <c r="D69" i="10"/>
  <c r="E69" i="10"/>
  <c r="C70" i="10"/>
  <c r="D70" i="10"/>
  <c r="E70" i="10"/>
  <c r="F70" i="10" s="1"/>
  <c r="G70" i="10" s="1"/>
  <c r="D62" i="10"/>
  <c r="E62" i="10"/>
  <c r="C62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F58" i="10" s="1"/>
  <c r="G58" i="10" s="1"/>
  <c r="D50" i="10"/>
  <c r="E50" i="10"/>
  <c r="C50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F46" i="10" s="1"/>
  <c r="G46" i="10" s="1"/>
  <c r="D38" i="10"/>
  <c r="E38" i="10"/>
  <c r="C38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F34" i="10" s="1"/>
  <c r="G34" i="10" s="1"/>
  <c r="D26" i="10"/>
  <c r="E26" i="10"/>
  <c r="C26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F22" i="10" s="1"/>
  <c r="G22" i="10" s="1"/>
  <c r="D14" i="10"/>
  <c r="E14" i="10"/>
  <c r="C14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F9" i="10" s="1"/>
  <c r="G9" i="10" s="1"/>
  <c r="C10" i="10"/>
  <c r="D10" i="10"/>
  <c r="E10" i="10"/>
  <c r="F10" i="10" s="1"/>
  <c r="G10" i="10" s="1"/>
  <c r="C3" i="10"/>
  <c r="D3" i="10"/>
  <c r="E3" i="10"/>
  <c r="E2" i="10"/>
  <c r="D2" i="10"/>
  <c r="C2" i="10"/>
  <c r="N216" i="22" l="1"/>
  <c r="N217" i="20"/>
  <c r="N145" i="20"/>
  <c r="N144" i="22"/>
  <c r="N24" i="22"/>
  <c r="N24" i="20"/>
  <c r="N121" i="20"/>
  <c r="N120" i="22"/>
  <c r="N48" i="22"/>
  <c r="Q240" i="22"/>
  <c r="P198" i="2"/>
  <c r="Q198" i="2" s="1"/>
  <c r="R198" i="2" s="1"/>
  <c r="P73" i="2"/>
  <c r="O74" i="6" s="1"/>
  <c r="U74" i="6" s="1"/>
  <c r="M123" i="2"/>
  <c r="N123" i="2" s="1"/>
  <c r="J166" i="13"/>
  <c r="P98" i="2"/>
  <c r="Q98" i="2" s="1"/>
  <c r="R98" i="2" s="1"/>
  <c r="J110" i="13"/>
  <c r="K110" i="13" s="1"/>
  <c r="M148" i="2"/>
  <c r="N148" i="2" s="1"/>
  <c r="J54" i="13"/>
  <c r="K54" i="13" s="1"/>
  <c r="P173" i="2"/>
  <c r="J26" i="13"/>
  <c r="D82" i="13"/>
  <c r="E82" i="13" s="1"/>
  <c r="Q365" i="22"/>
  <c r="Q291" i="20"/>
  <c r="Q315" i="22"/>
  <c r="Q199" i="4"/>
  <c r="V199" i="4" s="1"/>
  <c r="F53" i="18" s="1"/>
  <c r="U53" i="18" s="1"/>
  <c r="Q265" i="22"/>
  <c r="T374" i="6"/>
  <c r="Y374" i="6" s="1"/>
  <c r="L81" i="19" s="1"/>
  <c r="Q366" i="20"/>
  <c r="Q99" i="4"/>
  <c r="V99" i="4" s="1"/>
  <c r="B53" i="18" s="1"/>
  <c r="Q53" i="18" s="1"/>
  <c r="Q316" i="20"/>
  <c r="Y274" i="6"/>
  <c r="D81" i="19" s="1"/>
  <c r="Q266" i="20"/>
  <c r="T24" i="6"/>
  <c r="Y24" i="6" s="1"/>
  <c r="B83" i="11" s="1"/>
  <c r="S83" i="11" s="1"/>
  <c r="J138" i="13"/>
  <c r="T299" i="6"/>
  <c r="Y299" i="6" s="1"/>
  <c r="F81" i="19" s="1"/>
  <c r="T174" i="6"/>
  <c r="Y174" i="6" s="1"/>
  <c r="F83" i="11" s="1"/>
  <c r="W83" i="11" s="1"/>
  <c r="T349" i="6"/>
  <c r="Y349" i="6" s="1"/>
  <c r="J81" i="19" s="1"/>
  <c r="Q24" i="4"/>
  <c r="V24" i="4" s="1"/>
  <c r="B54" i="11" s="1"/>
  <c r="S54" i="11" s="1"/>
  <c r="D26" i="13"/>
  <c r="E26" i="13" s="1"/>
  <c r="D138" i="13"/>
  <c r="Q349" i="4"/>
  <c r="V349" i="4" s="1"/>
  <c r="J53" i="19" s="1"/>
  <c r="T74" i="6"/>
  <c r="Y74" i="6" s="1"/>
  <c r="J83" i="11" s="1"/>
  <c r="AA83" i="11" s="1"/>
  <c r="T249" i="6"/>
  <c r="Y249" i="6" s="1"/>
  <c r="B81" i="19" s="1"/>
  <c r="Q249" i="4"/>
  <c r="V249" i="4" s="1"/>
  <c r="B53" i="19" s="1"/>
  <c r="Q324" i="4"/>
  <c r="V324" i="4" s="1"/>
  <c r="H53" i="19" s="1"/>
  <c r="T149" i="6"/>
  <c r="Y149" i="6" s="1"/>
  <c r="D82" i="18" s="1"/>
  <c r="S82" i="18" s="1"/>
  <c r="Q340" i="22"/>
  <c r="Q224" i="4"/>
  <c r="V224" i="4" s="1"/>
  <c r="H53" i="18" s="1"/>
  <c r="W53" i="18" s="1"/>
  <c r="T49" i="6"/>
  <c r="Y49" i="6" s="1"/>
  <c r="H83" i="11" s="1"/>
  <c r="Y83" i="11" s="1"/>
  <c r="Q124" i="4"/>
  <c r="V124" i="4" s="1"/>
  <c r="D54" i="11" s="1"/>
  <c r="U54" i="11" s="1"/>
  <c r="Q299" i="4"/>
  <c r="V299" i="4" s="1"/>
  <c r="F53" i="19" s="1"/>
  <c r="Q48" i="2"/>
  <c r="R48" i="2" s="1"/>
  <c r="N49" i="4"/>
  <c r="R49" i="4" s="1"/>
  <c r="O49" i="6"/>
  <c r="U49" i="6" s="1"/>
  <c r="Q148" i="2"/>
  <c r="R148" i="2" s="1"/>
  <c r="N149" i="4"/>
  <c r="R149" i="4" s="1"/>
  <c r="O149" i="6"/>
  <c r="U149" i="6" s="1"/>
  <c r="D54" i="13"/>
  <c r="E54" i="13" s="1"/>
  <c r="Q273" i="2"/>
  <c r="R273" i="2" s="1"/>
  <c r="N274" i="4"/>
  <c r="R274" i="4" s="1"/>
  <c r="N265" i="22"/>
  <c r="R265" i="22" s="1"/>
  <c r="S265" i="22" s="1"/>
  <c r="T265" i="22" s="1"/>
  <c r="O274" i="6"/>
  <c r="U274" i="6" s="1"/>
  <c r="N266" i="20"/>
  <c r="R266" i="20" s="1"/>
  <c r="S266" i="20" s="1"/>
  <c r="T266" i="20" s="1"/>
  <c r="Q223" i="2"/>
  <c r="R223" i="2" s="1"/>
  <c r="O224" i="6"/>
  <c r="U224" i="6" s="1"/>
  <c r="N224" i="4"/>
  <c r="R224" i="4" s="1"/>
  <c r="Q123" i="2"/>
  <c r="R123" i="2" s="1"/>
  <c r="O124" i="6"/>
  <c r="U124" i="6" s="1"/>
  <c r="N124" i="4"/>
  <c r="R124" i="4" s="1"/>
  <c r="Q323" i="2"/>
  <c r="R323" i="2" s="1"/>
  <c r="O324" i="6"/>
  <c r="U324" i="6" s="1"/>
  <c r="N316" i="20"/>
  <c r="R316" i="20" s="1"/>
  <c r="S316" i="20" s="1"/>
  <c r="T316" i="20" s="1"/>
  <c r="N324" i="4"/>
  <c r="R324" i="4" s="1"/>
  <c r="N315" i="22"/>
  <c r="R315" i="22" s="1"/>
  <c r="S315" i="22" s="1"/>
  <c r="T315" i="22" s="1"/>
  <c r="D110" i="13"/>
  <c r="Q373" i="2"/>
  <c r="R373" i="2" s="1"/>
  <c r="N374" i="4"/>
  <c r="R374" i="4" s="1"/>
  <c r="N365" i="22"/>
  <c r="R365" i="22" s="1"/>
  <c r="S365" i="22" s="1"/>
  <c r="T365" i="22" s="1"/>
  <c r="O374" i="6"/>
  <c r="U374" i="6" s="1"/>
  <c r="N366" i="20"/>
  <c r="R366" i="20" s="1"/>
  <c r="S366" i="20" s="1"/>
  <c r="T366" i="20" s="1"/>
  <c r="J82" i="13"/>
  <c r="J222" i="13"/>
  <c r="K222" i="13" s="1"/>
  <c r="N241" i="20"/>
  <c r="R241" i="20" s="1"/>
  <c r="N249" i="4"/>
  <c r="R249" i="4" s="1"/>
  <c r="N240" i="22"/>
  <c r="R240" i="22" s="1"/>
  <c r="O249" i="6"/>
  <c r="U249" i="6" s="1"/>
  <c r="Q248" i="2"/>
  <c r="R248" i="2" s="1"/>
  <c r="N24" i="4"/>
  <c r="R24" i="4" s="1"/>
  <c r="Q23" i="2"/>
  <c r="R23" i="2" s="1"/>
  <c r="O24" i="6"/>
  <c r="U24" i="6" s="1"/>
  <c r="N299" i="4"/>
  <c r="R299" i="4" s="1"/>
  <c r="N290" i="22"/>
  <c r="R290" i="22" s="1"/>
  <c r="S290" i="22" s="1"/>
  <c r="T290" i="22" s="1"/>
  <c r="Q298" i="2"/>
  <c r="R298" i="2" s="1"/>
  <c r="O299" i="6"/>
  <c r="U299" i="6" s="1"/>
  <c r="N291" i="20"/>
  <c r="R291" i="20" s="1"/>
  <c r="S291" i="20" s="1"/>
  <c r="T291" i="20" s="1"/>
  <c r="J194" i="13"/>
  <c r="N341" i="20"/>
  <c r="R341" i="20" s="1"/>
  <c r="S341" i="20" s="1"/>
  <c r="T341" i="20" s="1"/>
  <c r="N349" i="4"/>
  <c r="R349" i="4" s="1"/>
  <c r="N340" i="22"/>
  <c r="R340" i="22" s="1"/>
  <c r="S340" i="22" s="1"/>
  <c r="T340" i="22" s="1"/>
  <c r="Q348" i="2"/>
  <c r="R348" i="2" s="1"/>
  <c r="O349" i="6"/>
  <c r="U349" i="6" s="1"/>
  <c r="D166" i="13"/>
  <c r="E166" i="13" s="1"/>
  <c r="C65" i="12"/>
  <c r="D65" i="12"/>
  <c r="C54" i="12"/>
  <c r="D54" i="12"/>
  <c r="C43" i="12"/>
  <c r="D43" i="12"/>
  <c r="C32" i="12"/>
  <c r="D32" i="12"/>
  <c r="C21" i="12"/>
  <c r="D21" i="12"/>
  <c r="C10" i="12"/>
  <c r="D10" i="12"/>
  <c r="H81" i="19"/>
  <c r="D53" i="19"/>
  <c r="L5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B82" i="18"/>
  <c r="Q82" i="18" s="1"/>
  <c r="F82" i="18"/>
  <c r="U82" i="18" s="1"/>
  <c r="H82" i="18"/>
  <c r="W82" i="18" s="1"/>
  <c r="D53" i="18"/>
  <c r="S53" i="18" s="1"/>
  <c r="B25" i="18"/>
  <c r="C25" i="18"/>
  <c r="D25" i="18"/>
  <c r="E25" i="18"/>
  <c r="F25" i="18"/>
  <c r="G25" i="18"/>
  <c r="H25" i="18"/>
  <c r="I25" i="18"/>
  <c r="D83" i="11"/>
  <c r="U83" i="11" s="1"/>
  <c r="F54" i="11"/>
  <c r="W54" i="11" s="1"/>
  <c r="H54" i="11"/>
  <c r="Y54" i="11" s="1"/>
  <c r="J54" i="11"/>
  <c r="AA54" i="11" s="1"/>
  <c r="B25" i="11"/>
  <c r="C25" i="11"/>
  <c r="D25" i="11"/>
  <c r="E25" i="11"/>
  <c r="F25" i="11"/>
  <c r="G25" i="11"/>
  <c r="H25" i="11"/>
  <c r="I25" i="11"/>
  <c r="J25" i="11"/>
  <c r="K25" i="11"/>
  <c r="E365" i="22"/>
  <c r="D365" i="22"/>
  <c r="C365" i="22"/>
  <c r="B365" i="22"/>
  <c r="A365" i="22"/>
  <c r="D364" i="22"/>
  <c r="C364" i="22"/>
  <c r="B364" i="22"/>
  <c r="A364" i="22"/>
  <c r="D363" i="22"/>
  <c r="C363" i="22"/>
  <c r="B363" i="22"/>
  <c r="A363" i="22"/>
  <c r="D362" i="22"/>
  <c r="C362" i="22"/>
  <c r="B362" i="22"/>
  <c r="A362" i="22"/>
  <c r="D361" i="22"/>
  <c r="C361" i="22"/>
  <c r="B361" i="22"/>
  <c r="A361" i="22"/>
  <c r="D360" i="22"/>
  <c r="C360" i="22"/>
  <c r="B360" i="22"/>
  <c r="A360" i="22"/>
  <c r="D359" i="22"/>
  <c r="C359" i="22"/>
  <c r="B359" i="22"/>
  <c r="A359" i="22"/>
  <c r="D358" i="22"/>
  <c r="C358" i="22"/>
  <c r="B358" i="22"/>
  <c r="A358" i="22"/>
  <c r="D357" i="22"/>
  <c r="C357" i="22"/>
  <c r="B357" i="22"/>
  <c r="A357" i="22"/>
  <c r="D356" i="22"/>
  <c r="C356" i="22"/>
  <c r="B356" i="22"/>
  <c r="A356" i="22"/>
  <c r="D355" i="22"/>
  <c r="C355" i="22"/>
  <c r="B355" i="22"/>
  <c r="A355" i="22"/>
  <c r="D354" i="22"/>
  <c r="C354" i="22"/>
  <c r="B354" i="22"/>
  <c r="A354" i="22"/>
  <c r="D353" i="22"/>
  <c r="C353" i="22"/>
  <c r="B353" i="22"/>
  <c r="A353" i="22"/>
  <c r="D352" i="22"/>
  <c r="C352" i="22"/>
  <c r="B352" i="22"/>
  <c r="A352" i="22"/>
  <c r="D351" i="22"/>
  <c r="C351" i="22"/>
  <c r="B351" i="22"/>
  <c r="A351" i="22"/>
  <c r="D350" i="22"/>
  <c r="C350" i="22"/>
  <c r="B350" i="22"/>
  <c r="A350" i="22"/>
  <c r="D349" i="22"/>
  <c r="C349" i="22"/>
  <c r="B349" i="22"/>
  <c r="A349" i="22"/>
  <c r="D348" i="22"/>
  <c r="C348" i="22"/>
  <c r="B348" i="22"/>
  <c r="A348" i="22"/>
  <c r="D347" i="22"/>
  <c r="C347" i="22"/>
  <c r="B347" i="22"/>
  <c r="A347" i="22"/>
  <c r="D346" i="22"/>
  <c r="C346" i="22"/>
  <c r="B346" i="22"/>
  <c r="A346" i="22"/>
  <c r="D345" i="22"/>
  <c r="C345" i="22"/>
  <c r="B345" i="22"/>
  <c r="A345" i="22"/>
  <c r="D344" i="22"/>
  <c r="C344" i="22"/>
  <c r="B344" i="22"/>
  <c r="A344" i="22"/>
  <c r="E340" i="22"/>
  <c r="D340" i="22"/>
  <c r="C340" i="22"/>
  <c r="B340" i="22"/>
  <c r="A340" i="22"/>
  <c r="D339" i="22"/>
  <c r="C339" i="22"/>
  <c r="B339" i="22"/>
  <c r="A339" i="22"/>
  <c r="D338" i="22"/>
  <c r="C338" i="22"/>
  <c r="B338" i="22"/>
  <c r="A338" i="22"/>
  <c r="D337" i="22"/>
  <c r="C337" i="22"/>
  <c r="B337" i="22"/>
  <c r="A337" i="22"/>
  <c r="D336" i="22"/>
  <c r="C336" i="22"/>
  <c r="B336" i="22"/>
  <c r="A336" i="22"/>
  <c r="D335" i="22"/>
  <c r="C335" i="22"/>
  <c r="B335" i="22"/>
  <c r="A335" i="22"/>
  <c r="D334" i="22"/>
  <c r="C334" i="22"/>
  <c r="B334" i="22"/>
  <c r="A334" i="22"/>
  <c r="D333" i="22"/>
  <c r="C333" i="22"/>
  <c r="B333" i="22"/>
  <c r="A333" i="22"/>
  <c r="D332" i="22"/>
  <c r="C332" i="22"/>
  <c r="B332" i="22"/>
  <c r="A332" i="22"/>
  <c r="D331" i="22"/>
  <c r="C331" i="22"/>
  <c r="B331" i="22"/>
  <c r="A331" i="22"/>
  <c r="D330" i="22"/>
  <c r="C330" i="22"/>
  <c r="B330" i="22"/>
  <c r="A330" i="22"/>
  <c r="D329" i="22"/>
  <c r="C329" i="22"/>
  <c r="B329" i="22"/>
  <c r="A329" i="22"/>
  <c r="D328" i="22"/>
  <c r="C328" i="22"/>
  <c r="B328" i="22"/>
  <c r="A328" i="22"/>
  <c r="D327" i="22"/>
  <c r="C327" i="22"/>
  <c r="B327" i="22"/>
  <c r="A327" i="22"/>
  <c r="D326" i="22"/>
  <c r="C326" i="22"/>
  <c r="B326" i="22"/>
  <c r="A326" i="22"/>
  <c r="D325" i="22"/>
  <c r="C325" i="22"/>
  <c r="B325" i="22"/>
  <c r="A325" i="22"/>
  <c r="D324" i="22"/>
  <c r="C324" i="22"/>
  <c r="B324" i="22"/>
  <c r="A324" i="22"/>
  <c r="D323" i="22"/>
  <c r="C323" i="22"/>
  <c r="B323" i="22"/>
  <c r="A323" i="22"/>
  <c r="D322" i="22"/>
  <c r="C322" i="22"/>
  <c r="B322" i="22"/>
  <c r="A322" i="22"/>
  <c r="D321" i="22"/>
  <c r="C321" i="22"/>
  <c r="B321" i="22"/>
  <c r="A321" i="22"/>
  <c r="D320" i="22"/>
  <c r="C320" i="22"/>
  <c r="B320" i="22"/>
  <c r="A320" i="22"/>
  <c r="D319" i="22"/>
  <c r="C319" i="22"/>
  <c r="B319" i="22"/>
  <c r="A319" i="22"/>
  <c r="E315" i="22"/>
  <c r="D315" i="22"/>
  <c r="C315" i="22"/>
  <c r="B315" i="22"/>
  <c r="A315" i="22"/>
  <c r="D314" i="22"/>
  <c r="C314" i="22"/>
  <c r="B314" i="22"/>
  <c r="A314" i="22"/>
  <c r="D313" i="22"/>
  <c r="C313" i="22"/>
  <c r="B313" i="22"/>
  <c r="A313" i="22"/>
  <c r="D312" i="22"/>
  <c r="C312" i="22"/>
  <c r="B312" i="22"/>
  <c r="A312" i="22"/>
  <c r="D311" i="22"/>
  <c r="C311" i="22"/>
  <c r="B311" i="22"/>
  <c r="A311" i="22"/>
  <c r="D310" i="22"/>
  <c r="C310" i="22"/>
  <c r="B310" i="22"/>
  <c r="A310" i="22"/>
  <c r="D309" i="22"/>
  <c r="C309" i="22"/>
  <c r="B309" i="22"/>
  <c r="A309" i="22"/>
  <c r="D308" i="22"/>
  <c r="C308" i="22"/>
  <c r="B308" i="22"/>
  <c r="A308" i="22"/>
  <c r="D307" i="22"/>
  <c r="C307" i="22"/>
  <c r="B307" i="22"/>
  <c r="A307" i="22"/>
  <c r="D306" i="22"/>
  <c r="C306" i="22"/>
  <c r="B306" i="22"/>
  <c r="A306" i="22"/>
  <c r="D305" i="22"/>
  <c r="C305" i="22"/>
  <c r="B305" i="22"/>
  <c r="A305" i="22"/>
  <c r="D304" i="22"/>
  <c r="C304" i="22"/>
  <c r="B304" i="22"/>
  <c r="A304" i="22"/>
  <c r="D303" i="22"/>
  <c r="C303" i="22"/>
  <c r="B303" i="22"/>
  <c r="A303" i="22"/>
  <c r="D302" i="22"/>
  <c r="C302" i="22"/>
  <c r="B302" i="22"/>
  <c r="A302" i="22"/>
  <c r="D301" i="22"/>
  <c r="C301" i="22"/>
  <c r="B301" i="22"/>
  <c r="A301" i="22"/>
  <c r="D300" i="22"/>
  <c r="C300" i="22"/>
  <c r="B300" i="22"/>
  <c r="A300" i="22"/>
  <c r="D299" i="22"/>
  <c r="C299" i="22"/>
  <c r="B299" i="22"/>
  <c r="A299" i="22"/>
  <c r="D298" i="22"/>
  <c r="C298" i="22"/>
  <c r="B298" i="22"/>
  <c r="A298" i="22"/>
  <c r="D297" i="22"/>
  <c r="C297" i="22"/>
  <c r="B297" i="22"/>
  <c r="A297" i="22"/>
  <c r="D296" i="22"/>
  <c r="C296" i="22"/>
  <c r="B296" i="22"/>
  <c r="A296" i="22"/>
  <c r="D295" i="22"/>
  <c r="C295" i="22"/>
  <c r="B295" i="22"/>
  <c r="A295" i="22"/>
  <c r="D294" i="22"/>
  <c r="C294" i="22"/>
  <c r="B294" i="22"/>
  <c r="A294" i="22"/>
  <c r="E290" i="22"/>
  <c r="D290" i="22"/>
  <c r="C290" i="22"/>
  <c r="B290" i="22"/>
  <c r="A290" i="22"/>
  <c r="D289" i="22"/>
  <c r="C289" i="22"/>
  <c r="B289" i="22"/>
  <c r="A289" i="22"/>
  <c r="D288" i="22"/>
  <c r="C288" i="22"/>
  <c r="B288" i="22"/>
  <c r="A288" i="22"/>
  <c r="D287" i="22"/>
  <c r="C287" i="22"/>
  <c r="B287" i="22"/>
  <c r="A287" i="22"/>
  <c r="D286" i="22"/>
  <c r="C286" i="22"/>
  <c r="B286" i="22"/>
  <c r="A286" i="22"/>
  <c r="D285" i="22"/>
  <c r="C285" i="22"/>
  <c r="B285" i="22"/>
  <c r="A285" i="22"/>
  <c r="D284" i="22"/>
  <c r="C284" i="22"/>
  <c r="B284" i="22"/>
  <c r="A284" i="22"/>
  <c r="D283" i="22"/>
  <c r="C283" i="22"/>
  <c r="B283" i="22"/>
  <c r="A283" i="22"/>
  <c r="D282" i="22"/>
  <c r="C282" i="22"/>
  <c r="B282" i="22"/>
  <c r="A282" i="22"/>
  <c r="D281" i="22"/>
  <c r="C281" i="22"/>
  <c r="B281" i="22"/>
  <c r="A281" i="22"/>
  <c r="D280" i="22"/>
  <c r="C280" i="22"/>
  <c r="B280" i="22"/>
  <c r="A280" i="22"/>
  <c r="D279" i="22"/>
  <c r="C279" i="22"/>
  <c r="B279" i="22"/>
  <c r="A279" i="22"/>
  <c r="D278" i="22"/>
  <c r="C278" i="22"/>
  <c r="B278" i="22"/>
  <c r="A278" i="22"/>
  <c r="D277" i="22"/>
  <c r="C277" i="22"/>
  <c r="B277" i="22"/>
  <c r="A277" i="22"/>
  <c r="D276" i="22"/>
  <c r="C276" i="22"/>
  <c r="B276" i="22"/>
  <c r="A276" i="22"/>
  <c r="D275" i="22"/>
  <c r="C275" i="22"/>
  <c r="B275" i="22"/>
  <c r="A275" i="22"/>
  <c r="D274" i="22"/>
  <c r="C274" i="22"/>
  <c r="B274" i="22"/>
  <c r="A274" i="22"/>
  <c r="D273" i="22"/>
  <c r="C273" i="22"/>
  <c r="B273" i="22"/>
  <c r="A273" i="22"/>
  <c r="D272" i="22"/>
  <c r="C272" i="22"/>
  <c r="B272" i="22"/>
  <c r="A272" i="22"/>
  <c r="D271" i="22"/>
  <c r="C271" i="22"/>
  <c r="B271" i="22"/>
  <c r="A271" i="22"/>
  <c r="D270" i="22"/>
  <c r="C270" i="22"/>
  <c r="B270" i="22"/>
  <c r="A270" i="22"/>
  <c r="D269" i="22"/>
  <c r="C269" i="22"/>
  <c r="B269" i="22"/>
  <c r="A269" i="22"/>
  <c r="E265" i="22"/>
  <c r="D265" i="22"/>
  <c r="C265" i="22"/>
  <c r="B265" i="22"/>
  <c r="A265" i="22"/>
  <c r="D264" i="22"/>
  <c r="C264" i="22"/>
  <c r="B264" i="22"/>
  <c r="A264" i="22"/>
  <c r="D263" i="22"/>
  <c r="C263" i="22"/>
  <c r="B263" i="22"/>
  <c r="A263" i="22"/>
  <c r="D262" i="22"/>
  <c r="C262" i="22"/>
  <c r="B262" i="22"/>
  <c r="A262" i="22"/>
  <c r="D261" i="22"/>
  <c r="C261" i="22"/>
  <c r="B261" i="22"/>
  <c r="A261" i="22"/>
  <c r="D260" i="22"/>
  <c r="C260" i="22"/>
  <c r="B260" i="22"/>
  <c r="A260" i="22"/>
  <c r="D259" i="22"/>
  <c r="C259" i="22"/>
  <c r="B259" i="22"/>
  <c r="A259" i="22"/>
  <c r="D258" i="22"/>
  <c r="C258" i="22"/>
  <c r="B258" i="22"/>
  <c r="A258" i="22"/>
  <c r="D257" i="22"/>
  <c r="C257" i="22"/>
  <c r="B257" i="22"/>
  <c r="A257" i="22"/>
  <c r="D256" i="22"/>
  <c r="C256" i="22"/>
  <c r="B256" i="22"/>
  <c r="A256" i="22"/>
  <c r="D255" i="22"/>
  <c r="C255" i="22"/>
  <c r="B255" i="22"/>
  <c r="A255" i="22"/>
  <c r="D254" i="22"/>
  <c r="C254" i="22"/>
  <c r="B254" i="22"/>
  <c r="A254" i="22"/>
  <c r="D253" i="22"/>
  <c r="C253" i="22"/>
  <c r="B253" i="22"/>
  <c r="A253" i="22"/>
  <c r="D252" i="22"/>
  <c r="C252" i="22"/>
  <c r="B252" i="22"/>
  <c r="A252" i="22"/>
  <c r="D251" i="22"/>
  <c r="C251" i="22"/>
  <c r="B251" i="22"/>
  <c r="A251" i="22"/>
  <c r="D250" i="22"/>
  <c r="C250" i="22"/>
  <c r="B250" i="22"/>
  <c r="A250" i="22"/>
  <c r="D249" i="22"/>
  <c r="C249" i="22"/>
  <c r="B249" i="22"/>
  <c r="A249" i="22"/>
  <c r="D248" i="22"/>
  <c r="C248" i="22"/>
  <c r="B248" i="22"/>
  <c r="A248" i="22"/>
  <c r="D247" i="22"/>
  <c r="C247" i="22"/>
  <c r="B247" i="22"/>
  <c r="A247" i="22"/>
  <c r="D246" i="22"/>
  <c r="C246" i="22"/>
  <c r="B246" i="22"/>
  <c r="A246" i="22"/>
  <c r="D245" i="22"/>
  <c r="C245" i="22"/>
  <c r="B245" i="22"/>
  <c r="A245" i="22"/>
  <c r="D244" i="22"/>
  <c r="C244" i="22"/>
  <c r="B244" i="22"/>
  <c r="A244" i="22"/>
  <c r="E240" i="22"/>
  <c r="D240" i="22"/>
  <c r="C240" i="22"/>
  <c r="B240" i="22"/>
  <c r="A240" i="22"/>
  <c r="D239" i="22"/>
  <c r="C239" i="22"/>
  <c r="B239" i="22"/>
  <c r="A239" i="22"/>
  <c r="D238" i="22"/>
  <c r="C238" i="22"/>
  <c r="B238" i="22"/>
  <c r="A238" i="22"/>
  <c r="D237" i="22"/>
  <c r="C237" i="22"/>
  <c r="B237" i="22"/>
  <c r="A237" i="22"/>
  <c r="D236" i="22"/>
  <c r="C236" i="22"/>
  <c r="B236" i="22"/>
  <c r="A236" i="22"/>
  <c r="D235" i="22"/>
  <c r="C235" i="22"/>
  <c r="B235" i="22"/>
  <c r="A235" i="22"/>
  <c r="D234" i="22"/>
  <c r="C234" i="22"/>
  <c r="B234" i="22"/>
  <c r="A234" i="22"/>
  <c r="D233" i="22"/>
  <c r="C233" i="22"/>
  <c r="B233" i="22"/>
  <c r="A233" i="22"/>
  <c r="D232" i="22"/>
  <c r="C232" i="22"/>
  <c r="B232" i="22"/>
  <c r="A232" i="22"/>
  <c r="D231" i="22"/>
  <c r="C231" i="22"/>
  <c r="B231" i="22"/>
  <c r="A231" i="22"/>
  <c r="D230" i="22"/>
  <c r="C230" i="22"/>
  <c r="B230" i="22"/>
  <c r="A230" i="22"/>
  <c r="D229" i="22"/>
  <c r="C229" i="22"/>
  <c r="B229" i="22"/>
  <c r="A229" i="22"/>
  <c r="D228" i="22"/>
  <c r="C228" i="22"/>
  <c r="B228" i="22"/>
  <c r="A228" i="22"/>
  <c r="D227" i="22"/>
  <c r="C227" i="22"/>
  <c r="B227" i="22"/>
  <c r="A227" i="22"/>
  <c r="D226" i="22"/>
  <c r="C226" i="22"/>
  <c r="B226" i="22"/>
  <c r="A226" i="22"/>
  <c r="D225" i="22"/>
  <c r="C225" i="22"/>
  <c r="B225" i="22"/>
  <c r="A225" i="22"/>
  <c r="D224" i="22"/>
  <c r="C224" i="22"/>
  <c r="B224" i="22"/>
  <c r="A224" i="22"/>
  <c r="D223" i="22"/>
  <c r="C223" i="22"/>
  <c r="B223" i="22"/>
  <c r="A223" i="22"/>
  <c r="D222" i="22"/>
  <c r="C222" i="22"/>
  <c r="B222" i="22"/>
  <c r="A222" i="22"/>
  <c r="D221" i="22"/>
  <c r="C221" i="22"/>
  <c r="B221" i="22"/>
  <c r="A221" i="22"/>
  <c r="D220" i="22"/>
  <c r="C220" i="22"/>
  <c r="B220" i="22"/>
  <c r="A220" i="22"/>
  <c r="D219" i="22"/>
  <c r="C219" i="22"/>
  <c r="B219" i="22"/>
  <c r="A219" i="22"/>
  <c r="E216" i="22"/>
  <c r="I216" i="22" s="1"/>
  <c r="J216" i="22" s="1"/>
  <c r="K216" i="22" s="1"/>
  <c r="D216" i="22"/>
  <c r="C216" i="22"/>
  <c r="B216" i="22"/>
  <c r="A216" i="22"/>
  <c r="D215" i="22"/>
  <c r="C215" i="22"/>
  <c r="B215" i="22"/>
  <c r="A215" i="22"/>
  <c r="D214" i="22"/>
  <c r="C214" i="22"/>
  <c r="B214" i="22"/>
  <c r="A214" i="22"/>
  <c r="D213" i="22"/>
  <c r="C213" i="22"/>
  <c r="B213" i="22"/>
  <c r="A213" i="22"/>
  <c r="D212" i="22"/>
  <c r="C212" i="22"/>
  <c r="B212" i="22"/>
  <c r="A212" i="22"/>
  <c r="D211" i="22"/>
  <c r="C211" i="22"/>
  <c r="B211" i="22"/>
  <c r="A211" i="22"/>
  <c r="D210" i="22"/>
  <c r="C210" i="22"/>
  <c r="B210" i="22"/>
  <c r="A210" i="22"/>
  <c r="D209" i="22"/>
  <c r="C209" i="22"/>
  <c r="B209" i="22"/>
  <c r="A209" i="22"/>
  <c r="D208" i="22"/>
  <c r="C208" i="22"/>
  <c r="B208" i="22"/>
  <c r="A208" i="22"/>
  <c r="D207" i="22"/>
  <c r="C207" i="22"/>
  <c r="B207" i="22"/>
  <c r="A207" i="22"/>
  <c r="D206" i="22"/>
  <c r="C206" i="22"/>
  <c r="B206" i="22"/>
  <c r="A206" i="22"/>
  <c r="D205" i="22"/>
  <c r="C205" i="22"/>
  <c r="B205" i="22"/>
  <c r="A205" i="22"/>
  <c r="D204" i="22"/>
  <c r="C204" i="22"/>
  <c r="B204" i="22"/>
  <c r="A204" i="22"/>
  <c r="D203" i="22"/>
  <c r="C203" i="22"/>
  <c r="B203" i="22"/>
  <c r="A203" i="22"/>
  <c r="D202" i="22"/>
  <c r="C202" i="22"/>
  <c r="B202" i="22"/>
  <c r="A202" i="22"/>
  <c r="D201" i="22"/>
  <c r="C201" i="22"/>
  <c r="B201" i="22"/>
  <c r="A201" i="22"/>
  <c r="D200" i="22"/>
  <c r="C200" i="22"/>
  <c r="B200" i="22"/>
  <c r="A200" i="22"/>
  <c r="D199" i="22"/>
  <c r="C199" i="22"/>
  <c r="B199" i="22"/>
  <c r="A199" i="22"/>
  <c r="D198" i="22"/>
  <c r="C198" i="22"/>
  <c r="B198" i="22"/>
  <c r="A198" i="22"/>
  <c r="D197" i="22"/>
  <c r="C197" i="22"/>
  <c r="B197" i="22"/>
  <c r="A197" i="22"/>
  <c r="D196" i="22"/>
  <c r="C196" i="22"/>
  <c r="B196" i="22"/>
  <c r="A196" i="22"/>
  <c r="D195" i="22"/>
  <c r="C195" i="22"/>
  <c r="B195" i="22"/>
  <c r="A195" i="22"/>
  <c r="E192" i="22"/>
  <c r="I192" i="22" s="1"/>
  <c r="J192" i="22" s="1"/>
  <c r="K192" i="22" s="1"/>
  <c r="D192" i="22"/>
  <c r="C192" i="22"/>
  <c r="B192" i="22"/>
  <c r="A192" i="22"/>
  <c r="D191" i="22"/>
  <c r="C191" i="22"/>
  <c r="B191" i="22"/>
  <c r="A191" i="22"/>
  <c r="D190" i="22"/>
  <c r="C190" i="22"/>
  <c r="B190" i="22"/>
  <c r="A190" i="22"/>
  <c r="D189" i="22"/>
  <c r="C189" i="22"/>
  <c r="B189" i="22"/>
  <c r="A189" i="22"/>
  <c r="D188" i="22"/>
  <c r="C188" i="22"/>
  <c r="B188" i="22"/>
  <c r="A188" i="22"/>
  <c r="D187" i="22"/>
  <c r="C187" i="22"/>
  <c r="B187" i="22"/>
  <c r="A187" i="22"/>
  <c r="D186" i="22"/>
  <c r="C186" i="22"/>
  <c r="B186" i="22"/>
  <c r="A186" i="22"/>
  <c r="D185" i="22"/>
  <c r="C185" i="22"/>
  <c r="B185" i="22"/>
  <c r="A185" i="22"/>
  <c r="D184" i="22"/>
  <c r="C184" i="22"/>
  <c r="B184" i="22"/>
  <c r="A184" i="22"/>
  <c r="D183" i="22"/>
  <c r="C183" i="22"/>
  <c r="B183" i="22"/>
  <c r="A183" i="22"/>
  <c r="D182" i="22"/>
  <c r="C182" i="22"/>
  <c r="B182" i="22"/>
  <c r="A182" i="22"/>
  <c r="D181" i="22"/>
  <c r="C181" i="22"/>
  <c r="B181" i="22"/>
  <c r="A181" i="22"/>
  <c r="D180" i="22"/>
  <c r="C180" i="22"/>
  <c r="B180" i="22"/>
  <c r="A180" i="22"/>
  <c r="D179" i="22"/>
  <c r="C179" i="22"/>
  <c r="B179" i="22"/>
  <c r="A179" i="22"/>
  <c r="D178" i="22"/>
  <c r="C178" i="22"/>
  <c r="B178" i="22"/>
  <c r="A178" i="22"/>
  <c r="D177" i="22"/>
  <c r="C177" i="22"/>
  <c r="B177" i="22"/>
  <c r="A177" i="22"/>
  <c r="D176" i="22"/>
  <c r="C176" i="22"/>
  <c r="B176" i="22"/>
  <c r="A176" i="22"/>
  <c r="D175" i="22"/>
  <c r="C175" i="22"/>
  <c r="B175" i="22"/>
  <c r="A175" i="22"/>
  <c r="D174" i="22"/>
  <c r="C174" i="22"/>
  <c r="B174" i="22"/>
  <c r="A174" i="22"/>
  <c r="D173" i="22"/>
  <c r="C173" i="22"/>
  <c r="B173" i="22"/>
  <c r="A173" i="22"/>
  <c r="D172" i="22"/>
  <c r="C172" i="22"/>
  <c r="B172" i="22"/>
  <c r="A172" i="22"/>
  <c r="D171" i="22"/>
  <c r="C171" i="22"/>
  <c r="B171" i="22"/>
  <c r="A171" i="22"/>
  <c r="E168" i="22"/>
  <c r="I168" i="22" s="1"/>
  <c r="J168" i="22" s="1"/>
  <c r="K168" i="22" s="1"/>
  <c r="D168" i="22"/>
  <c r="C168" i="22"/>
  <c r="B168" i="22"/>
  <c r="A168" i="22"/>
  <c r="D167" i="22"/>
  <c r="C167" i="22"/>
  <c r="B167" i="22"/>
  <c r="A167" i="22"/>
  <c r="D166" i="22"/>
  <c r="C166" i="22"/>
  <c r="B166" i="22"/>
  <c r="A166" i="22"/>
  <c r="D165" i="22"/>
  <c r="C165" i="22"/>
  <c r="B165" i="22"/>
  <c r="A165" i="22"/>
  <c r="D164" i="22"/>
  <c r="C164" i="22"/>
  <c r="B164" i="22"/>
  <c r="A164" i="22"/>
  <c r="D163" i="22"/>
  <c r="C163" i="22"/>
  <c r="B163" i="22"/>
  <c r="A163" i="22"/>
  <c r="D162" i="22"/>
  <c r="C162" i="22"/>
  <c r="B162" i="22"/>
  <c r="A162" i="22"/>
  <c r="D161" i="22"/>
  <c r="C161" i="22"/>
  <c r="B161" i="22"/>
  <c r="A161" i="22"/>
  <c r="D160" i="22"/>
  <c r="C160" i="22"/>
  <c r="B160" i="22"/>
  <c r="A160" i="22"/>
  <c r="D159" i="22"/>
  <c r="C159" i="22"/>
  <c r="B159" i="22"/>
  <c r="A159" i="22"/>
  <c r="D158" i="22"/>
  <c r="C158" i="22"/>
  <c r="B158" i="22"/>
  <c r="A158" i="22"/>
  <c r="D157" i="22"/>
  <c r="C157" i="22"/>
  <c r="B157" i="22"/>
  <c r="A157" i="22"/>
  <c r="D156" i="22"/>
  <c r="C156" i="22"/>
  <c r="B156" i="22"/>
  <c r="A156" i="22"/>
  <c r="D155" i="22"/>
  <c r="C155" i="22"/>
  <c r="B155" i="22"/>
  <c r="A155" i="22"/>
  <c r="D154" i="22"/>
  <c r="C154" i="22"/>
  <c r="B154" i="22"/>
  <c r="A154" i="22"/>
  <c r="D153" i="22"/>
  <c r="C153" i="22"/>
  <c r="B153" i="22"/>
  <c r="A153" i="22"/>
  <c r="D152" i="22"/>
  <c r="C152" i="22"/>
  <c r="B152" i="22"/>
  <c r="A152" i="22"/>
  <c r="D151" i="22"/>
  <c r="C151" i="22"/>
  <c r="B151" i="22"/>
  <c r="A151" i="22"/>
  <c r="D150" i="22"/>
  <c r="C150" i="22"/>
  <c r="B150" i="22"/>
  <c r="A150" i="22"/>
  <c r="D149" i="22"/>
  <c r="C149" i="22"/>
  <c r="B149" i="22"/>
  <c r="A149" i="22"/>
  <c r="D148" i="22"/>
  <c r="C148" i="22"/>
  <c r="B148" i="22"/>
  <c r="A148" i="22"/>
  <c r="D147" i="22"/>
  <c r="C147" i="22"/>
  <c r="B147" i="22"/>
  <c r="A147" i="22"/>
  <c r="E144" i="22"/>
  <c r="I144" i="22" s="1"/>
  <c r="J144" i="22" s="1"/>
  <c r="K144" i="22" s="1"/>
  <c r="D144" i="22"/>
  <c r="C144" i="22"/>
  <c r="B144" i="22"/>
  <c r="A144" i="22"/>
  <c r="D143" i="22"/>
  <c r="C143" i="22"/>
  <c r="B143" i="22"/>
  <c r="A143" i="22"/>
  <c r="D142" i="22"/>
  <c r="C142" i="22"/>
  <c r="B142" i="22"/>
  <c r="A142" i="22"/>
  <c r="D141" i="22"/>
  <c r="C141" i="22"/>
  <c r="B141" i="22"/>
  <c r="A141" i="22"/>
  <c r="D140" i="22"/>
  <c r="C140" i="22"/>
  <c r="B140" i="22"/>
  <c r="A140" i="22"/>
  <c r="D139" i="22"/>
  <c r="C139" i="22"/>
  <c r="B139" i="22"/>
  <c r="A139" i="22"/>
  <c r="D138" i="22"/>
  <c r="C138" i="22"/>
  <c r="B138" i="22"/>
  <c r="A138" i="22"/>
  <c r="D137" i="22"/>
  <c r="C137" i="22"/>
  <c r="B137" i="22"/>
  <c r="A137" i="22"/>
  <c r="D136" i="22"/>
  <c r="C136" i="22"/>
  <c r="B136" i="22"/>
  <c r="A136" i="22"/>
  <c r="D135" i="22"/>
  <c r="C135" i="22"/>
  <c r="B135" i="22"/>
  <c r="A135" i="22"/>
  <c r="D134" i="22"/>
  <c r="C134" i="22"/>
  <c r="B134" i="22"/>
  <c r="A134" i="22"/>
  <c r="D133" i="22"/>
  <c r="C133" i="22"/>
  <c r="B133" i="22"/>
  <c r="A133" i="22"/>
  <c r="D132" i="22"/>
  <c r="C132" i="22"/>
  <c r="B132" i="22"/>
  <c r="A132" i="22"/>
  <c r="D131" i="22"/>
  <c r="C131" i="22"/>
  <c r="B131" i="22"/>
  <c r="A131" i="22"/>
  <c r="D130" i="22"/>
  <c r="C130" i="22"/>
  <c r="B130" i="22"/>
  <c r="A130" i="22"/>
  <c r="D129" i="22"/>
  <c r="C129" i="22"/>
  <c r="B129" i="22"/>
  <c r="A129" i="22"/>
  <c r="D128" i="22"/>
  <c r="C128" i="22"/>
  <c r="B128" i="22"/>
  <c r="A128" i="22"/>
  <c r="D127" i="22"/>
  <c r="C127" i="22"/>
  <c r="B127" i="22"/>
  <c r="A127" i="22"/>
  <c r="D126" i="22"/>
  <c r="C126" i="22"/>
  <c r="B126" i="22"/>
  <c r="A126" i="22"/>
  <c r="D125" i="22"/>
  <c r="C125" i="22"/>
  <c r="B125" i="22"/>
  <c r="A125" i="22"/>
  <c r="D124" i="22"/>
  <c r="C124" i="22"/>
  <c r="B124" i="22"/>
  <c r="A124" i="22"/>
  <c r="D123" i="22"/>
  <c r="C123" i="22"/>
  <c r="B123" i="22"/>
  <c r="A123" i="22"/>
  <c r="E120" i="22"/>
  <c r="I120" i="22" s="1"/>
  <c r="J120" i="22" s="1"/>
  <c r="K120" i="22" s="1"/>
  <c r="D120" i="22"/>
  <c r="C120" i="22"/>
  <c r="B120" i="22"/>
  <c r="A120" i="22"/>
  <c r="D119" i="22"/>
  <c r="C119" i="22"/>
  <c r="B119" i="22"/>
  <c r="A119" i="22"/>
  <c r="D118" i="22"/>
  <c r="C118" i="22"/>
  <c r="B118" i="22"/>
  <c r="A118" i="22"/>
  <c r="D117" i="22"/>
  <c r="C117" i="22"/>
  <c r="B117" i="22"/>
  <c r="A117" i="22"/>
  <c r="D116" i="22"/>
  <c r="C116" i="22"/>
  <c r="B116" i="22"/>
  <c r="A116" i="22"/>
  <c r="D115" i="22"/>
  <c r="C115" i="22"/>
  <c r="B115" i="22"/>
  <c r="A115" i="22"/>
  <c r="D114" i="22"/>
  <c r="C114" i="22"/>
  <c r="B114" i="22"/>
  <c r="A114" i="22"/>
  <c r="D113" i="22"/>
  <c r="C113" i="22"/>
  <c r="B113" i="22"/>
  <c r="A113" i="22"/>
  <c r="D112" i="22"/>
  <c r="C112" i="22"/>
  <c r="B112" i="22"/>
  <c r="A112" i="22"/>
  <c r="D111" i="22"/>
  <c r="C111" i="22"/>
  <c r="B111" i="22"/>
  <c r="A111" i="22"/>
  <c r="D110" i="22"/>
  <c r="C110" i="22"/>
  <c r="B110" i="22"/>
  <c r="A110" i="22"/>
  <c r="D109" i="22"/>
  <c r="C109" i="22"/>
  <c r="B109" i="22"/>
  <c r="A109" i="22"/>
  <c r="D108" i="22"/>
  <c r="C108" i="22"/>
  <c r="B108" i="22"/>
  <c r="A108" i="22"/>
  <c r="D107" i="22"/>
  <c r="C107" i="22"/>
  <c r="B107" i="22"/>
  <c r="A107" i="22"/>
  <c r="D106" i="22"/>
  <c r="C106" i="22"/>
  <c r="B106" i="22"/>
  <c r="A106" i="22"/>
  <c r="D105" i="22"/>
  <c r="C105" i="22"/>
  <c r="B105" i="22"/>
  <c r="A105" i="22"/>
  <c r="D104" i="22"/>
  <c r="C104" i="22"/>
  <c r="B104" i="22"/>
  <c r="A104" i="22"/>
  <c r="D103" i="22"/>
  <c r="C103" i="22"/>
  <c r="B103" i="22"/>
  <c r="A103" i="22"/>
  <c r="D102" i="22"/>
  <c r="C102" i="22"/>
  <c r="B102" i="22"/>
  <c r="A102" i="22"/>
  <c r="D101" i="22"/>
  <c r="C101" i="22"/>
  <c r="B101" i="22"/>
  <c r="A101" i="22"/>
  <c r="D100" i="22"/>
  <c r="C100" i="22"/>
  <c r="B100" i="22"/>
  <c r="A100" i="22"/>
  <c r="D99" i="22"/>
  <c r="C99" i="22"/>
  <c r="B99" i="22"/>
  <c r="A99" i="22"/>
  <c r="E96" i="22"/>
  <c r="I96" i="22" s="1"/>
  <c r="J96" i="22" s="1"/>
  <c r="K96" i="22" s="1"/>
  <c r="D96" i="22"/>
  <c r="C96" i="22"/>
  <c r="B96" i="22"/>
  <c r="A96" i="22"/>
  <c r="D95" i="22"/>
  <c r="C95" i="22"/>
  <c r="B95" i="22"/>
  <c r="A95" i="22"/>
  <c r="D94" i="22"/>
  <c r="C94" i="22"/>
  <c r="B94" i="22"/>
  <c r="A94" i="22"/>
  <c r="D93" i="22"/>
  <c r="C93" i="22"/>
  <c r="B93" i="22"/>
  <c r="A93" i="22"/>
  <c r="D92" i="22"/>
  <c r="C92" i="22"/>
  <c r="B92" i="22"/>
  <c r="A92" i="22"/>
  <c r="D91" i="22"/>
  <c r="C91" i="22"/>
  <c r="B91" i="22"/>
  <c r="A91" i="22"/>
  <c r="D90" i="22"/>
  <c r="C90" i="22"/>
  <c r="B90" i="22"/>
  <c r="A90" i="22"/>
  <c r="D89" i="22"/>
  <c r="C89" i="22"/>
  <c r="B89" i="22"/>
  <c r="A89" i="22"/>
  <c r="D88" i="22"/>
  <c r="C88" i="22"/>
  <c r="B88" i="22"/>
  <c r="A88" i="22"/>
  <c r="D87" i="22"/>
  <c r="C87" i="22"/>
  <c r="B87" i="22"/>
  <c r="A87" i="22"/>
  <c r="D86" i="22"/>
  <c r="C86" i="22"/>
  <c r="B86" i="22"/>
  <c r="A86" i="22"/>
  <c r="D85" i="22"/>
  <c r="C85" i="22"/>
  <c r="B85" i="22"/>
  <c r="A85" i="22"/>
  <c r="D84" i="22"/>
  <c r="C84" i="22"/>
  <c r="B84" i="22"/>
  <c r="A84" i="22"/>
  <c r="D83" i="22"/>
  <c r="C83" i="22"/>
  <c r="B83" i="22"/>
  <c r="A83" i="22"/>
  <c r="D82" i="22"/>
  <c r="C82" i="22"/>
  <c r="B82" i="22"/>
  <c r="A82" i="22"/>
  <c r="D81" i="22"/>
  <c r="C81" i="22"/>
  <c r="B81" i="22"/>
  <c r="A81" i="22"/>
  <c r="D80" i="22"/>
  <c r="C80" i="22"/>
  <c r="B80" i="22"/>
  <c r="A80" i="22"/>
  <c r="D79" i="22"/>
  <c r="C79" i="22"/>
  <c r="B79" i="22"/>
  <c r="A79" i="22"/>
  <c r="D78" i="22"/>
  <c r="C78" i="22"/>
  <c r="B78" i="22"/>
  <c r="A78" i="22"/>
  <c r="D77" i="22"/>
  <c r="C77" i="22"/>
  <c r="B77" i="22"/>
  <c r="A77" i="22"/>
  <c r="D76" i="22"/>
  <c r="C76" i="22"/>
  <c r="B76" i="22"/>
  <c r="A76" i="22"/>
  <c r="D75" i="22"/>
  <c r="C75" i="22"/>
  <c r="B75" i="22"/>
  <c r="A75" i="22"/>
  <c r="E72" i="22"/>
  <c r="I72" i="22" s="1"/>
  <c r="J72" i="22" s="1"/>
  <c r="K72" i="22" s="1"/>
  <c r="D72" i="22"/>
  <c r="C72" i="22"/>
  <c r="B72" i="22"/>
  <c r="A72" i="22"/>
  <c r="D71" i="22"/>
  <c r="C71" i="22"/>
  <c r="B71" i="22"/>
  <c r="A71" i="22"/>
  <c r="D70" i="22"/>
  <c r="C70" i="22"/>
  <c r="B70" i="22"/>
  <c r="A70" i="22"/>
  <c r="D69" i="22"/>
  <c r="C69" i="22"/>
  <c r="B69" i="22"/>
  <c r="A69" i="22"/>
  <c r="D68" i="22"/>
  <c r="C68" i="22"/>
  <c r="B68" i="22"/>
  <c r="A68" i="22"/>
  <c r="D67" i="22"/>
  <c r="C67" i="22"/>
  <c r="B67" i="22"/>
  <c r="A67" i="22"/>
  <c r="D66" i="22"/>
  <c r="C66" i="22"/>
  <c r="B66" i="22"/>
  <c r="A66" i="22"/>
  <c r="D65" i="22"/>
  <c r="C65" i="22"/>
  <c r="B65" i="22"/>
  <c r="A65" i="22"/>
  <c r="D64" i="22"/>
  <c r="C64" i="22"/>
  <c r="B64" i="22"/>
  <c r="A64" i="22"/>
  <c r="D63" i="22"/>
  <c r="C63" i="22"/>
  <c r="B63" i="22"/>
  <c r="A63" i="22"/>
  <c r="D62" i="22"/>
  <c r="C62" i="22"/>
  <c r="B62" i="22"/>
  <c r="A62" i="22"/>
  <c r="D61" i="22"/>
  <c r="C61" i="22"/>
  <c r="B61" i="22"/>
  <c r="A61" i="22"/>
  <c r="D60" i="22"/>
  <c r="C60" i="22"/>
  <c r="B60" i="22"/>
  <c r="A60" i="22"/>
  <c r="D59" i="22"/>
  <c r="C59" i="22"/>
  <c r="B59" i="22"/>
  <c r="A59" i="22"/>
  <c r="D58" i="22"/>
  <c r="C58" i="22"/>
  <c r="B58" i="22"/>
  <c r="A58" i="22"/>
  <c r="D57" i="22"/>
  <c r="C57" i="22"/>
  <c r="B57" i="22"/>
  <c r="A57" i="22"/>
  <c r="D56" i="22"/>
  <c r="C56" i="22"/>
  <c r="B56" i="22"/>
  <c r="A56" i="22"/>
  <c r="D55" i="22"/>
  <c r="C55" i="22"/>
  <c r="B55" i="22"/>
  <c r="A55" i="22"/>
  <c r="D54" i="22"/>
  <c r="C54" i="22"/>
  <c r="B54" i="22"/>
  <c r="A54" i="22"/>
  <c r="D53" i="22"/>
  <c r="C53" i="22"/>
  <c r="B53" i="22"/>
  <c r="A53" i="22"/>
  <c r="D52" i="22"/>
  <c r="C52" i="22"/>
  <c r="B52" i="22"/>
  <c r="A52" i="22"/>
  <c r="D51" i="22"/>
  <c r="C51" i="22"/>
  <c r="B51" i="22"/>
  <c r="A51" i="22"/>
  <c r="E48" i="22"/>
  <c r="I48" i="22" s="1"/>
  <c r="J48" i="22" s="1"/>
  <c r="K48" i="22" s="1"/>
  <c r="D48" i="22"/>
  <c r="C48" i="22"/>
  <c r="B48" i="22"/>
  <c r="A48" i="22"/>
  <c r="D47" i="22"/>
  <c r="C47" i="22"/>
  <c r="B47" i="22"/>
  <c r="A47" i="22"/>
  <c r="D46" i="22"/>
  <c r="C46" i="22"/>
  <c r="B46" i="22"/>
  <c r="A46" i="22"/>
  <c r="D45" i="22"/>
  <c r="C45" i="22"/>
  <c r="B45" i="22"/>
  <c r="A45" i="22"/>
  <c r="D44" i="22"/>
  <c r="C44" i="22"/>
  <c r="B44" i="22"/>
  <c r="A44" i="22"/>
  <c r="D43" i="22"/>
  <c r="C43" i="22"/>
  <c r="B43" i="22"/>
  <c r="A43" i="22"/>
  <c r="D42" i="22"/>
  <c r="C42" i="22"/>
  <c r="B42" i="22"/>
  <c r="A42" i="22"/>
  <c r="D41" i="22"/>
  <c r="C41" i="22"/>
  <c r="B41" i="22"/>
  <c r="A41" i="22"/>
  <c r="D40" i="22"/>
  <c r="C40" i="22"/>
  <c r="B40" i="22"/>
  <c r="A40" i="22"/>
  <c r="D39" i="22"/>
  <c r="C39" i="22"/>
  <c r="B39" i="22"/>
  <c r="A39" i="22"/>
  <c r="D38" i="22"/>
  <c r="C38" i="22"/>
  <c r="B38" i="22"/>
  <c r="A38" i="22"/>
  <c r="D37" i="22"/>
  <c r="C37" i="22"/>
  <c r="B37" i="22"/>
  <c r="A37" i="22"/>
  <c r="D36" i="22"/>
  <c r="C36" i="22"/>
  <c r="B36" i="22"/>
  <c r="A36" i="22"/>
  <c r="D35" i="22"/>
  <c r="C35" i="22"/>
  <c r="B35" i="22"/>
  <c r="A35" i="22"/>
  <c r="D34" i="22"/>
  <c r="C34" i="22"/>
  <c r="B34" i="22"/>
  <c r="A34" i="22"/>
  <c r="D33" i="22"/>
  <c r="C33" i="22"/>
  <c r="B33" i="22"/>
  <c r="A33" i="22"/>
  <c r="D32" i="22"/>
  <c r="C32" i="22"/>
  <c r="B32" i="22"/>
  <c r="A32" i="22"/>
  <c r="D31" i="22"/>
  <c r="C31" i="22"/>
  <c r="B31" i="22"/>
  <c r="A31" i="22"/>
  <c r="D30" i="22"/>
  <c r="C30" i="22"/>
  <c r="B30" i="22"/>
  <c r="A30" i="22"/>
  <c r="D29" i="22"/>
  <c r="C29" i="22"/>
  <c r="B29" i="22"/>
  <c r="A29" i="22"/>
  <c r="D28" i="22"/>
  <c r="C28" i="22"/>
  <c r="B28" i="22"/>
  <c r="A28" i="22"/>
  <c r="D27" i="22"/>
  <c r="C27" i="22"/>
  <c r="B27" i="22"/>
  <c r="A27" i="22"/>
  <c r="E24" i="22"/>
  <c r="I24" i="22" s="1"/>
  <c r="J24" i="22" s="1"/>
  <c r="K24" i="22" s="1"/>
  <c r="D24" i="22"/>
  <c r="C24" i="22"/>
  <c r="B24" i="22"/>
  <c r="A24" i="22"/>
  <c r="D23" i="22"/>
  <c r="C23" i="22"/>
  <c r="B23" i="22"/>
  <c r="A23" i="22"/>
  <c r="D22" i="22"/>
  <c r="C22" i="22"/>
  <c r="B22" i="22"/>
  <c r="A22" i="22"/>
  <c r="D21" i="22"/>
  <c r="C21" i="22"/>
  <c r="B21" i="22"/>
  <c r="A21" i="22"/>
  <c r="D20" i="22"/>
  <c r="C20" i="22"/>
  <c r="B20" i="22"/>
  <c r="A20" i="22"/>
  <c r="D19" i="22"/>
  <c r="C19" i="22"/>
  <c r="B19" i="22"/>
  <c r="A19" i="22"/>
  <c r="D18" i="22"/>
  <c r="C18" i="22"/>
  <c r="B18" i="22"/>
  <c r="A18" i="22"/>
  <c r="D17" i="22"/>
  <c r="C17" i="22"/>
  <c r="B17" i="22"/>
  <c r="A17" i="22"/>
  <c r="D16" i="22"/>
  <c r="C16" i="22"/>
  <c r="B16" i="22"/>
  <c r="A16" i="22"/>
  <c r="D15" i="22"/>
  <c r="C15" i="22"/>
  <c r="B15" i="22"/>
  <c r="A15" i="22"/>
  <c r="D14" i="22"/>
  <c r="C14" i="22"/>
  <c r="B14" i="22"/>
  <c r="A14" i="22"/>
  <c r="D13" i="22"/>
  <c r="C13" i="22"/>
  <c r="B13" i="22"/>
  <c r="A13" i="22"/>
  <c r="D12" i="22"/>
  <c r="C12" i="22"/>
  <c r="B12" i="22"/>
  <c r="A12" i="22"/>
  <c r="D11" i="22"/>
  <c r="C11" i="22"/>
  <c r="B11" i="22"/>
  <c r="A11" i="22"/>
  <c r="D10" i="22"/>
  <c r="C10" i="22"/>
  <c r="B10" i="22"/>
  <c r="A10" i="22"/>
  <c r="D9" i="22"/>
  <c r="C9" i="22"/>
  <c r="B9" i="22"/>
  <c r="A9" i="22"/>
  <c r="D8" i="22"/>
  <c r="C8" i="22"/>
  <c r="B8" i="22"/>
  <c r="A8" i="22"/>
  <c r="D7" i="22"/>
  <c r="C7" i="22"/>
  <c r="B7" i="22"/>
  <c r="A7" i="22"/>
  <c r="D6" i="22"/>
  <c r="C6" i="22"/>
  <c r="B6" i="22"/>
  <c r="A6" i="22"/>
  <c r="D5" i="22"/>
  <c r="C5" i="22"/>
  <c r="B5" i="22"/>
  <c r="A5" i="22"/>
  <c r="D4" i="22"/>
  <c r="C4" i="22"/>
  <c r="B4" i="22"/>
  <c r="A4" i="22"/>
  <c r="D3" i="22"/>
  <c r="C3" i="22"/>
  <c r="B3" i="22"/>
  <c r="A3" i="22"/>
  <c r="Y53" i="18" l="1"/>
  <c r="Y82" i="18"/>
  <c r="AC54" i="11"/>
  <c r="AC83" i="11"/>
  <c r="N25" i="19"/>
  <c r="O25" i="19"/>
  <c r="P25" i="19" s="1"/>
  <c r="Q25" i="19" s="1"/>
  <c r="O99" i="6"/>
  <c r="U99" i="6" s="1"/>
  <c r="Z99" i="6" s="1"/>
  <c r="N199" i="4"/>
  <c r="R199" i="4" s="1"/>
  <c r="S199" i="4" s="1"/>
  <c r="T199" i="4" s="1"/>
  <c r="N99" i="4"/>
  <c r="R99" i="4" s="1"/>
  <c r="W99" i="4" s="1"/>
  <c r="S240" i="22"/>
  <c r="T240" i="22" s="1"/>
  <c r="N74" i="4"/>
  <c r="R74" i="4" s="1"/>
  <c r="S74" i="4" s="1"/>
  <c r="T74" i="4" s="1"/>
  <c r="N73" i="20"/>
  <c r="N72" i="22"/>
  <c r="Q73" i="2"/>
  <c r="R73" i="2" s="1"/>
  <c r="O174" i="6"/>
  <c r="U174" i="6" s="1"/>
  <c r="Z174" i="6" s="1"/>
  <c r="N168" i="22"/>
  <c r="N169" i="20"/>
  <c r="N193" i="20"/>
  <c r="N192" i="22"/>
  <c r="O199" i="6"/>
  <c r="U199" i="6" s="1"/>
  <c r="V199" i="6" s="1"/>
  <c r="W199" i="6" s="1"/>
  <c r="N97" i="20"/>
  <c r="N96" i="22"/>
  <c r="N174" i="4"/>
  <c r="R174" i="4" s="1"/>
  <c r="W174" i="4" s="1"/>
  <c r="Q173" i="2"/>
  <c r="R173" i="2" s="1"/>
  <c r="V299" i="6"/>
  <c r="W299" i="6" s="1"/>
  <c r="Z299" i="6"/>
  <c r="V249" i="6"/>
  <c r="W249" i="6" s="1"/>
  <c r="Z249" i="6"/>
  <c r="S324" i="4"/>
  <c r="T324" i="4" s="1"/>
  <c r="W324" i="4"/>
  <c r="V349" i="6"/>
  <c r="W349" i="6" s="1"/>
  <c r="Z349" i="6"/>
  <c r="V274" i="6"/>
  <c r="W274" i="6" s="1"/>
  <c r="Z274" i="6"/>
  <c r="S249" i="4"/>
  <c r="T249" i="4" s="1"/>
  <c r="W249" i="4"/>
  <c r="V374" i="6"/>
  <c r="W374" i="6" s="1"/>
  <c r="Z374" i="6"/>
  <c r="S224" i="4"/>
  <c r="T224" i="4" s="1"/>
  <c r="W224" i="4"/>
  <c r="S299" i="4"/>
  <c r="T299" i="4" s="1"/>
  <c r="W299" i="4"/>
  <c r="S349" i="4"/>
  <c r="T349" i="4" s="1"/>
  <c r="W349" i="4"/>
  <c r="V24" i="6"/>
  <c r="W24" i="6" s="1"/>
  <c r="Z24" i="6"/>
  <c r="S124" i="4"/>
  <c r="T124" i="4" s="1"/>
  <c r="W124" i="4"/>
  <c r="V74" i="6"/>
  <c r="W74" i="6" s="1"/>
  <c r="Z74" i="6"/>
  <c r="S24" i="4"/>
  <c r="T24" i="4" s="1"/>
  <c r="W24" i="4"/>
  <c r="V149" i="6"/>
  <c r="W149" i="6" s="1"/>
  <c r="Z149" i="6"/>
  <c r="S149" i="4"/>
  <c r="T149" i="4" s="1"/>
  <c r="W149" i="4"/>
  <c r="V49" i="6"/>
  <c r="W49" i="6" s="1"/>
  <c r="Z49" i="6"/>
  <c r="V324" i="6"/>
  <c r="W324" i="6" s="1"/>
  <c r="Z324" i="6"/>
  <c r="E43" i="12"/>
  <c r="V224" i="6"/>
  <c r="W224" i="6" s="1"/>
  <c r="Z224" i="6"/>
  <c r="S274" i="4"/>
  <c r="T274" i="4" s="1"/>
  <c r="W274" i="4"/>
  <c r="S374" i="4"/>
  <c r="T374" i="4" s="1"/>
  <c r="W374" i="4"/>
  <c r="V124" i="6"/>
  <c r="W124" i="6" s="1"/>
  <c r="Z124" i="6"/>
  <c r="S49" i="4"/>
  <c r="T49" i="4" s="1"/>
  <c r="W49" i="4"/>
  <c r="I290" i="22"/>
  <c r="W290" i="22" s="1"/>
  <c r="X290" i="22" s="1"/>
  <c r="H290" i="22"/>
  <c r="V290" i="22" s="1"/>
  <c r="H340" i="22"/>
  <c r="V340" i="22" s="1"/>
  <c r="I340" i="22"/>
  <c r="W340" i="22" s="1"/>
  <c r="X340" i="22" s="1"/>
  <c r="N81" i="19"/>
  <c r="H365" i="22"/>
  <c r="V365" i="22" s="1"/>
  <c r="I365" i="22"/>
  <c r="W365" i="22" s="1"/>
  <c r="X365" i="22" s="1"/>
  <c r="I240" i="22"/>
  <c r="W240" i="22" s="1"/>
  <c r="X240" i="22" s="1"/>
  <c r="H240" i="22"/>
  <c r="V240" i="22" s="1"/>
  <c r="N53" i="19"/>
  <c r="I265" i="22"/>
  <c r="W265" i="22" s="1"/>
  <c r="X265" i="22" s="1"/>
  <c r="H265" i="22"/>
  <c r="V265" i="22" s="1"/>
  <c r="H315" i="22"/>
  <c r="V315" i="22" s="1"/>
  <c r="I315" i="22"/>
  <c r="W315" i="22" s="1"/>
  <c r="X315" i="22" s="1"/>
  <c r="L83" i="11"/>
  <c r="J82" i="18"/>
  <c r="L54" i="11"/>
  <c r="J53" i="18"/>
  <c r="E21" i="12"/>
  <c r="E65" i="12"/>
  <c r="E54" i="12"/>
  <c r="E32" i="12"/>
  <c r="E10" i="12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A61" i="20"/>
  <c r="B61" i="20"/>
  <c r="C61" i="20"/>
  <c r="D61" i="20"/>
  <c r="A62" i="20"/>
  <c r="B62" i="20"/>
  <c r="C62" i="20"/>
  <c r="D62" i="20"/>
  <c r="A63" i="20"/>
  <c r="B63" i="20"/>
  <c r="C63" i="20"/>
  <c r="D63" i="20"/>
  <c r="A64" i="20"/>
  <c r="B64" i="20"/>
  <c r="C64" i="20"/>
  <c r="D64" i="20"/>
  <c r="A65" i="20"/>
  <c r="B65" i="20"/>
  <c r="C65" i="20"/>
  <c r="D65" i="20"/>
  <c r="A66" i="20"/>
  <c r="B66" i="20"/>
  <c r="C66" i="20"/>
  <c r="D66" i="20"/>
  <c r="A67" i="20"/>
  <c r="B67" i="20"/>
  <c r="C67" i="20"/>
  <c r="D67" i="20"/>
  <c r="A68" i="20"/>
  <c r="B68" i="20"/>
  <c r="C68" i="20"/>
  <c r="D68" i="20"/>
  <c r="A69" i="20"/>
  <c r="B69" i="20"/>
  <c r="C69" i="20"/>
  <c r="D69" i="20"/>
  <c r="A70" i="20"/>
  <c r="B70" i="20"/>
  <c r="C70" i="20"/>
  <c r="D70" i="20"/>
  <c r="A71" i="20"/>
  <c r="B71" i="20"/>
  <c r="C71" i="20"/>
  <c r="D71" i="20"/>
  <c r="A72" i="20"/>
  <c r="B72" i="20"/>
  <c r="C72" i="20"/>
  <c r="D72" i="20"/>
  <c r="A73" i="20"/>
  <c r="B73" i="20"/>
  <c r="C73" i="20"/>
  <c r="D73" i="20"/>
  <c r="E73" i="20"/>
  <c r="I73" i="20" s="1"/>
  <c r="J73" i="20" s="1"/>
  <c r="K73" i="20" s="1"/>
  <c r="A76" i="20"/>
  <c r="B76" i="20"/>
  <c r="C76" i="20"/>
  <c r="D76" i="20"/>
  <c r="A77" i="20"/>
  <c r="B77" i="20"/>
  <c r="C77" i="20"/>
  <c r="D77" i="20"/>
  <c r="A78" i="20"/>
  <c r="B78" i="20"/>
  <c r="C78" i="20"/>
  <c r="D78" i="20"/>
  <c r="A79" i="20"/>
  <c r="B79" i="20"/>
  <c r="C79" i="20"/>
  <c r="D79" i="20"/>
  <c r="A80" i="20"/>
  <c r="B80" i="20"/>
  <c r="C80" i="20"/>
  <c r="D80" i="20"/>
  <c r="A81" i="20"/>
  <c r="B81" i="20"/>
  <c r="C81" i="20"/>
  <c r="D81" i="20"/>
  <c r="A82" i="20"/>
  <c r="B82" i="20"/>
  <c r="C82" i="20"/>
  <c r="D82" i="20"/>
  <c r="A83" i="20"/>
  <c r="B83" i="20"/>
  <c r="C83" i="20"/>
  <c r="D83" i="20"/>
  <c r="A84" i="20"/>
  <c r="B84" i="20"/>
  <c r="C84" i="20"/>
  <c r="D84" i="20"/>
  <c r="A85" i="20"/>
  <c r="B85" i="20"/>
  <c r="C85" i="20"/>
  <c r="D85" i="20"/>
  <c r="A86" i="20"/>
  <c r="B86" i="20"/>
  <c r="C86" i="20"/>
  <c r="D86" i="20"/>
  <c r="A87" i="20"/>
  <c r="B87" i="20"/>
  <c r="C87" i="20"/>
  <c r="D87" i="20"/>
  <c r="A88" i="20"/>
  <c r="B88" i="20"/>
  <c r="C88" i="20"/>
  <c r="D88" i="20"/>
  <c r="A89" i="20"/>
  <c r="B89" i="20"/>
  <c r="C89" i="20"/>
  <c r="D89" i="20"/>
  <c r="A90" i="20"/>
  <c r="B90" i="20"/>
  <c r="C90" i="20"/>
  <c r="D90" i="20"/>
  <c r="A91" i="20"/>
  <c r="B91" i="20"/>
  <c r="C91" i="20"/>
  <c r="D91" i="20"/>
  <c r="A92" i="20"/>
  <c r="B92" i="20"/>
  <c r="C92" i="20"/>
  <c r="D92" i="20"/>
  <c r="A93" i="20"/>
  <c r="B93" i="20"/>
  <c r="C93" i="20"/>
  <c r="D93" i="20"/>
  <c r="A94" i="20"/>
  <c r="B94" i="20"/>
  <c r="C94" i="20"/>
  <c r="D94" i="20"/>
  <c r="A95" i="20"/>
  <c r="B95" i="20"/>
  <c r="C95" i="20"/>
  <c r="D95" i="20"/>
  <c r="A96" i="20"/>
  <c r="B96" i="20"/>
  <c r="C96" i="20"/>
  <c r="D96" i="20"/>
  <c r="A97" i="20"/>
  <c r="B97" i="20"/>
  <c r="C97" i="20"/>
  <c r="D97" i="20"/>
  <c r="E97" i="20"/>
  <c r="I97" i="20" s="1"/>
  <c r="J97" i="20" s="1"/>
  <c r="K97" i="20" s="1"/>
  <c r="A100" i="20"/>
  <c r="B100" i="20"/>
  <c r="C100" i="20"/>
  <c r="D100" i="20"/>
  <c r="A101" i="20"/>
  <c r="B101" i="20"/>
  <c r="C101" i="20"/>
  <c r="D101" i="20"/>
  <c r="A102" i="20"/>
  <c r="B102" i="20"/>
  <c r="C102" i="20"/>
  <c r="D102" i="20"/>
  <c r="A103" i="20"/>
  <c r="B103" i="20"/>
  <c r="C103" i="20"/>
  <c r="D103" i="20"/>
  <c r="A104" i="20"/>
  <c r="B104" i="20"/>
  <c r="C104" i="20"/>
  <c r="D104" i="20"/>
  <c r="A105" i="20"/>
  <c r="B105" i="20"/>
  <c r="C105" i="20"/>
  <c r="D105" i="20"/>
  <c r="A106" i="20"/>
  <c r="B106" i="20"/>
  <c r="C106" i="20"/>
  <c r="D106" i="20"/>
  <c r="A107" i="20"/>
  <c r="B107" i="20"/>
  <c r="C107" i="20"/>
  <c r="D107" i="20"/>
  <c r="A108" i="20"/>
  <c r="B108" i="20"/>
  <c r="C108" i="20"/>
  <c r="D108" i="20"/>
  <c r="A109" i="20"/>
  <c r="B109" i="20"/>
  <c r="C109" i="20"/>
  <c r="D109" i="20"/>
  <c r="A110" i="20"/>
  <c r="B110" i="20"/>
  <c r="C110" i="20"/>
  <c r="D110" i="20"/>
  <c r="A111" i="20"/>
  <c r="B111" i="20"/>
  <c r="C111" i="20"/>
  <c r="D111" i="20"/>
  <c r="A112" i="20"/>
  <c r="B112" i="20"/>
  <c r="C112" i="20"/>
  <c r="D112" i="20"/>
  <c r="A113" i="20"/>
  <c r="B113" i="20"/>
  <c r="C113" i="20"/>
  <c r="D113" i="20"/>
  <c r="A114" i="20"/>
  <c r="B114" i="20"/>
  <c r="C114" i="20"/>
  <c r="D114" i="20"/>
  <c r="A115" i="20"/>
  <c r="B115" i="20"/>
  <c r="C115" i="20"/>
  <c r="D115" i="20"/>
  <c r="A116" i="20"/>
  <c r="B116" i="20"/>
  <c r="C116" i="20"/>
  <c r="D116" i="20"/>
  <c r="A117" i="20"/>
  <c r="B117" i="20"/>
  <c r="C117" i="20"/>
  <c r="D117" i="20"/>
  <c r="A118" i="20"/>
  <c r="B118" i="20"/>
  <c r="C118" i="20"/>
  <c r="D118" i="20"/>
  <c r="A119" i="20"/>
  <c r="B119" i="20"/>
  <c r="C119" i="20"/>
  <c r="D119" i="20"/>
  <c r="A120" i="20"/>
  <c r="B120" i="20"/>
  <c r="C120" i="20"/>
  <c r="D120" i="20"/>
  <c r="A121" i="20"/>
  <c r="B121" i="20"/>
  <c r="C121" i="20"/>
  <c r="D121" i="20"/>
  <c r="E121" i="20"/>
  <c r="I121" i="20" s="1"/>
  <c r="J121" i="20" s="1"/>
  <c r="K121" i="20" s="1"/>
  <c r="A124" i="20"/>
  <c r="B124" i="20"/>
  <c r="C124" i="20"/>
  <c r="D124" i="20"/>
  <c r="A125" i="20"/>
  <c r="B125" i="20"/>
  <c r="C125" i="20"/>
  <c r="D125" i="20"/>
  <c r="A126" i="20"/>
  <c r="B126" i="20"/>
  <c r="C126" i="20"/>
  <c r="D126" i="20"/>
  <c r="A127" i="20"/>
  <c r="B127" i="20"/>
  <c r="C127" i="20"/>
  <c r="D127" i="20"/>
  <c r="A128" i="20"/>
  <c r="B128" i="20"/>
  <c r="C128" i="20"/>
  <c r="D128" i="20"/>
  <c r="A129" i="20"/>
  <c r="B129" i="20"/>
  <c r="C129" i="20"/>
  <c r="D129" i="20"/>
  <c r="A130" i="20"/>
  <c r="B130" i="20"/>
  <c r="C130" i="20"/>
  <c r="D130" i="20"/>
  <c r="A131" i="20"/>
  <c r="B131" i="20"/>
  <c r="C131" i="20"/>
  <c r="D131" i="20"/>
  <c r="A132" i="20"/>
  <c r="B132" i="20"/>
  <c r="C132" i="20"/>
  <c r="D132" i="20"/>
  <c r="A133" i="20"/>
  <c r="B133" i="20"/>
  <c r="C133" i="20"/>
  <c r="D133" i="20"/>
  <c r="A134" i="20"/>
  <c r="B134" i="20"/>
  <c r="C134" i="20"/>
  <c r="D134" i="20"/>
  <c r="A135" i="20"/>
  <c r="B135" i="20"/>
  <c r="C135" i="20"/>
  <c r="D135" i="20"/>
  <c r="A136" i="20"/>
  <c r="B136" i="20"/>
  <c r="C136" i="20"/>
  <c r="D136" i="20"/>
  <c r="A137" i="20"/>
  <c r="B137" i="20"/>
  <c r="C137" i="20"/>
  <c r="D137" i="20"/>
  <c r="A138" i="20"/>
  <c r="B138" i="20"/>
  <c r="C138" i="20"/>
  <c r="D138" i="20"/>
  <c r="A139" i="20"/>
  <c r="B139" i="20"/>
  <c r="C139" i="20"/>
  <c r="D139" i="20"/>
  <c r="A140" i="20"/>
  <c r="B140" i="20"/>
  <c r="C140" i="20"/>
  <c r="D140" i="20"/>
  <c r="A141" i="20"/>
  <c r="B141" i="20"/>
  <c r="C141" i="20"/>
  <c r="D141" i="20"/>
  <c r="A142" i="20"/>
  <c r="B142" i="20"/>
  <c r="C142" i="20"/>
  <c r="D142" i="20"/>
  <c r="A143" i="20"/>
  <c r="B143" i="20"/>
  <c r="C143" i="20"/>
  <c r="D143" i="20"/>
  <c r="A144" i="20"/>
  <c r="B144" i="20"/>
  <c r="C144" i="20"/>
  <c r="D144" i="20"/>
  <c r="A145" i="20"/>
  <c r="B145" i="20"/>
  <c r="C145" i="20"/>
  <c r="D145" i="20"/>
  <c r="E145" i="20"/>
  <c r="I145" i="20" s="1"/>
  <c r="J145" i="20" s="1"/>
  <c r="K145" i="20" s="1"/>
  <c r="A148" i="20"/>
  <c r="B148" i="20"/>
  <c r="C148" i="20"/>
  <c r="D148" i="20"/>
  <c r="A149" i="20"/>
  <c r="B149" i="20"/>
  <c r="C149" i="20"/>
  <c r="D149" i="20"/>
  <c r="A150" i="20"/>
  <c r="B150" i="20"/>
  <c r="C150" i="20"/>
  <c r="D150" i="20"/>
  <c r="A151" i="20"/>
  <c r="B151" i="20"/>
  <c r="C151" i="20"/>
  <c r="D151" i="20"/>
  <c r="A152" i="20"/>
  <c r="B152" i="20"/>
  <c r="C152" i="20"/>
  <c r="D152" i="20"/>
  <c r="A153" i="20"/>
  <c r="B153" i="20"/>
  <c r="C153" i="20"/>
  <c r="D153" i="20"/>
  <c r="A154" i="20"/>
  <c r="B154" i="20"/>
  <c r="C154" i="20"/>
  <c r="D154" i="20"/>
  <c r="A155" i="20"/>
  <c r="B155" i="20"/>
  <c r="C155" i="20"/>
  <c r="D155" i="20"/>
  <c r="A156" i="20"/>
  <c r="B156" i="20"/>
  <c r="C156" i="20"/>
  <c r="D156" i="20"/>
  <c r="A157" i="20"/>
  <c r="B157" i="20"/>
  <c r="C157" i="20"/>
  <c r="D157" i="20"/>
  <c r="A158" i="20"/>
  <c r="B158" i="20"/>
  <c r="C158" i="20"/>
  <c r="D158" i="20"/>
  <c r="A159" i="20"/>
  <c r="B159" i="20"/>
  <c r="C159" i="20"/>
  <c r="D159" i="20"/>
  <c r="A160" i="20"/>
  <c r="B160" i="20"/>
  <c r="C160" i="20"/>
  <c r="D160" i="20"/>
  <c r="A161" i="20"/>
  <c r="B161" i="20"/>
  <c r="C161" i="20"/>
  <c r="D161" i="20"/>
  <c r="A162" i="20"/>
  <c r="B162" i="20"/>
  <c r="C162" i="20"/>
  <c r="D162" i="20"/>
  <c r="A163" i="20"/>
  <c r="B163" i="20"/>
  <c r="C163" i="20"/>
  <c r="D163" i="20"/>
  <c r="A164" i="20"/>
  <c r="B164" i="20"/>
  <c r="C164" i="20"/>
  <c r="D164" i="20"/>
  <c r="A165" i="20"/>
  <c r="B165" i="20"/>
  <c r="C165" i="20"/>
  <c r="D165" i="20"/>
  <c r="A166" i="20"/>
  <c r="B166" i="20"/>
  <c r="C166" i="20"/>
  <c r="D166" i="20"/>
  <c r="A167" i="20"/>
  <c r="B167" i="20"/>
  <c r="C167" i="20"/>
  <c r="D167" i="20"/>
  <c r="A168" i="20"/>
  <c r="B168" i="20"/>
  <c r="C168" i="20"/>
  <c r="D168" i="20"/>
  <c r="A169" i="20"/>
  <c r="B169" i="20"/>
  <c r="C169" i="20"/>
  <c r="D169" i="20"/>
  <c r="E169" i="20"/>
  <c r="I169" i="20" s="1"/>
  <c r="J169" i="20" s="1"/>
  <c r="K169" i="20" s="1"/>
  <c r="A172" i="20"/>
  <c r="B172" i="20"/>
  <c r="C172" i="20"/>
  <c r="D172" i="20"/>
  <c r="A173" i="20"/>
  <c r="B173" i="20"/>
  <c r="C173" i="20"/>
  <c r="D173" i="20"/>
  <c r="A174" i="20"/>
  <c r="B174" i="20"/>
  <c r="C174" i="20"/>
  <c r="D174" i="20"/>
  <c r="A175" i="20"/>
  <c r="B175" i="20"/>
  <c r="C175" i="20"/>
  <c r="D175" i="20"/>
  <c r="A176" i="20"/>
  <c r="B176" i="20"/>
  <c r="C176" i="20"/>
  <c r="D176" i="20"/>
  <c r="A177" i="20"/>
  <c r="B177" i="20"/>
  <c r="C177" i="20"/>
  <c r="D177" i="20"/>
  <c r="A178" i="20"/>
  <c r="B178" i="20"/>
  <c r="C178" i="20"/>
  <c r="D178" i="20"/>
  <c r="A179" i="20"/>
  <c r="B179" i="20"/>
  <c r="C179" i="20"/>
  <c r="D179" i="20"/>
  <c r="A180" i="20"/>
  <c r="B180" i="20"/>
  <c r="C180" i="20"/>
  <c r="D180" i="20"/>
  <c r="A181" i="20"/>
  <c r="B181" i="20"/>
  <c r="C181" i="20"/>
  <c r="D181" i="20"/>
  <c r="A182" i="20"/>
  <c r="B182" i="20"/>
  <c r="C182" i="20"/>
  <c r="D182" i="20"/>
  <c r="A183" i="20"/>
  <c r="B183" i="20"/>
  <c r="C183" i="20"/>
  <c r="D183" i="20"/>
  <c r="A184" i="20"/>
  <c r="B184" i="20"/>
  <c r="C184" i="20"/>
  <c r="D184" i="20"/>
  <c r="A185" i="20"/>
  <c r="B185" i="20"/>
  <c r="C185" i="20"/>
  <c r="D185" i="20"/>
  <c r="A186" i="20"/>
  <c r="B186" i="20"/>
  <c r="C186" i="20"/>
  <c r="D186" i="20"/>
  <c r="A187" i="20"/>
  <c r="B187" i="20"/>
  <c r="C187" i="20"/>
  <c r="D187" i="20"/>
  <c r="A188" i="20"/>
  <c r="B188" i="20"/>
  <c r="C188" i="20"/>
  <c r="D188" i="20"/>
  <c r="A189" i="20"/>
  <c r="B189" i="20"/>
  <c r="C189" i="20"/>
  <c r="D189" i="20"/>
  <c r="A190" i="20"/>
  <c r="B190" i="20"/>
  <c r="C190" i="20"/>
  <c r="D190" i="20"/>
  <c r="A191" i="20"/>
  <c r="B191" i="20"/>
  <c r="C191" i="20"/>
  <c r="D191" i="20"/>
  <c r="A192" i="20"/>
  <c r="B192" i="20"/>
  <c r="C192" i="20"/>
  <c r="D192" i="20"/>
  <c r="A193" i="20"/>
  <c r="B193" i="20"/>
  <c r="C193" i="20"/>
  <c r="D193" i="20"/>
  <c r="E193" i="20"/>
  <c r="I193" i="20" s="1"/>
  <c r="J193" i="20" s="1"/>
  <c r="K193" i="20" s="1"/>
  <c r="A196" i="20"/>
  <c r="B196" i="20"/>
  <c r="C196" i="20"/>
  <c r="D196" i="20"/>
  <c r="A197" i="20"/>
  <c r="B197" i="20"/>
  <c r="C197" i="20"/>
  <c r="D197" i="20"/>
  <c r="A198" i="20"/>
  <c r="B198" i="20"/>
  <c r="C198" i="20"/>
  <c r="D198" i="20"/>
  <c r="A199" i="20"/>
  <c r="B199" i="20"/>
  <c r="C199" i="20"/>
  <c r="D199" i="20"/>
  <c r="A200" i="20"/>
  <c r="B200" i="20"/>
  <c r="C200" i="20"/>
  <c r="D200" i="20"/>
  <c r="A201" i="20"/>
  <c r="B201" i="20"/>
  <c r="C201" i="20"/>
  <c r="D201" i="20"/>
  <c r="A202" i="20"/>
  <c r="B202" i="20"/>
  <c r="C202" i="20"/>
  <c r="D202" i="20"/>
  <c r="A203" i="20"/>
  <c r="B203" i="20"/>
  <c r="C203" i="20"/>
  <c r="D203" i="20"/>
  <c r="A204" i="20"/>
  <c r="B204" i="20"/>
  <c r="C204" i="20"/>
  <c r="D204" i="20"/>
  <c r="A205" i="20"/>
  <c r="B205" i="20"/>
  <c r="C205" i="20"/>
  <c r="D205" i="20"/>
  <c r="A206" i="20"/>
  <c r="B206" i="20"/>
  <c r="C206" i="20"/>
  <c r="D206" i="20"/>
  <c r="A207" i="20"/>
  <c r="B207" i="20"/>
  <c r="C207" i="20"/>
  <c r="D207" i="20"/>
  <c r="A208" i="20"/>
  <c r="B208" i="20"/>
  <c r="C208" i="20"/>
  <c r="D208" i="20"/>
  <c r="A209" i="20"/>
  <c r="B209" i="20"/>
  <c r="C209" i="20"/>
  <c r="D209" i="20"/>
  <c r="A210" i="20"/>
  <c r="B210" i="20"/>
  <c r="C210" i="20"/>
  <c r="D210" i="20"/>
  <c r="A211" i="20"/>
  <c r="B211" i="20"/>
  <c r="C211" i="20"/>
  <c r="D211" i="20"/>
  <c r="A212" i="20"/>
  <c r="B212" i="20"/>
  <c r="C212" i="20"/>
  <c r="D212" i="20"/>
  <c r="A213" i="20"/>
  <c r="B213" i="20"/>
  <c r="C213" i="20"/>
  <c r="D213" i="20"/>
  <c r="A214" i="20"/>
  <c r="B214" i="20"/>
  <c r="C214" i="20"/>
  <c r="D214" i="20"/>
  <c r="A215" i="20"/>
  <c r="B215" i="20"/>
  <c r="C215" i="20"/>
  <c r="D215" i="20"/>
  <c r="A216" i="20"/>
  <c r="B216" i="20"/>
  <c r="C216" i="20"/>
  <c r="D216" i="20"/>
  <c r="A217" i="20"/>
  <c r="B217" i="20"/>
  <c r="C217" i="20"/>
  <c r="D217" i="20"/>
  <c r="E217" i="20"/>
  <c r="I217" i="20" s="1"/>
  <c r="J217" i="20" s="1"/>
  <c r="K217" i="20" s="1"/>
  <c r="A220" i="20"/>
  <c r="B220" i="20"/>
  <c r="C220" i="20"/>
  <c r="D220" i="20"/>
  <c r="A221" i="20"/>
  <c r="B221" i="20"/>
  <c r="C221" i="20"/>
  <c r="D221" i="20"/>
  <c r="A222" i="20"/>
  <c r="B222" i="20"/>
  <c r="C222" i="20"/>
  <c r="D222" i="20"/>
  <c r="A223" i="20"/>
  <c r="B223" i="20"/>
  <c r="C223" i="20"/>
  <c r="D223" i="20"/>
  <c r="A224" i="20"/>
  <c r="B224" i="20"/>
  <c r="C224" i="20"/>
  <c r="D224" i="20"/>
  <c r="A225" i="20"/>
  <c r="B225" i="20"/>
  <c r="C225" i="20"/>
  <c r="D225" i="20"/>
  <c r="A226" i="20"/>
  <c r="B226" i="20"/>
  <c r="C226" i="20"/>
  <c r="D226" i="20"/>
  <c r="A227" i="20"/>
  <c r="B227" i="20"/>
  <c r="C227" i="20"/>
  <c r="D227" i="20"/>
  <c r="A228" i="20"/>
  <c r="B228" i="20"/>
  <c r="C228" i="20"/>
  <c r="D228" i="20"/>
  <c r="A229" i="20"/>
  <c r="B229" i="20"/>
  <c r="C229" i="20"/>
  <c r="D229" i="20"/>
  <c r="A230" i="20"/>
  <c r="B230" i="20"/>
  <c r="C230" i="20"/>
  <c r="D230" i="20"/>
  <c r="A231" i="20"/>
  <c r="B231" i="20"/>
  <c r="C231" i="20"/>
  <c r="D231" i="20"/>
  <c r="A232" i="20"/>
  <c r="B232" i="20"/>
  <c r="C232" i="20"/>
  <c r="D232" i="20"/>
  <c r="A233" i="20"/>
  <c r="B233" i="20"/>
  <c r="C233" i="20"/>
  <c r="D233" i="20"/>
  <c r="A234" i="20"/>
  <c r="B234" i="20"/>
  <c r="C234" i="20"/>
  <c r="D234" i="20"/>
  <c r="A235" i="20"/>
  <c r="B235" i="20"/>
  <c r="C235" i="20"/>
  <c r="D235" i="20"/>
  <c r="A236" i="20"/>
  <c r="B236" i="20"/>
  <c r="C236" i="20"/>
  <c r="D236" i="20"/>
  <c r="A237" i="20"/>
  <c r="B237" i="20"/>
  <c r="C237" i="20"/>
  <c r="D237" i="20"/>
  <c r="A238" i="20"/>
  <c r="B238" i="20"/>
  <c r="C238" i="20"/>
  <c r="D238" i="20"/>
  <c r="A239" i="20"/>
  <c r="B239" i="20"/>
  <c r="C239" i="20"/>
  <c r="D239" i="20"/>
  <c r="A240" i="20"/>
  <c r="B240" i="20"/>
  <c r="C240" i="20"/>
  <c r="D240" i="20"/>
  <c r="A241" i="20"/>
  <c r="B241" i="20"/>
  <c r="C241" i="20"/>
  <c r="D241" i="20"/>
  <c r="E241" i="20"/>
  <c r="A245" i="20"/>
  <c r="B245" i="20"/>
  <c r="C245" i="20"/>
  <c r="D245" i="20"/>
  <c r="A246" i="20"/>
  <c r="B246" i="20"/>
  <c r="C246" i="20"/>
  <c r="D246" i="20"/>
  <c r="A247" i="20"/>
  <c r="B247" i="20"/>
  <c r="C247" i="20"/>
  <c r="D247" i="20"/>
  <c r="A248" i="20"/>
  <c r="B248" i="20"/>
  <c r="C248" i="20"/>
  <c r="D248" i="20"/>
  <c r="A249" i="20"/>
  <c r="B249" i="20"/>
  <c r="C249" i="20"/>
  <c r="D249" i="20"/>
  <c r="A250" i="20"/>
  <c r="B250" i="20"/>
  <c r="C250" i="20"/>
  <c r="D250" i="20"/>
  <c r="A251" i="20"/>
  <c r="B251" i="20"/>
  <c r="C251" i="20"/>
  <c r="D251" i="20"/>
  <c r="A252" i="20"/>
  <c r="B252" i="20"/>
  <c r="C252" i="20"/>
  <c r="D252" i="20"/>
  <c r="A253" i="20"/>
  <c r="B253" i="20"/>
  <c r="C253" i="20"/>
  <c r="D253" i="20"/>
  <c r="A254" i="20"/>
  <c r="B254" i="20"/>
  <c r="C254" i="20"/>
  <c r="D254" i="20"/>
  <c r="A255" i="20"/>
  <c r="B255" i="20"/>
  <c r="C255" i="20"/>
  <c r="D255" i="20"/>
  <c r="A256" i="20"/>
  <c r="B256" i="20"/>
  <c r="C256" i="20"/>
  <c r="D256" i="20"/>
  <c r="A257" i="20"/>
  <c r="B257" i="20"/>
  <c r="C257" i="20"/>
  <c r="D257" i="20"/>
  <c r="A258" i="20"/>
  <c r="B258" i="20"/>
  <c r="C258" i="20"/>
  <c r="D258" i="20"/>
  <c r="A259" i="20"/>
  <c r="B259" i="20"/>
  <c r="C259" i="20"/>
  <c r="D259" i="20"/>
  <c r="A260" i="20"/>
  <c r="B260" i="20"/>
  <c r="C260" i="20"/>
  <c r="D260" i="20"/>
  <c r="A261" i="20"/>
  <c r="B261" i="20"/>
  <c r="C261" i="20"/>
  <c r="D261" i="20"/>
  <c r="A262" i="20"/>
  <c r="B262" i="20"/>
  <c r="C262" i="20"/>
  <c r="D262" i="20"/>
  <c r="A263" i="20"/>
  <c r="B263" i="20"/>
  <c r="C263" i="20"/>
  <c r="D263" i="20"/>
  <c r="A264" i="20"/>
  <c r="B264" i="20"/>
  <c r="C264" i="20"/>
  <c r="D264" i="20"/>
  <c r="A265" i="20"/>
  <c r="B265" i="20"/>
  <c r="C265" i="20"/>
  <c r="D265" i="20"/>
  <c r="A266" i="20"/>
  <c r="B266" i="20"/>
  <c r="C266" i="20"/>
  <c r="D266" i="20"/>
  <c r="E266" i="20"/>
  <c r="A270" i="20"/>
  <c r="B270" i="20"/>
  <c r="C270" i="20"/>
  <c r="D270" i="20"/>
  <c r="A271" i="20"/>
  <c r="B271" i="20"/>
  <c r="C271" i="20"/>
  <c r="D271" i="20"/>
  <c r="A272" i="20"/>
  <c r="B272" i="20"/>
  <c r="C272" i="20"/>
  <c r="D272" i="20"/>
  <c r="A273" i="20"/>
  <c r="B273" i="20"/>
  <c r="C273" i="20"/>
  <c r="D273" i="20"/>
  <c r="A274" i="20"/>
  <c r="B274" i="20"/>
  <c r="C274" i="20"/>
  <c r="D274" i="20"/>
  <c r="A275" i="20"/>
  <c r="B275" i="20"/>
  <c r="C275" i="20"/>
  <c r="D275" i="20"/>
  <c r="A276" i="20"/>
  <c r="B276" i="20"/>
  <c r="C276" i="20"/>
  <c r="D276" i="20"/>
  <c r="A277" i="20"/>
  <c r="B277" i="20"/>
  <c r="C277" i="20"/>
  <c r="D277" i="20"/>
  <c r="A278" i="20"/>
  <c r="B278" i="20"/>
  <c r="C278" i="20"/>
  <c r="D278" i="20"/>
  <c r="A279" i="20"/>
  <c r="B279" i="20"/>
  <c r="C279" i="20"/>
  <c r="D279" i="20"/>
  <c r="A280" i="20"/>
  <c r="B280" i="20"/>
  <c r="C280" i="20"/>
  <c r="D280" i="20"/>
  <c r="A281" i="20"/>
  <c r="B281" i="20"/>
  <c r="C281" i="20"/>
  <c r="D281" i="20"/>
  <c r="A282" i="20"/>
  <c r="B282" i="20"/>
  <c r="C282" i="20"/>
  <c r="D282" i="20"/>
  <c r="A283" i="20"/>
  <c r="B283" i="20"/>
  <c r="C283" i="20"/>
  <c r="D283" i="20"/>
  <c r="A284" i="20"/>
  <c r="B284" i="20"/>
  <c r="C284" i="20"/>
  <c r="D284" i="20"/>
  <c r="A285" i="20"/>
  <c r="B285" i="20"/>
  <c r="C285" i="20"/>
  <c r="D285" i="20"/>
  <c r="A286" i="20"/>
  <c r="B286" i="20"/>
  <c r="C286" i="20"/>
  <c r="D286" i="20"/>
  <c r="A287" i="20"/>
  <c r="B287" i="20"/>
  <c r="C287" i="20"/>
  <c r="D287" i="20"/>
  <c r="A288" i="20"/>
  <c r="B288" i="20"/>
  <c r="C288" i="20"/>
  <c r="D288" i="20"/>
  <c r="A289" i="20"/>
  <c r="B289" i="20"/>
  <c r="C289" i="20"/>
  <c r="D289" i="20"/>
  <c r="A290" i="20"/>
  <c r="B290" i="20"/>
  <c r="C290" i="20"/>
  <c r="D290" i="20"/>
  <c r="A291" i="20"/>
  <c r="B291" i="20"/>
  <c r="C291" i="20"/>
  <c r="D291" i="20"/>
  <c r="E291" i="20"/>
  <c r="A295" i="20"/>
  <c r="B295" i="20"/>
  <c r="C295" i="20"/>
  <c r="D295" i="20"/>
  <c r="A296" i="20"/>
  <c r="B296" i="20"/>
  <c r="C296" i="20"/>
  <c r="D296" i="20"/>
  <c r="A297" i="20"/>
  <c r="B297" i="20"/>
  <c r="C297" i="20"/>
  <c r="D297" i="20"/>
  <c r="A298" i="20"/>
  <c r="B298" i="20"/>
  <c r="C298" i="20"/>
  <c r="D298" i="20"/>
  <c r="A299" i="20"/>
  <c r="B299" i="20"/>
  <c r="C299" i="20"/>
  <c r="D299" i="20"/>
  <c r="A300" i="20"/>
  <c r="B300" i="20"/>
  <c r="C300" i="20"/>
  <c r="D300" i="20"/>
  <c r="A301" i="20"/>
  <c r="B301" i="20"/>
  <c r="C301" i="20"/>
  <c r="D301" i="20"/>
  <c r="A302" i="20"/>
  <c r="B302" i="20"/>
  <c r="C302" i="20"/>
  <c r="D302" i="20"/>
  <c r="A303" i="20"/>
  <c r="B303" i="20"/>
  <c r="C303" i="20"/>
  <c r="D303" i="20"/>
  <c r="A304" i="20"/>
  <c r="B304" i="20"/>
  <c r="C304" i="20"/>
  <c r="D304" i="20"/>
  <c r="A305" i="20"/>
  <c r="B305" i="20"/>
  <c r="C305" i="20"/>
  <c r="D305" i="20"/>
  <c r="A306" i="20"/>
  <c r="B306" i="20"/>
  <c r="C306" i="20"/>
  <c r="D306" i="20"/>
  <c r="A307" i="20"/>
  <c r="B307" i="20"/>
  <c r="C307" i="20"/>
  <c r="D307" i="20"/>
  <c r="A308" i="20"/>
  <c r="B308" i="20"/>
  <c r="C308" i="20"/>
  <c r="D308" i="20"/>
  <c r="A309" i="20"/>
  <c r="B309" i="20"/>
  <c r="C309" i="20"/>
  <c r="D309" i="20"/>
  <c r="A310" i="20"/>
  <c r="B310" i="20"/>
  <c r="C310" i="20"/>
  <c r="D310" i="20"/>
  <c r="A311" i="20"/>
  <c r="B311" i="20"/>
  <c r="C311" i="20"/>
  <c r="D311" i="20"/>
  <c r="A312" i="20"/>
  <c r="B312" i="20"/>
  <c r="C312" i="20"/>
  <c r="D312" i="20"/>
  <c r="A313" i="20"/>
  <c r="B313" i="20"/>
  <c r="C313" i="20"/>
  <c r="D313" i="20"/>
  <c r="A314" i="20"/>
  <c r="B314" i="20"/>
  <c r="C314" i="20"/>
  <c r="D314" i="20"/>
  <c r="A315" i="20"/>
  <c r="B315" i="20"/>
  <c r="C315" i="20"/>
  <c r="D315" i="20"/>
  <c r="A316" i="20"/>
  <c r="B316" i="20"/>
  <c r="C316" i="20"/>
  <c r="D316" i="20"/>
  <c r="E316" i="20"/>
  <c r="A320" i="20"/>
  <c r="B320" i="20"/>
  <c r="C320" i="20"/>
  <c r="D320" i="20"/>
  <c r="A321" i="20"/>
  <c r="B321" i="20"/>
  <c r="C321" i="20"/>
  <c r="D321" i="20"/>
  <c r="A322" i="20"/>
  <c r="B322" i="20"/>
  <c r="C322" i="20"/>
  <c r="D322" i="20"/>
  <c r="A323" i="20"/>
  <c r="B323" i="20"/>
  <c r="C323" i="20"/>
  <c r="D323" i="20"/>
  <c r="A324" i="20"/>
  <c r="B324" i="20"/>
  <c r="C324" i="20"/>
  <c r="D324" i="20"/>
  <c r="A325" i="20"/>
  <c r="B325" i="20"/>
  <c r="C325" i="20"/>
  <c r="D325" i="20"/>
  <c r="A326" i="20"/>
  <c r="B326" i="20"/>
  <c r="C326" i="20"/>
  <c r="D326" i="20"/>
  <c r="A327" i="20"/>
  <c r="B327" i="20"/>
  <c r="C327" i="20"/>
  <c r="D327" i="20"/>
  <c r="A328" i="20"/>
  <c r="B328" i="20"/>
  <c r="C328" i="20"/>
  <c r="D328" i="20"/>
  <c r="A329" i="20"/>
  <c r="B329" i="20"/>
  <c r="C329" i="20"/>
  <c r="D329" i="20"/>
  <c r="A330" i="20"/>
  <c r="B330" i="20"/>
  <c r="C330" i="20"/>
  <c r="D330" i="20"/>
  <c r="A331" i="20"/>
  <c r="B331" i="20"/>
  <c r="C331" i="20"/>
  <c r="D331" i="20"/>
  <c r="A332" i="20"/>
  <c r="B332" i="20"/>
  <c r="C332" i="20"/>
  <c r="D332" i="20"/>
  <c r="A333" i="20"/>
  <c r="B333" i="20"/>
  <c r="C333" i="20"/>
  <c r="D333" i="20"/>
  <c r="A334" i="20"/>
  <c r="B334" i="20"/>
  <c r="C334" i="20"/>
  <c r="D334" i="20"/>
  <c r="A335" i="20"/>
  <c r="B335" i="20"/>
  <c r="C335" i="20"/>
  <c r="D335" i="20"/>
  <c r="A336" i="20"/>
  <c r="B336" i="20"/>
  <c r="C336" i="20"/>
  <c r="D336" i="20"/>
  <c r="A337" i="20"/>
  <c r="B337" i="20"/>
  <c r="C337" i="20"/>
  <c r="D337" i="20"/>
  <c r="A338" i="20"/>
  <c r="B338" i="20"/>
  <c r="C338" i="20"/>
  <c r="D338" i="20"/>
  <c r="A339" i="20"/>
  <c r="B339" i="20"/>
  <c r="C339" i="20"/>
  <c r="D339" i="20"/>
  <c r="A340" i="20"/>
  <c r="B340" i="20"/>
  <c r="C340" i="20"/>
  <c r="D340" i="20"/>
  <c r="A341" i="20"/>
  <c r="B341" i="20"/>
  <c r="C341" i="20"/>
  <c r="D341" i="20"/>
  <c r="E341" i="20"/>
  <c r="A345" i="20"/>
  <c r="B345" i="20"/>
  <c r="C345" i="20"/>
  <c r="D345" i="20"/>
  <c r="A346" i="20"/>
  <c r="B346" i="20"/>
  <c r="C346" i="20"/>
  <c r="D346" i="20"/>
  <c r="A347" i="20"/>
  <c r="B347" i="20"/>
  <c r="C347" i="20"/>
  <c r="D347" i="20"/>
  <c r="A348" i="20"/>
  <c r="B348" i="20"/>
  <c r="C348" i="20"/>
  <c r="D348" i="20"/>
  <c r="A349" i="20"/>
  <c r="B349" i="20"/>
  <c r="C349" i="20"/>
  <c r="D349" i="20"/>
  <c r="A350" i="20"/>
  <c r="B350" i="20"/>
  <c r="C350" i="20"/>
  <c r="D350" i="20"/>
  <c r="A351" i="20"/>
  <c r="B351" i="20"/>
  <c r="C351" i="20"/>
  <c r="D351" i="20"/>
  <c r="A352" i="20"/>
  <c r="B352" i="20"/>
  <c r="C352" i="20"/>
  <c r="D352" i="20"/>
  <c r="A353" i="20"/>
  <c r="B353" i="20"/>
  <c r="C353" i="20"/>
  <c r="D353" i="20"/>
  <c r="A354" i="20"/>
  <c r="B354" i="20"/>
  <c r="C354" i="20"/>
  <c r="D354" i="20"/>
  <c r="A355" i="20"/>
  <c r="B355" i="20"/>
  <c r="C355" i="20"/>
  <c r="D355" i="20"/>
  <c r="A356" i="20"/>
  <c r="B356" i="20"/>
  <c r="C356" i="20"/>
  <c r="D356" i="20"/>
  <c r="A357" i="20"/>
  <c r="B357" i="20"/>
  <c r="C357" i="20"/>
  <c r="D357" i="20"/>
  <c r="A358" i="20"/>
  <c r="B358" i="20"/>
  <c r="C358" i="20"/>
  <c r="D358" i="20"/>
  <c r="A359" i="20"/>
  <c r="B359" i="20"/>
  <c r="C359" i="20"/>
  <c r="D359" i="20"/>
  <c r="A360" i="20"/>
  <c r="B360" i="20"/>
  <c r="C360" i="20"/>
  <c r="D360" i="20"/>
  <c r="A361" i="20"/>
  <c r="B361" i="20"/>
  <c r="C361" i="20"/>
  <c r="D361" i="20"/>
  <c r="A362" i="20"/>
  <c r="B362" i="20"/>
  <c r="C362" i="20"/>
  <c r="D362" i="20"/>
  <c r="A363" i="20"/>
  <c r="B363" i="20"/>
  <c r="C363" i="20"/>
  <c r="D363" i="20"/>
  <c r="A364" i="20"/>
  <c r="B364" i="20"/>
  <c r="C364" i="20"/>
  <c r="D364" i="20"/>
  <c r="A365" i="20"/>
  <c r="B365" i="20"/>
  <c r="C365" i="20"/>
  <c r="D365" i="20"/>
  <c r="A366" i="20"/>
  <c r="B366" i="20"/>
  <c r="C366" i="20"/>
  <c r="D366" i="20"/>
  <c r="E366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E49" i="20"/>
  <c r="I49" i="20" s="1"/>
  <c r="J49" i="20" s="1"/>
  <c r="K49" i="20" s="1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28" i="20"/>
  <c r="B28" i="20"/>
  <c r="C28" i="20"/>
  <c r="D28" i="20"/>
  <c r="A24" i="20"/>
  <c r="B24" i="20"/>
  <c r="C24" i="20"/>
  <c r="D24" i="20"/>
  <c r="E24" i="20"/>
  <c r="I24" i="20" s="1"/>
  <c r="J24" i="20" s="1"/>
  <c r="K24" i="20" s="1"/>
  <c r="A374" i="6"/>
  <c r="B374" i="6"/>
  <c r="C374" i="6"/>
  <c r="D374" i="6"/>
  <c r="A349" i="6"/>
  <c r="B349" i="6"/>
  <c r="C349" i="6"/>
  <c r="D349" i="6"/>
  <c r="A324" i="6"/>
  <c r="B324" i="6"/>
  <c r="C324" i="6"/>
  <c r="D324" i="6"/>
  <c r="A299" i="6"/>
  <c r="B299" i="6"/>
  <c r="C299" i="6"/>
  <c r="D299" i="6"/>
  <c r="A274" i="6"/>
  <c r="B274" i="6"/>
  <c r="C274" i="6"/>
  <c r="D274" i="6"/>
  <c r="A249" i="6"/>
  <c r="B249" i="6"/>
  <c r="C249" i="6"/>
  <c r="D249" i="6"/>
  <c r="A224" i="6"/>
  <c r="B224" i="6"/>
  <c r="C224" i="6"/>
  <c r="D224" i="6"/>
  <c r="A199" i="6"/>
  <c r="B199" i="6"/>
  <c r="C199" i="6"/>
  <c r="D199" i="6"/>
  <c r="A174" i="6"/>
  <c r="B174" i="6"/>
  <c r="C174" i="6"/>
  <c r="D174" i="6"/>
  <c r="A149" i="6"/>
  <c r="B149" i="6"/>
  <c r="C149" i="6"/>
  <c r="D149" i="6"/>
  <c r="A124" i="6"/>
  <c r="B124" i="6"/>
  <c r="C124" i="6"/>
  <c r="D124" i="6"/>
  <c r="A99" i="6"/>
  <c r="B99" i="6"/>
  <c r="C99" i="6"/>
  <c r="D99" i="6"/>
  <c r="A74" i="6"/>
  <c r="B74" i="6"/>
  <c r="C74" i="6"/>
  <c r="D74" i="6"/>
  <c r="A49" i="6"/>
  <c r="B49" i="6"/>
  <c r="C49" i="6"/>
  <c r="D49" i="6"/>
  <c r="A374" i="4"/>
  <c r="B374" i="4"/>
  <c r="C374" i="4"/>
  <c r="D374" i="4"/>
  <c r="A349" i="4"/>
  <c r="B349" i="4"/>
  <c r="C349" i="4"/>
  <c r="D349" i="4"/>
  <c r="A324" i="4"/>
  <c r="B324" i="4"/>
  <c r="C324" i="4"/>
  <c r="D324" i="4"/>
  <c r="A299" i="4"/>
  <c r="B299" i="4"/>
  <c r="C299" i="4"/>
  <c r="D299" i="4"/>
  <c r="A274" i="4"/>
  <c r="B274" i="4"/>
  <c r="C274" i="4"/>
  <c r="D274" i="4"/>
  <c r="A249" i="4"/>
  <c r="B249" i="4"/>
  <c r="C249" i="4"/>
  <c r="D249" i="4"/>
  <c r="A224" i="4"/>
  <c r="B224" i="4"/>
  <c r="C224" i="4"/>
  <c r="D224" i="4"/>
  <c r="A199" i="4"/>
  <c r="B199" i="4"/>
  <c r="C199" i="4"/>
  <c r="D199" i="4"/>
  <c r="A174" i="4"/>
  <c r="B174" i="4"/>
  <c r="C174" i="4"/>
  <c r="D174" i="4"/>
  <c r="A149" i="4"/>
  <c r="B149" i="4"/>
  <c r="C149" i="4"/>
  <c r="D149" i="4"/>
  <c r="A124" i="4"/>
  <c r="B124" i="4"/>
  <c r="C124" i="4"/>
  <c r="D124" i="4"/>
  <c r="A99" i="4"/>
  <c r="B99" i="4"/>
  <c r="C99" i="4"/>
  <c r="D99" i="4"/>
  <c r="A74" i="4"/>
  <c r="B74" i="4"/>
  <c r="C74" i="4"/>
  <c r="A49" i="4"/>
  <c r="B49" i="4"/>
  <c r="C49" i="4"/>
  <c r="D49" i="4"/>
  <c r="A24" i="6"/>
  <c r="B24" i="6"/>
  <c r="C24" i="6"/>
  <c r="D24" i="6"/>
  <c r="A24" i="4"/>
  <c r="B24" i="4"/>
  <c r="C24" i="4"/>
  <c r="D24" i="4"/>
  <c r="V174" i="6" l="1"/>
  <c r="W174" i="6" s="1"/>
  <c r="V99" i="6"/>
  <c r="W99" i="6" s="1"/>
  <c r="W199" i="4"/>
  <c r="X199" i="4" s="1"/>
  <c r="S99" i="4"/>
  <c r="T99" i="4" s="1"/>
  <c r="Z199" i="6"/>
  <c r="AA199" i="6" s="1"/>
  <c r="W74" i="4"/>
  <c r="X74" i="4" s="1"/>
  <c r="Z240" i="22"/>
  <c r="Y240" i="22"/>
  <c r="S174" i="4"/>
  <c r="T174" i="4" s="1"/>
  <c r="X274" i="4"/>
  <c r="E53" i="19"/>
  <c r="X24" i="4"/>
  <c r="C54" i="11"/>
  <c r="T54" i="11" s="1"/>
  <c r="X349" i="4"/>
  <c r="K53" i="19"/>
  <c r="AA374" i="6"/>
  <c r="M81" i="19"/>
  <c r="AA174" i="6"/>
  <c r="G83" i="11"/>
  <c r="X83" i="11" s="1"/>
  <c r="X49" i="4"/>
  <c r="I54" i="11"/>
  <c r="Z54" i="11" s="1"/>
  <c r="AA224" i="6"/>
  <c r="I82" i="18"/>
  <c r="X82" i="18" s="1"/>
  <c r="X174" i="4"/>
  <c r="G54" i="11"/>
  <c r="X54" i="11" s="1"/>
  <c r="AA99" i="6"/>
  <c r="C82" i="18"/>
  <c r="R82" i="18" s="1"/>
  <c r="AA74" i="6"/>
  <c r="K83" i="11"/>
  <c r="AB83" i="11" s="1"/>
  <c r="X299" i="4"/>
  <c r="G53" i="19"/>
  <c r="X249" i="4"/>
  <c r="C53" i="19"/>
  <c r="X324" i="4"/>
  <c r="I53" i="19"/>
  <c r="AA124" i="6"/>
  <c r="E83" i="11"/>
  <c r="V83" i="11" s="1"/>
  <c r="AA49" i="6"/>
  <c r="I83" i="11"/>
  <c r="Z83" i="11" s="1"/>
  <c r="X99" i="4"/>
  <c r="C53" i="18"/>
  <c r="R53" i="18" s="1"/>
  <c r="X124" i="4"/>
  <c r="E54" i="11"/>
  <c r="V54" i="11" s="1"/>
  <c r="AA274" i="6"/>
  <c r="E81" i="19"/>
  <c r="AA249" i="6"/>
  <c r="C81" i="19"/>
  <c r="X374" i="4"/>
  <c r="M53" i="19"/>
  <c r="AA324" i="6"/>
  <c r="I81" i="19"/>
  <c r="X149" i="4"/>
  <c r="E53" i="18"/>
  <c r="T53" i="18" s="1"/>
  <c r="AA149" i="6"/>
  <c r="E82" i="18"/>
  <c r="T82" i="18" s="1"/>
  <c r="AA24" i="6"/>
  <c r="C83" i="11"/>
  <c r="T83" i="11" s="1"/>
  <c r="X224" i="4"/>
  <c r="I53" i="18"/>
  <c r="X53" i="18" s="1"/>
  <c r="AA349" i="6"/>
  <c r="K81" i="19"/>
  <c r="AA299" i="6"/>
  <c r="G81" i="19"/>
  <c r="H291" i="20"/>
  <c r="V291" i="20" s="1"/>
  <c r="I291" i="20"/>
  <c r="W291" i="20" s="1"/>
  <c r="X291" i="20" s="1"/>
  <c r="I266" i="20"/>
  <c r="W266" i="20" s="1"/>
  <c r="X266" i="20" s="1"/>
  <c r="H266" i="20"/>
  <c r="V266" i="20" s="1"/>
  <c r="H341" i="20"/>
  <c r="V341" i="20" s="1"/>
  <c r="I341" i="20"/>
  <c r="W341" i="20" s="1"/>
  <c r="X341" i="20" s="1"/>
  <c r="Z290" i="22"/>
  <c r="Y290" i="22"/>
  <c r="H316" i="20"/>
  <c r="V316" i="20" s="1"/>
  <c r="I316" i="20"/>
  <c r="W316" i="20" s="1"/>
  <c r="X316" i="20" s="1"/>
  <c r="H241" i="20"/>
  <c r="V241" i="20" s="1"/>
  <c r="I241" i="20"/>
  <c r="W241" i="20" s="1"/>
  <c r="X241" i="20" s="1"/>
  <c r="Z265" i="22"/>
  <c r="Y265" i="22"/>
  <c r="Z315" i="22"/>
  <c r="Y315" i="22"/>
  <c r="Z340" i="22"/>
  <c r="Y340" i="22"/>
  <c r="Z365" i="22"/>
  <c r="Y365" i="22"/>
  <c r="H366" i="20"/>
  <c r="V366" i="20" s="1"/>
  <c r="I366" i="20"/>
  <c r="W366" i="20" s="1"/>
  <c r="X366" i="20" s="1"/>
  <c r="O353" i="22"/>
  <c r="P353" i="22"/>
  <c r="O354" i="22"/>
  <c r="P354" i="22"/>
  <c r="O355" i="22"/>
  <c r="P355" i="22"/>
  <c r="O356" i="22"/>
  <c r="P356" i="22"/>
  <c r="O357" i="22"/>
  <c r="P357" i="22"/>
  <c r="O358" i="22"/>
  <c r="P358" i="22"/>
  <c r="O359" i="22"/>
  <c r="P359" i="22"/>
  <c r="O360" i="22"/>
  <c r="P360" i="22"/>
  <c r="O361" i="22"/>
  <c r="P361" i="22"/>
  <c r="O362" i="22"/>
  <c r="P362" i="22"/>
  <c r="O363" i="22"/>
  <c r="P363" i="22"/>
  <c r="O364" i="22"/>
  <c r="P364" i="22"/>
  <c r="O352" i="22"/>
  <c r="P352" i="22"/>
  <c r="O328" i="22"/>
  <c r="P328" i="22"/>
  <c r="O329" i="22"/>
  <c r="P329" i="22"/>
  <c r="O330" i="22"/>
  <c r="P330" i="22"/>
  <c r="O331" i="22"/>
  <c r="P331" i="22"/>
  <c r="O332" i="22"/>
  <c r="P332" i="22"/>
  <c r="O333" i="22"/>
  <c r="P333" i="22"/>
  <c r="O334" i="22"/>
  <c r="P334" i="22"/>
  <c r="O335" i="22"/>
  <c r="P335" i="22"/>
  <c r="O336" i="22"/>
  <c r="P336" i="22"/>
  <c r="O337" i="22"/>
  <c r="P337" i="22"/>
  <c r="O338" i="22"/>
  <c r="P338" i="22"/>
  <c r="O339" i="22"/>
  <c r="P339" i="22"/>
  <c r="O327" i="22"/>
  <c r="P327" i="22"/>
  <c r="O303" i="22"/>
  <c r="P303" i="22"/>
  <c r="O304" i="22"/>
  <c r="P304" i="22"/>
  <c r="O305" i="22"/>
  <c r="P305" i="22"/>
  <c r="O306" i="22"/>
  <c r="P306" i="22"/>
  <c r="O307" i="22"/>
  <c r="P307" i="22"/>
  <c r="O308" i="22"/>
  <c r="P308" i="22"/>
  <c r="O309" i="22"/>
  <c r="P309" i="22"/>
  <c r="O310" i="22"/>
  <c r="P310" i="22"/>
  <c r="O311" i="22"/>
  <c r="P311" i="22"/>
  <c r="O312" i="22"/>
  <c r="P312" i="22"/>
  <c r="O313" i="22"/>
  <c r="P313" i="22"/>
  <c r="O314" i="22"/>
  <c r="P314" i="22"/>
  <c r="O302" i="22"/>
  <c r="P302" i="22"/>
  <c r="O278" i="22"/>
  <c r="P278" i="22"/>
  <c r="O279" i="22"/>
  <c r="P279" i="22"/>
  <c r="O280" i="22"/>
  <c r="P280" i="22"/>
  <c r="O281" i="22"/>
  <c r="P281" i="22"/>
  <c r="O282" i="22"/>
  <c r="P282" i="22"/>
  <c r="O283" i="22"/>
  <c r="P283" i="22"/>
  <c r="O284" i="22"/>
  <c r="P284" i="22"/>
  <c r="O285" i="22"/>
  <c r="P285" i="22"/>
  <c r="O286" i="22"/>
  <c r="P286" i="22"/>
  <c r="O287" i="22"/>
  <c r="P287" i="22"/>
  <c r="O288" i="22"/>
  <c r="P288" i="22"/>
  <c r="O289" i="22"/>
  <c r="P289" i="22"/>
  <c r="O277" i="22"/>
  <c r="P277" i="22"/>
  <c r="O228" i="22"/>
  <c r="P228" i="22"/>
  <c r="O229" i="22"/>
  <c r="P229" i="22"/>
  <c r="O230" i="22"/>
  <c r="P230" i="22"/>
  <c r="O231" i="22"/>
  <c r="P231" i="22"/>
  <c r="O232" i="22"/>
  <c r="P232" i="22"/>
  <c r="O233" i="22"/>
  <c r="P233" i="22"/>
  <c r="O234" i="22"/>
  <c r="P234" i="22"/>
  <c r="O235" i="22"/>
  <c r="P235" i="22"/>
  <c r="O236" i="22"/>
  <c r="P236" i="22"/>
  <c r="O237" i="22"/>
  <c r="P237" i="22"/>
  <c r="O238" i="22"/>
  <c r="P238" i="22"/>
  <c r="O239" i="22"/>
  <c r="P239" i="22"/>
  <c r="O227" i="22"/>
  <c r="P227" i="22"/>
  <c r="F353" i="22"/>
  <c r="G353" i="22"/>
  <c r="F354" i="22"/>
  <c r="G354" i="22"/>
  <c r="F355" i="22"/>
  <c r="G355" i="22"/>
  <c r="F356" i="22"/>
  <c r="G356" i="22"/>
  <c r="F357" i="22"/>
  <c r="G357" i="22"/>
  <c r="F358" i="22"/>
  <c r="G358" i="22"/>
  <c r="F359" i="22"/>
  <c r="G359" i="22"/>
  <c r="F360" i="22"/>
  <c r="G360" i="22"/>
  <c r="F361" i="22"/>
  <c r="G361" i="22"/>
  <c r="F362" i="22"/>
  <c r="G362" i="22"/>
  <c r="F363" i="22"/>
  <c r="G363" i="22"/>
  <c r="F364" i="22"/>
  <c r="G364" i="22"/>
  <c r="F352" i="22"/>
  <c r="G352" i="22"/>
  <c r="F328" i="22"/>
  <c r="G328" i="22"/>
  <c r="F329" i="22"/>
  <c r="G329" i="22"/>
  <c r="F330" i="22"/>
  <c r="G330" i="22"/>
  <c r="F331" i="22"/>
  <c r="G331" i="22"/>
  <c r="F332" i="22"/>
  <c r="G332" i="22"/>
  <c r="F333" i="22"/>
  <c r="G333" i="22"/>
  <c r="F334" i="22"/>
  <c r="G334" i="22"/>
  <c r="F335" i="22"/>
  <c r="G335" i="22"/>
  <c r="F336" i="22"/>
  <c r="G336" i="22"/>
  <c r="F337" i="22"/>
  <c r="G337" i="22"/>
  <c r="F338" i="22"/>
  <c r="G338" i="22"/>
  <c r="F339" i="22"/>
  <c r="G339" i="22"/>
  <c r="G327" i="22"/>
  <c r="F327" i="22"/>
  <c r="G53" i="18" l="1"/>
  <c r="V53" i="18" s="1"/>
  <c r="K54" i="11"/>
  <c r="G82" i="18"/>
  <c r="V82" i="18" s="1"/>
  <c r="M83" i="11"/>
  <c r="N83" i="11" s="1"/>
  <c r="O83" i="11" s="1"/>
  <c r="AD83" i="11" s="1"/>
  <c r="Y224" i="4"/>
  <c r="Z224" i="4"/>
  <c r="AC324" i="6"/>
  <c r="AB324" i="6"/>
  <c r="Y199" i="4"/>
  <c r="Z199" i="4"/>
  <c r="AC124" i="6"/>
  <c r="AB124" i="6"/>
  <c r="AB74" i="6"/>
  <c r="AC74" i="6"/>
  <c r="Y49" i="4"/>
  <c r="Z49" i="4"/>
  <c r="Y24" i="4"/>
  <c r="Z24" i="4"/>
  <c r="K82" i="18"/>
  <c r="L82" i="18" s="1"/>
  <c r="M82" i="18" s="1"/>
  <c r="Z82" i="18" s="1"/>
  <c r="AB24" i="6"/>
  <c r="AC24" i="6"/>
  <c r="Y374" i="4"/>
  <c r="Z374" i="4"/>
  <c r="Z124" i="4"/>
  <c r="Y124" i="4"/>
  <c r="Y324" i="4"/>
  <c r="Z324" i="4"/>
  <c r="AB99" i="6"/>
  <c r="AC99" i="6"/>
  <c r="AB174" i="6"/>
  <c r="AC174" i="6"/>
  <c r="Y74" i="4"/>
  <c r="Z74" i="4"/>
  <c r="O81" i="19"/>
  <c r="P81" i="19" s="1"/>
  <c r="Q81" i="19" s="1"/>
  <c r="K53" i="18"/>
  <c r="L53" i="18" s="1"/>
  <c r="M53" i="18" s="1"/>
  <c r="Z53" i="18" s="1"/>
  <c r="AC299" i="6"/>
  <c r="AB299" i="6"/>
  <c r="AB149" i="6"/>
  <c r="AC149" i="6"/>
  <c r="AB249" i="6"/>
  <c r="AC249" i="6"/>
  <c r="Y99" i="4"/>
  <c r="Z99" i="4"/>
  <c r="Y249" i="4"/>
  <c r="Z249" i="4"/>
  <c r="Z174" i="4"/>
  <c r="Y174" i="4"/>
  <c r="AB374" i="6"/>
  <c r="AC374" i="6"/>
  <c r="AB199" i="6"/>
  <c r="AC199" i="6"/>
  <c r="O53" i="19"/>
  <c r="P53" i="19" s="1"/>
  <c r="Q53" i="19" s="1"/>
  <c r="AB349" i="6"/>
  <c r="AC349" i="6"/>
  <c r="Y149" i="4"/>
  <c r="Z149" i="4"/>
  <c r="AB274" i="6"/>
  <c r="AC274" i="6"/>
  <c r="AB49" i="6"/>
  <c r="AC49" i="6"/>
  <c r="Y299" i="4"/>
  <c r="Z299" i="4"/>
  <c r="AB224" i="6"/>
  <c r="AC224" i="6"/>
  <c r="Y349" i="4"/>
  <c r="Z349" i="4"/>
  <c r="Y274" i="4"/>
  <c r="Z274" i="4"/>
  <c r="Y366" i="20"/>
  <c r="Z366" i="20"/>
  <c r="Z341" i="20"/>
  <c r="Y341" i="20"/>
  <c r="Y266" i="20"/>
  <c r="Z266" i="20"/>
  <c r="Z241" i="20"/>
  <c r="Y241" i="20"/>
  <c r="Z316" i="20"/>
  <c r="Y316" i="20"/>
  <c r="Y291" i="20"/>
  <c r="Z291" i="20"/>
  <c r="F303" i="22"/>
  <c r="G303" i="22"/>
  <c r="F304" i="22"/>
  <c r="G304" i="22"/>
  <c r="F305" i="22"/>
  <c r="G305" i="22"/>
  <c r="F306" i="22"/>
  <c r="G306" i="22"/>
  <c r="F307" i="22"/>
  <c r="G307" i="22"/>
  <c r="F308" i="22"/>
  <c r="G308" i="22"/>
  <c r="F309" i="22"/>
  <c r="G309" i="22"/>
  <c r="F310" i="22"/>
  <c r="G310" i="22"/>
  <c r="F311" i="22"/>
  <c r="G311" i="22"/>
  <c r="F312" i="22"/>
  <c r="G312" i="22"/>
  <c r="F313" i="22"/>
  <c r="G313" i="22"/>
  <c r="F314" i="22"/>
  <c r="G314" i="22"/>
  <c r="F302" i="22"/>
  <c r="G302" i="22"/>
  <c r="F278" i="22"/>
  <c r="G278" i="22"/>
  <c r="F279" i="22"/>
  <c r="G279" i="22"/>
  <c r="F280" i="22"/>
  <c r="G280" i="22"/>
  <c r="F281" i="22"/>
  <c r="G281" i="22"/>
  <c r="F282" i="22"/>
  <c r="G282" i="22"/>
  <c r="F283" i="22"/>
  <c r="G283" i="22"/>
  <c r="F284" i="22"/>
  <c r="G284" i="22"/>
  <c r="F285" i="22"/>
  <c r="G285" i="22"/>
  <c r="F286" i="22"/>
  <c r="G286" i="22"/>
  <c r="F287" i="22"/>
  <c r="G287" i="22"/>
  <c r="F288" i="22"/>
  <c r="G288" i="22"/>
  <c r="F289" i="22"/>
  <c r="G289" i="22"/>
  <c r="F277" i="22"/>
  <c r="G277" i="22"/>
  <c r="F253" i="22"/>
  <c r="G253" i="22"/>
  <c r="F254" i="22"/>
  <c r="G254" i="22"/>
  <c r="F255" i="22"/>
  <c r="G255" i="22"/>
  <c r="F256" i="22"/>
  <c r="G256" i="22"/>
  <c r="F257" i="22"/>
  <c r="G257" i="22"/>
  <c r="F258" i="22"/>
  <c r="G258" i="22"/>
  <c r="F259" i="22"/>
  <c r="G259" i="22"/>
  <c r="F260" i="22"/>
  <c r="G260" i="22"/>
  <c r="F261" i="22"/>
  <c r="G261" i="22"/>
  <c r="F262" i="22"/>
  <c r="G262" i="22"/>
  <c r="F263" i="22"/>
  <c r="G263" i="22"/>
  <c r="F264" i="22"/>
  <c r="G264" i="22"/>
  <c r="G252" i="22"/>
  <c r="F252" i="22"/>
  <c r="F228" i="22"/>
  <c r="G228" i="22"/>
  <c r="F229" i="22"/>
  <c r="G229" i="22"/>
  <c r="F230" i="22"/>
  <c r="G230" i="22"/>
  <c r="F231" i="22"/>
  <c r="G231" i="22"/>
  <c r="F232" i="22"/>
  <c r="G232" i="22"/>
  <c r="F233" i="22"/>
  <c r="G233" i="22"/>
  <c r="F234" i="22"/>
  <c r="G234" i="22"/>
  <c r="F235" i="22"/>
  <c r="G235" i="22"/>
  <c r="F236" i="22"/>
  <c r="G236" i="22"/>
  <c r="F237" i="22"/>
  <c r="G237" i="22"/>
  <c r="F238" i="22"/>
  <c r="G238" i="22"/>
  <c r="F239" i="22"/>
  <c r="G239" i="22"/>
  <c r="G227" i="22"/>
  <c r="F227" i="22"/>
  <c r="O261" i="22"/>
  <c r="P257" i="22"/>
  <c r="P252" i="22"/>
  <c r="O251" i="22"/>
  <c r="O250" i="22"/>
  <c r="P247" i="22"/>
  <c r="O245" i="22"/>
  <c r="P264" i="22"/>
  <c r="O264" i="22"/>
  <c r="P263" i="22"/>
  <c r="O263" i="22"/>
  <c r="O262" i="22"/>
  <c r="P261" i="22"/>
  <c r="P260" i="22"/>
  <c r="O260" i="22"/>
  <c r="P259" i="22"/>
  <c r="O259" i="22"/>
  <c r="P258" i="22"/>
  <c r="O258" i="22"/>
  <c r="O257" i="22"/>
  <c r="P256" i="22"/>
  <c r="O256" i="22"/>
  <c r="P255" i="22"/>
  <c r="O255" i="22"/>
  <c r="P254" i="22"/>
  <c r="O254" i="22"/>
  <c r="P253" i="22"/>
  <c r="O253" i="22"/>
  <c r="O252" i="22"/>
  <c r="P251" i="22"/>
  <c r="P250" i="22"/>
  <c r="P249" i="22"/>
  <c r="O249" i="22"/>
  <c r="P248" i="22"/>
  <c r="O248" i="22"/>
  <c r="O247" i="22"/>
  <c r="O246" i="22"/>
  <c r="P245" i="22"/>
  <c r="P244" i="22"/>
  <c r="O244" i="22"/>
  <c r="H215" i="22"/>
  <c r="H214" i="22"/>
  <c r="H213" i="22"/>
  <c r="H212" i="22"/>
  <c r="H211" i="22"/>
  <c r="H210" i="22"/>
  <c r="H209" i="22"/>
  <c r="H208" i="22"/>
  <c r="H207" i="22"/>
  <c r="H206" i="22"/>
  <c r="H205" i="22"/>
  <c r="H204" i="22"/>
  <c r="H203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C1" i="22"/>
  <c r="B1" i="22"/>
  <c r="A1" i="22"/>
  <c r="M54" i="11" l="1"/>
  <c r="N54" i="11" s="1"/>
  <c r="O54" i="11" s="1"/>
  <c r="AD54" i="11" s="1"/>
  <c r="AB54" i="11"/>
  <c r="P246" i="22"/>
  <c r="P262" i="22"/>
  <c r="F228" i="20" l="1"/>
  <c r="G228" i="20"/>
  <c r="P365" i="20" l="1"/>
  <c r="O365" i="20"/>
  <c r="P364" i="20"/>
  <c r="O364" i="20"/>
  <c r="P363" i="20"/>
  <c r="O363" i="20"/>
  <c r="P362" i="20"/>
  <c r="O362" i="20"/>
  <c r="P361" i="20"/>
  <c r="O361" i="20"/>
  <c r="P360" i="20"/>
  <c r="O360" i="20"/>
  <c r="P359" i="20"/>
  <c r="O359" i="20"/>
  <c r="P358" i="20"/>
  <c r="O358" i="20"/>
  <c r="P357" i="20"/>
  <c r="O357" i="20"/>
  <c r="P356" i="20"/>
  <c r="O356" i="20"/>
  <c r="P355" i="20"/>
  <c r="O355" i="20"/>
  <c r="P354" i="20"/>
  <c r="O354" i="20"/>
  <c r="P353" i="20"/>
  <c r="O353" i="20"/>
  <c r="O340" i="20"/>
  <c r="P340" i="20"/>
  <c r="P339" i="20"/>
  <c r="O339" i="20"/>
  <c r="P338" i="20"/>
  <c r="O338" i="20"/>
  <c r="P337" i="20"/>
  <c r="O337" i="20"/>
  <c r="P336" i="20"/>
  <c r="O336" i="20"/>
  <c r="P335" i="20"/>
  <c r="O335" i="20"/>
  <c r="P334" i="20"/>
  <c r="O334" i="20"/>
  <c r="P333" i="20"/>
  <c r="O333" i="20"/>
  <c r="P332" i="20"/>
  <c r="O332" i="20"/>
  <c r="P331" i="20"/>
  <c r="O331" i="20"/>
  <c r="P330" i="20"/>
  <c r="O330" i="20"/>
  <c r="P329" i="20"/>
  <c r="O329" i="20"/>
  <c r="P328" i="20"/>
  <c r="O328" i="20"/>
  <c r="P315" i="20"/>
  <c r="P265" i="20" s="1"/>
  <c r="O246" i="20"/>
  <c r="P246" i="20"/>
  <c r="O247" i="20"/>
  <c r="O248" i="20"/>
  <c r="O249" i="20"/>
  <c r="O250" i="20"/>
  <c r="O251" i="20"/>
  <c r="O252" i="20"/>
  <c r="O303" i="20"/>
  <c r="O253" i="20" s="1"/>
  <c r="P303" i="20"/>
  <c r="O304" i="20"/>
  <c r="O254" i="20" s="1"/>
  <c r="P304" i="20"/>
  <c r="O305" i="20"/>
  <c r="O255" i="20" s="1"/>
  <c r="P305" i="20"/>
  <c r="O306" i="20"/>
  <c r="O256" i="20" s="1"/>
  <c r="P306" i="20"/>
  <c r="O307" i="20"/>
  <c r="O257" i="20" s="1"/>
  <c r="P307" i="20"/>
  <c r="O308" i="20"/>
  <c r="O258" i="20" s="1"/>
  <c r="P308" i="20"/>
  <c r="O309" i="20"/>
  <c r="O259" i="20" s="1"/>
  <c r="P309" i="20"/>
  <c r="O310" i="20"/>
  <c r="O260" i="20" s="1"/>
  <c r="P310" i="20"/>
  <c r="O311" i="20"/>
  <c r="O261" i="20" s="1"/>
  <c r="P311" i="20"/>
  <c r="O312" i="20"/>
  <c r="O262" i="20" s="1"/>
  <c r="P312" i="20"/>
  <c r="O313" i="20"/>
  <c r="O263" i="20" s="1"/>
  <c r="P313" i="20"/>
  <c r="O314" i="20"/>
  <c r="O264" i="20" s="1"/>
  <c r="P314" i="20"/>
  <c r="O315" i="20"/>
  <c r="O265" i="20" s="1"/>
  <c r="O245" i="20"/>
  <c r="O278" i="20"/>
  <c r="P278" i="20"/>
  <c r="O279" i="20"/>
  <c r="P279" i="20"/>
  <c r="O280" i="20"/>
  <c r="P280" i="20"/>
  <c r="O281" i="20"/>
  <c r="P281" i="20"/>
  <c r="O282" i="20"/>
  <c r="P282" i="20"/>
  <c r="O283" i="20"/>
  <c r="P283" i="20"/>
  <c r="O284" i="20"/>
  <c r="P284" i="20"/>
  <c r="O285" i="20"/>
  <c r="P285" i="20"/>
  <c r="O286" i="20"/>
  <c r="P286" i="20"/>
  <c r="O287" i="20"/>
  <c r="P287" i="20"/>
  <c r="O288" i="20"/>
  <c r="P288" i="20"/>
  <c r="O289" i="20"/>
  <c r="P289" i="20"/>
  <c r="O290" i="20"/>
  <c r="P290" i="20"/>
  <c r="O240" i="20"/>
  <c r="O229" i="20"/>
  <c r="P229" i="20"/>
  <c r="O230" i="20"/>
  <c r="P230" i="20"/>
  <c r="O231" i="20"/>
  <c r="P231" i="20"/>
  <c r="O232" i="20"/>
  <c r="P232" i="20"/>
  <c r="O233" i="20"/>
  <c r="P233" i="20"/>
  <c r="O234" i="20"/>
  <c r="P234" i="20"/>
  <c r="O235" i="20"/>
  <c r="P235" i="20"/>
  <c r="O236" i="20"/>
  <c r="P236" i="20"/>
  <c r="O237" i="20"/>
  <c r="P237" i="20"/>
  <c r="O238" i="20"/>
  <c r="P238" i="20"/>
  <c r="O239" i="20"/>
  <c r="P239" i="20"/>
  <c r="P240" i="20"/>
  <c r="O228" i="20"/>
  <c r="P228" i="20"/>
  <c r="F358" i="20"/>
  <c r="G358" i="20"/>
  <c r="F359" i="20"/>
  <c r="G359" i="20"/>
  <c r="F360" i="20"/>
  <c r="G360" i="20"/>
  <c r="F361" i="20"/>
  <c r="G361" i="20"/>
  <c r="F362" i="20"/>
  <c r="G362" i="20"/>
  <c r="F363" i="20"/>
  <c r="G363" i="20"/>
  <c r="F364" i="20"/>
  <c r="G364" i="20"/>
  <c r="F365" i="20"/>
  <c r="G365" i="20"/>
  <c r="F354" i="20"/>
  <c r="G354" i="20"/>
  <c r="F355" i="20"/>
  <c r="G355" i="20"/>
  <c r="F356" i="20"/>
  <c r="G356" i="20"/>
  <c r="F357" i="20"/>
  <c r="G357" i="20"/>
  <c r="F353" i="20"/>
  <c r="G353" i="20"/>
  <c r="F329" i="20"/>
  <c r="G329" i="20"/>
  <c r="F330" i="20"/>
  <c r="G330" i="20"/>
  <c r="F331" i="20"/>
  <c r="G331" i="20"/>
  <c r="F332" i="20"/>
  <c r="G332" i="20"/>
  <c r="F333" i="20"/>
  <c r="G333" i="20"/>
  <c r="F334" i="20"/>
  <c r="G334" i="20"/>
  <c r="F335" i="20"/>
  <c r="G335" i="20"/>
  <c r="F336" i="20"/>
  <c r="G336" i="20"/>
  <c r="F337" i="20"/>
  <c r="G337" i="20"/>
  <c r="F338" i="20"/>
  <c r="G338" i="20"/>
  <c r="F339" i="20"/>
  <c r="G339" i="20"/>
  <c r="G328" i="20"/>
  <c r="G315" i="20"/>
  <c r="F328" i="20"/>
  <c r="F304" i="20"/>
  <c r="G304" i="20"/>
  <c r="F305" i="20"/>
  <c r="G305" i="20"/>
  <c r="F306" i="20"/>
  <c r="G306" i="20"/>
  <c r="F307" i="20"/>
  <c r="G307" i="20"/>
  <c r="F308" i="20"/>
  <c r="G308" i="20"/>
  <c r="F309" i="20"/>
  <c r="G309" i="20"/>
  <c r="F310" i="20"/>
  <c r="G310" i="20"/>
  <c r="F311" i="20"/>
  <c r="G311" i="20"/>
  <c r="F312" i="20"/>
  <c r="G312" i="20"/>
  <c r="F313" i="20"/>
  <c r="G313" i="20"/>
  <c r="F314" i="20"/>
  <c r="G314" i="20"/>
  <c r="F315" i="20"/>
  <c r="F303" i="20"/>
  <c r="G303" i="20"/>
  <c r="F279" i="20"/>
  <c r="G279" i="20"/>
  <c r="F280" i="20"/>
  <c r="G280" i="20"/>
  <c r="F281" i="20"/>
  <c r="G281" i="20"/>
  <c r="F282" i="20"/>
  <c r="G282" i="20"/>
  <c r="F283" i="20"/>
  <c r="G283" i="20"/>
  <c r="F284" i="20"/>
  <c r="G284" i="20"/>
  <c r="F285" i="20"/>
  <c r="G285" i="20"/>
  <c r="F286" i="20"/>
  <c r="G286" i="20"/>
  <c r="F287" i="20"/>
  <c r="G287" i="20"/>
  <c r="F288" i="20"/>
  <c r="G288" i="20"/>
  <c r="F289" i="20"/>
  <c r="G289" i="20"/>
  <c r="F290" i="20"/>
  <c r="G290" i="20"/>
  <c r="F278" i="20"/>
  <c r="G278" i="20"/>
  <c r="G265" i="20"/>
  <c r="F253" i="20"/>
  <c r="G253" i="20"/>
  <c r="F254" i="20"/>
  <c r="G254" i="20"/>
  <c r="F255" i="20"/>
  <c r="G255" i="20"/>
  <c r="F256" i="20"/>
  <c r="G256" i="20"/>
  <c r="F257" i="20"/>
  <c r="G257" i="20"/>
  <c r="F258" i="20"/>
  <c r="G258" i="20"/>
  <c r="F259" i="20"/>
  <c r="G259" i="20"/>
  <c r="F260" i="20"/>
  <c r="G260" i="20"/>
  <c r="F261" i="20"/>
  <c r="G261" i="20"/>
  <c r="F262" i="20"/>
  <c r="G262" i="20"/>
  <c r="F263" i="20"/>
  <c r="G263" i="20"/>
  <c r="F264" i="20"/>
  <c r="G264" i="20"/>
  <c r="F265" i="20"/>
  <c r="F229" i="20"/>
  <c r="G229" i="20"/>
  <c r="F230" i="20"/>
  <c r="G230" i="20"/>
  <c r="F231" i="20"/>
  <c r="G231" i="20"/>
  <c r="F232" i="20"/>
  <c r="G232" i="20"/>
  <c r="F233" i="20"/>
  <c r="G233" i="20"/>
  <c r="F234" i="20"/>
  <c r="G234" i="20"/>
  <c r="F235" i="20"/>
  <c r="G235" i="20"/>
  <c r="F236" i="20"/>
  <c r="G236" i="20"/>
  <c r="F237" i="20"/>
  <c r="G237" i="20"/>
  <c r="F238" i="20"/>
  <c r="G238" i="20"/>
  <c r="F239" i="20"/>
  <c r="G239" i="20"/>
  <c r="F240" i="20"/>
  <c r="G240" i="20"/>
  <c r="P264" i="20" l="1"/>
  <c r="P248" i="20"/>
  <c r="P262" i="20"/>
  <c r="P260" i="20"/>
  <c r="P258" i="20"/>
  <c r="P256" i="20"/>
  <c r="P254" i="20"/>
  <c r="P252" i="20"/>
  <c r="P250" i="20"/>
  <c r="P245" i="20"/>
  <c r="P263" i="20"/>
  <c r="P261" i="20"/>
  <c r="P259" i="20"/>
  <c r="P257" i="20"/>
  <c r="P255" i="20"/>
  <c r="P253" i="20"/>
  <c r="P251" i="20"/>
  <c r="P249" i="20"/>
  <c r="P247" i="20"/>
  <c r="H216" i="20"/>
  <c r="H215" i="20"/>
  <c r="H214" i="20"/>
  <c r="H213" i="20"/>
  <c r="H212" i="20"/>
  <c r="H211" i="20"/>
  <c r="H210" i="20"/>
  <c r="H209" i="20"/>
  <c r="H208" i="20"/>
  <c r="H207" i="20"/>
  <c r="H206" i="20"/>
  <c r="H205" i="20"/>
  <c r="H204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C1" i="20"/>
  <c r="B1" i="20"/>
  <c r="A1" i="20"/>
  <c r="J15" i="2" l="1"/>
  <c r="I190" i="2" l="1"/>
  <c r="J40" i="2" l="1"/>
  <c r="P236" i="6" l="1"/>
  <c r="Q236" i="6"/>
  <c r="P237" i="6"/>
  <c r="Q237" i="6"/>
  <c r="P238" i="6"/>
  <c r="Q238" i="6"/>
  <c r="P239" i="6"/>
  <c r="Q239" i="6"/>
  <c r="P240" i="6"/>
  <c r="Q240" i="6"/>
  <c r="P241" i="6"/>
  <c r="Q241" i="6"/>
  <c r="P242" i="6"/>
  <c r="Q242" i="6"/>
  <c r="P243" i="6"/>
  <c r="Q243" i="6"/>
  <c r="P244" i="6"/>
  <c r="Q244" i="6"/>
  <c r="P245" i="6"/>
  <c r="Q245" i="6"/>
  <c r="P246" i="6"/>
  <c r="Q246" i="6"/>
  <c r="P247" i="6"/>
  <c r="Q247" i="6"/>
  <c r="P248" i="6"/>
  <c r="Q248" i="6"/>
  <c r="P261" i="6"/>
  <c r="Q261" i="6"/>
  <c r="P262" i="6"/>
  <c r="Q262" i="6"/>
  <c r="P263" i="6"/>
  <c r="Q263" i="6"/>
  <c r="P264" i="6"/>
  <c r="Q264" i="6"/>
  <c r="P265" i="6"/>
  <c r="Q265" i="6"/>
  <c r="P266" i="6"/>
  <c r="Q266" i="6"/>
  <c r="P267" i="6"/>
  <c r="Q267" i="6"/>
  <c r="P270" i="6"/>
  <c r="Q270" i="6"/>
  <c r="P271" i="6"/>
  <c r="Q271" i="6"/>
  <c r="P272" i="6"/>
  <c r="Q272" i="6"/>
  <c r="P273" i="6"/>
  <c r="Q273" i="6"/>
  <c r="P286" i="6"/>
  <c r="Q286" i="6"/>
  <c r="P287" i="6"/>
  <c r="Q287" i="6"/>
  <c r="P288" i="6"/>
  <c r="Q288" i="6"/>
  <c r="P289" i="6"/>
  <c r="Q289" i="6"/>
  <c r="P290" i="6"/>
  <c r="Q290" i="6"/>
  <c r="P291" i="6"/>
  <c r="Q291" i="6"/>
  <c r="P292" i="6"/>
  <c r="Q292" i="6"/>
  <c r="P293" i="6"/>
  <c r="Q293" i="6"/>
  <c r="P294" i="6"/>
  <c r="Q294" i="6"/>
  <c r="P295" i="6"/>
  <c r="Q295" i="6"/>
  <c r="P296" i="6"/>
  <c r="Q296" i="6"/>
  <c r="P297" i="6"/>
  <c r="Q297" i="6"/>
  <c r="P298" i="6"/>
  <c r="Q298" i="6"/>
  <c r="P311" i="6"/>
  <c r="Q311" i="6"/>
  <c r="P312" i="6"/>
  <c r="Q312" i="6"/>
  <c r="P313" i="6"/>
  <c r="Q313" i="6"/>
  <c r="P314" i="6"/>
  <c r="Q314" i="6"/>
  <c r="P315" i="6"/>
  <c r="Q315" i="6"/>
  <c r="P316" i="6"/>
  <c r="Q316" i="6"/>
  <c r="P317" i="6"/>
  <c r="Q317" i="6"/>
  <c r="P318" i="6"/>
  <c r="Q318" i="6"/>
  <c r="P319" i="6"/>
  <c r="Q319" i="6"/>
  <c r="P320" i="6"/>
  <c r="Q320" i="6"/>
  <c r="P321" i="6"/>
  <c r="Q321" i="6"/>
  <c r="P322" i="6"/>
  <c r="Q322" i="6"/>
  <c r="P323" i="6"/>
  <c r="Q323" i="6"/>
  <c r="P336" i="6"/>
  <c r="Q336" i="6"/>
  <c r="P337" i="6"/>
  <c r="Q337" i="6"/>
  <c r="P338" i="6"/>
  <c r="Q338" i="6"/>
  <c r="P339" i="6"/>
  <c r="Q339" i="6"/>
  <c r="P340" i="6"/>
  <c r="Q340" i="6"/>
  <c r="P341" i="6"/>
  <c r="Q341" i="6"/>
  <c r="P342" i="6"/>
  <c r="Q342" i="6"/>
  <c r="P343" i="6"/>
  <c r="Q343" i="6"/>
  <c r="P344" i="6"/>
  <c r="Q344" i="6"/>
  <c r="P345" i="6"/>
  <c r="Q345" i="6"/>
  <c r="P346" i="6"/>
  <c r="Q346" i="6"/>
  <c r="P347" i="6"/>
  <c r="Q347" i="6"/>
  <c r="P348" i="6"/>
  <c r="Q348" i="6"/>
  <c r="P362" i="6"/>
  <c r="Q362" i="6"/>
  <c r="P363" i="6"/>
  <c r="Q363" i="6"/>
  <c r="P364" i="6"/>
  <c r="Q364" i="6"/>
  <c r="P365" i="6"/>
  <c r="Q365" i="6"/>
  <c r="P366" i="6"/>
  <c r="Q366" i="6"/>
  <c r="P367" i="6"/>
  <c r="Q367" i="6"/>
  <c r="P368" i="6"/>
  <c r="Q368" i="6"/>
  <c r="P369" i="6"/>
  <c r="Q369" i="6"/>
  <c r="P370" i="6"/>
  <c r="Q370" i="6"/>
  <c r="P371" i="6"/>
  <c r="Q371" i="6"/>
  <c r="P372" i="6"/>
  <c r="Q372" i="6"/>
  <c r="P373" i="6"/>
  <c r="Q373" i="6"/>
  <c r="Q361" i="6"/>
  <c r="P361" i="6"/>
  <c r="O361" i="4"/>
  <c r="P361" i="4"/>
  <c r="O362" i="4"/>
  <c r="P362" i="4"/>
  <c r="O363" i="4"/>
  <c r="P363" i="4"/>
  <c r="O364" i="4"/>
  <c r="P364" i="4"/>
  <c r="O365" i="4"/>
  <c r="P365" i="4"/>
  <c r="O366" i="4"/>
  <c r="P366" i="4"/>
  <c r="O367" i="4"/>
  <c r="P367" i="4"/>
  <c r="O368" i="4"/>
  <c r="P368" i="4"/>
  <c r="O369" i="4"/>
  <c r="P369" i="4"/>
  <c r="O370" i="4"/>
  <c r="P370" i="4"/>
  <c r="O371" i="4"/>
  <c r="P371" i="4"/>
  <c r="O372" i="4"/>
  <c r="P372" i="4"/>
  <c r="O373" i="4"/>
  <c r="P373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O336" i="4"/>
  <c r="P336" i="4"/>
  <c r="O337" i="4"/>
  <c r="P337" i="4"/>
  <c r="O338" i="4"/>
  <c r="P338" i="4"/>
  <c r="O339" i="4"/>
  <c r="P339" i="4"/>
  <c r="O340" i="4"/>
  <c r="P340" i="4"/>
  <c r="O341" i="4"/>
  <c r="P341" i="4"/>
  <c r="O342" i="4"/>
  <c r="P342" i="4"/>
  <c r="O343" i="4"/>
  <c r="P343" i="4"/>
  <c r="O344" i="4"/>
  <c r="P344" i="4"/>
  <c r="O345" i="4"/>
  <c r="P345" i="4"/>
  <c r="O346" i="4"/>
  <c r="P346" i="4"/>
  <c r="O347" i="4"/>
  <c r="P347" i="4"/>
  <c r="O348" i="4"/>
  <c r="P348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3" i="4"/>
  <c r="O311" i="4"/>
  <c r="P311" i="4"/>
  <c r="O312" i="4"/>
  <c r="P312" i="4"/>
  <c r="O313" i="4"/>
  <c r="P313" i="4"/>
  <c r="O314" i="4"/>
  <c r="P314" i="4"/>
  <c r="O315" i="4"/>
  <c r="P315" i="4"/>
  <c r="O316" i="4"/>
  <c r="P316" i="4"/>
  <c r="O317" i="4"/>
  <c r="P317" i="4"/>
  <c r="O318" i="4"/>
  <c r="P318" i="4"/>
  <c r="O319" i="4"/>
  <c r="P319" i="4"/>
  <c r="O320" i="4"/>
  <c r="P320" i="4"/>
  <c r="O321" i="4"/>
  <c r="P321" i="4"/>
  <c r="O322" i="4"/>
  <c r="P322" i="4"/>
  <c r="O323" i="4"/>
  <c r="P323" i="4"/>
  <c r="O286" i="4"/>
  <c r="P286" i="4"/>
  <c r="O287" i="4"/>
  <c r="P287" i="4"/>
  <c r="O288" i="4"/>
  <c r="P288" i="4"/>
  <c r="O289" i="4"/>
  <c r="P289" i="4"/>
  <c r="O290" i="4"/>
  <c r="P290" i="4"/>
  <c r="O291" i="4"/>
  <c r="P291" i="4"/>
  <c r="O292" i="4"/>
  <c r="P292" i="4"/>
  <c r="O293" i="4"/>
  <c r="P293" i="4"/>
  <c r="O294" i="4"/>
  <c r="P294" i="4"/>
  <c r="O295" i="4"/>
  <c r="P295" i="4"/>
  <c r="O296" i="4"/>
  <c r="P296" i="4"/>
  <c r="O297" i="4"/>
  <c r="P297" i="4"/>
  <c r="O298" i="4"/>
  <c r="P298" i="4"/>
  <c r="O261" i="4"/>
  <c r="P261" i="4"/>
  <c r="O262" i="4"/>
  <c r="P262" i="4"/>
  <c r="O263" i="4"/>
  <c r="P263" i="4"/>
  <c r="O264" i="4"/>
  <c r="P264" i="4"/>
  <c r="O265" i="4"/>
  <c r="P265" i="4"/>
  <c r="O266" i="4"/>
  <c r="P266" i="4"/>
  <c r="O267" i="4"/>
  <c r="P267" i="4"/>
  <c r="O270" i="4"/>
  <c r="P270" i="4"/>
  <c r="O271" i="4"/>
  <c r="P271" i="4"/>
  <c r="O272" i="4"/>
  <c r="P272" i="4"/>
  <c r="O273" i="4"/>
  <c r="P273" i="4"/>
  <c r="O236" i="4"/>
  <c r="P236" i="4"/>
  <c r="O237" i="4"/>
  <c r="P237" i="4"/>
  <c r="O238" i="4"/>
  <c r="P238" i="4"/>
  <c r="O239" i="4"/>
  <c r="P239" i="4"/>
  <c r="O240" i="4"/>
  <c r="P240" i="4"/>
  <c r="O241" i="4"/>
  <c r="P241" i="4"/>
  <c r="O242" i="4"/>
  <c r="P242" i="4"/>
  <c r="O243" i="4"/>
  <c r="P243" i="4"/>
  <c r="O244" i="4"/>
  <c r="P244" i="4"/>
  <c r="O245" i="4"/>
  <c r="P245" i="4"/>
  <c r="O246" i="4"/>
  <c r="P246" i="4"/>
  <c r="O247" i="4"/>
  <c r="P247" i="4"/>
  <c r="O248" i="4"/>
  <c r="P248" i="4"/>
  <c r="O104" i="4" l="1"/>
  <c r="O105" i="4"/>
  <c r="O108" i="4"/>
  <c r="O109" i="4"/>
  <c r="O110" i="4"/>
  <c r="O111" i="4"/>
  <c r="O112" i="4"/>
  <c r="O113" i="4"/>
  <c r="O114" i="4"/>
  <c r="P114" i="4"/>
  <c r="O115" i="4"/>
  <c r="O116" i="4"/>
  <c r="O117" i="4"/>
  <c r="O118" i="4"/>
  <c r="O119" i="4"/>
  <c r="O120" i="4"/>
  <c r="O121" i="4"/>
  <c r="O122" i="4"/>
  <c r="O106" i="4"/>
  <c r="P106" i="4"/>
  <c r="O107" i="4"/>
  <c r="O123" i="4" l="1"/>
  <c r="O23" i="4"/>
  <c r="P122" i="4"/>
  <c r="P120" i="4"/>
  <c r="P118" i="4"/>
  <c r="P116" i="4"/>
  <c r="P112" i="4"/>
  <c r="P110" i="4"/>
  <c r="P108" i="4"/>
  <c r="P104" i="4"/>
  <c r="P103" i="4"/>
  <c r="P123" i="4"/>
  <c r="P121" i="4"/>
  <c r="P119" i="4"/>
  <c r="P117" i="4"/>
  <c r="P115" i="4"/>
  <c r="P113" i="4"/>
  <c r="P111" i="4"/>
  <c r="P109" i="4"/>
  <c r="P107" i="4"/>
  <c r="P105" i="4"/>
  <c r="J213" i="13"/>
  <c r="K213" i="13" s="1"/>
  <c r="J212" i="13"/>
  <c r="K212" i="13" s="1"/>
  <c r="J211" i="13"/>
  <c r="K211" i="13" s="1"/>
  <c r="J210" i="13"/>
  <c r="J209" i="13"/>
  <c r="J208" i="13"/>
  <c r="J207" i="13"/>
  <c r="J206" i="13"/>
  <c r="J205" i="13"/>
  <c r="J204" i="13"/>
  <c r="K204" i="13" s="1"/>
  <c r="J203" i="13"/>
  <c r="K203" i="13" s="1"/>
  <c r="J202" i="13"/>
  <c r="K202" i="13" s="1"/>
  <c r="J201" i="13"/>
  <c r="K201" i="13" s="1"/>
  <c r="H215" i="13"/>
  <c r="J215" i="13" s="1"/>
  <c r="K215" i="13" s="1"/>
  <c r="H216" i="13"/>
  <c r="J216" i="13" s="1"/>
  <c r="K216" i="13" s="1"/>
  <c r="H217" i="13"/>
  <c r="J217" i="13" s="1"/>
  <c r="K217" i="13" s="1"/>
  <c r="H218" i="13"/>
  <c r="J218" i="13" s="1"/>
  <c r="K218" i="13" s="1"/>
  <c r="H219" i="13"/>
  <c r="J219" i="13" s="1"/>
  <c r="K219" i="13" s="1"/>
  <c r="H220" i="13"/>
  <c r="J220" i="13" s="1"/>
  <c r="K220" i="13" s="1"/>
  <c r="H221" i="13"/>
  <c r="J221" i="13" s="1"/>
  <c r="K221" i="13" s="1"/>
  <c r="H214" i="13"/>
  <c r="J214" i="13" s="1"/>
  <c r="K214" i="13" s="1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H187" i="13"/>
  <c r="J187" i="13" s="1"/>
  <c r="H188" i="13"/>
  <c r="J188" i="13" s="1"/>
  <c r="H189" i="13"/>
  <c r="J189" i="13" s="1"/>
  <c r="H190" i="13"/>
  <c r="J190" i="13" s="1"/>
  <c r="H191" i="13"/>
  <c r="J191" i="13" s="1"/>
  <c r="H192" i="13"/>
  <c r="J192" i="13" s="1"/>
  <c r="H193" i="13"/>
  <c r="J193" i="13" s="1"/>
  <c r="H186" i="13"/>
  <c r="J186" i="13" s="1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H159" i="13"/>
  <c r="J159" i="13" s="1"/>
  <c r="H160" i="13"/>
  <c r="J160" i="13" s="1"/>
  <c r="K160" i="13" s="1"/>
  <c r="H161" i="13"/>
  <c r="J161" i="13" s="1"/>
  <c r="H162" i="13"/>
  <c r="J162" i="13" s="1"/>
  <c r="H163" i="13"/>
  <c r="J163" i="13" s="1"/>
  <c r="H164" i="13"/>
  <c r="J164" i="13" s="1"/>
  <c r="H165" i="13"/>
  <c r="J165" i="13" s="1"/>
  <c r="H158" i="13"/>
  <c r="J158" i="13" s="1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H131" i="13"/>
  <c r="J131" i="13" s="1"/>
  <c r="H132" i="13"/>
  <c r="J132" i="13" s="1"/>
  <c r="H133" i="13"/>
  <c r="J133" i="13" s="1"/>
  <c r="H134" i="13"/>
  <c r="J134" i="13" s="1"/>
  <c r="H135" i="13"/>
  <c r="J135" i="13" s="1"/>
  <c r="H136" i="13"/>
  <c r="J136" i="13" s="1"/>
  <c r="H137" i="13"/>
  <c r="J137" i="13" s="1"/>
  <c r="H130" i="13"/>
  <c r="J130" i="13" s="1"/>
  <c r="J101" i="13"/>
  <c r="K101" i="13" s="1"/>
  <c r="J100" i="13"/>
  <c r="K100" i="13" s="1"/>
  <c r="J99" i="13"/>
  <c r="K99" i="13" s="1"/>
  <c r="J98" i="13"/>
  <c r="K98" i="13" s="1"/>
  <c r="J97" i="13"/>
  <c r="K97" i="13" s="1"/>
  <c r="J96" i="13"/>
  <c r="J95" i="13"/>
  <c r="K95" i="13" s="1"/>
  <c r="J94" i="13"/>
  <c r="K94" i="13" s="1"/>
  <c r="J93" i="13"/>
  <c r="J92" i="13"/>
  <c r="K92" i="13" s="1"/>
  <c r="J91" i="13"/>
  <c r="J90" i="13"/>
  <c r="J89" i="13"/>
  <c r="H103" i="13"/>
  <c r="J103" i="13" s="1"/>
  <c r="H104" i="13"/>
  <c r="J104" i="13" s="1"/>
  <c r="H105" i="13"/>
  <c r="J105" i="13" s="1"/>
  <c r="K105" i="13" s="1"/>
  <c r="H106" i="13"/>
  <c r="J106" i="13" s="1"/>
  <c r="K106" i="13" s="1"/>
  <c r="H107" i="13"/>
  <c r="J107" i="13" s="1"/>
  <c r="K107" i="13" s="1"/>
  <c r="H108" i="13"/>
  <c r="J108" i="13" s="1"/>
  <c r="K108" i="13" s="1"/>
  <c r="H109" i="13"/>
  <c r="J109" i="13" s="1"/>
  <c r="K109" i="13" s="1"/>
  <c r="H102" i="13"/>
  <c r="J102" i="13" s="1"/>
  <c r="K102" i="13" s="1"/>
  <c r="J73" i="13"/>
  <c r="K73" i="13" s="1"/>
  <c r="J72" i="13"/>
  <c r="K72" i="13" s="1"/>
  <c r="J71" i="13"/>
  <c r="J70" i="13"/>
  <c r="K70" i="13" s="1"/>
  <c r="J69" i="13"/>
  <c r="K69" i="13" s="1"/>
  <c r="J68" i="13"/>
  <c r="K68" i="13" s="1"/>
  <c r="J67" i="13"/>
  <c r="K67" i="13" s="1"/>
  <c r="J66" i="13"/>
  <c r="K66" i="13" s="1"/>
  <c r="J65" i="13"/>
  <c r="K65" i="13" s="1"/>
  <c r="J64" i="13"/>
  <c r="K64" i="13" s="1"/>
  <c r="J63" i="13"/>
  <c r="J62" i="13"/>
  <c r="J61" i="13"/>
  <c r="K61" i="13" s="1"/>
  <c r="J45" i="13"/>
  <c r="J44" i="13"/>
  <c r="J43" i="13"/>
  <c r="J42" i="13"/>
  <c r="J41" i="13"/>
  <c r="J40" i="13"/>
  <c r="J39" i="13"/>
  <c r="J38" i="13"/>
  <c r="K38" i="13" s="1"/>
  <c r="J37" i="13"/>
  <c r="J36" i="13"/>
  <c r="J35" i="13"/>
  <c r="J34" i="13"/>
  <c r="J33" i="13"/>
  <c r="J17" i="13"/>
  <c r="J16" i="13"/>
  <c r="K16" i="13" s="1"/>
  <c r="J15" i="13"/>
  <c r="K15" i="13" s="1"/>
  <c r="J14" i="13"/>
  <c r="K14" i="13" s="1"/>
  <c r="J13" i="13"/>
  <c r="J12" i="13"/>
  <c r="J11" i="13"/>
  <c r="J10" i="13"/>
  <c r="J9" i="13"/>
  <c r="J8" i="13"/>
  <c r="J7" i="13"/>
  <c r="K7" i="13" s="1"/>
  <c r="J6" i="13"/>
  <c r="J5" i="13"/>
  <c r="H75" i="13"/>
  <c r="J75" i="13" s="1"/>
  <c r="K75" i="13" s="1"/>
  <c r="H76" i="13"/>
  <c r="J76" i="13" s="1"/>
  <c r="H77" i="13"/>
  <c r="J77" i="13" s="1"/>
  <c r="H78" i="13"/>
  <c r="J78" i="13" s="1"/>
  <c r="H79" i="13"/>
  <c r="J79" i="13" s="1"/>
  <c r="H80" i="13"/>
  <c r="J80" i="13" s="1"/>
  <c r="K80" i="13" s="1"/>
  <c r="H81" i="13"/>
  <c r="J81" i="13" s="1"/>
  <c r="H74" i="13"/>
  <c r="J74" i="13" s="1"/>
  <c r="K74" i="13" s="1"/>
  <c r="H47" i="13"/>
  <c r="J47" i="13" s="1"/>
  <c r="H48" i="13"/>
  <c r="J48" i="13" s="1"/>
  <c r="H49" i="13"/>
  <c r="J49" i="13" s="1"/>
  <c r="H50" i="13"/>
  <c r="J50" i="13" s="1"/>
  <c r="H51" i="13"/>
  <c r="J51" i="13" s="1"/>
  <c r="H52" i="13"/>
  <c r="J52" i="13" s="1"/>
  <c r="H53" i="13"/>
  <c r="J53" i="13" s="1"/>
  <c r="H46" i="13"/>
  <c r="J46" i="13" s="1"/>
  <c r="H19" i="13"/>
  <c r="J19" i="13" s="1"/>
  <c r="H20" i="13"/>
  <c r="J20" i="13" s="1"/>
  <c r="H21" i="13"/>
  <c r="J21" i="13" s="1"/>
  <c r="H22" i="13"/>
  <c r="J22" i="13" s="1"/>
  <c r="H23" i="13"/>
  <c r="J23" i="13" s="1"/>
  <c r="H24" i="13"/>
  <c r="J24" i="13" s="1"/>
  <c r="K24" i="13" s="1"/>
  <c r="H25" i="13"/>
  <c r="J25" i="13" s="1"/>
  <c r="K25" i="13" s="1"/>
  <c r="H18" i="13"/>
  <c r="J18" i="13" s="1"/>
  <c r="K18" i="13" s="1"/>
  <c r="D157" i="13" l="1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01" i="13"/>
  <c r="D100" i="13"/>
  <c r="D99" i="13"/>
  <c r="E99" i="13" s="1"/>
  <c r="D98" i="13"/>
  <c r="E98" i="13" s="1"/>
  <c r="D97" i="13"/>
  <c r="E97" i="13" s="1"/>
  <c r="D96" i="13"/>
  <c r="D95" i="13"/>
  <c r="E95" i="13" s="1"/>
  <c r="D94" i="13"/>
  <c r="E94" i="13" s="1"/>
  <c r="D93" i="13"/>
  <c r="E93" i="13" s="1"/>
  <c r="D92" i="13"/>
  <c r="E92" i="13" s="1"/>
  <c r="D91" i="13"/>
  <c r="D90" i="13"/>
  <c r="D89" i="13"/>
  <c r="E89" i="13" s="1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45" i="13"/>
  <c r="D44" i="13"/>
  <c r="E44" i="13" s="1"/>
  <c r="D43" i="13"/>
  <c r="E43" i="13" s="1"/>
  <c r="D42" i="13"/>
  <c r="E42" i="13" s="1"/>
  <c r="D41" i="13"/>
  <c r="D40" i="13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D33" i="13"/>
  <c r="E33" i="13" s="1"/>
  <c r="D6" i="13"/>
  <c r="D7" i="13"/>
  <c r="E7" i="13" s="1"/>
  <c r="D8" i="13"/>
  <c r="E8" i="13" s="1"/>
  <c r="D9" i="13"/>
  <c r="E9" i="13" s="1"/>
  <c r="D10" i="13"/>
  <c r="E10" i="13" s="1"/>
  <c r="D11" i="13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E17" i="13" s="1"/>
  <c r="D5" i="13"/>
  <c r="B159" i="13"/>
  <c r="D159" i="13" s="1"/>
  <c r="B160" i="13"/>
  <c r="D160" i="13" s="1"/>
  <c r="E160" i="13" s="1"/>
  <c r="B161" i="13"/>
  <c r="D161" i="13" s="1"/>
  <c r="E161" i="13" s="1"/>
  <c r="B162" i="13"/>
  <c r="D162" i="13" s="1"/>
  <c r="E162" i="13" s="1"/>
  <c r="B163" i="13"/>
  <c r="D163" i="13" s="1"/>
  <c r="E163" i="13" s="1"/>
  <c r="B164" i="13"/>
  <c r="D164" i="13" s="1"/>
  <c r="E164" i="13" s="1"/>
  <c r="B165" i="13"/>
  <c r="D165" i="13" s="1"/>
  <c r="E165" i="13" s="1"/>
  <c r="B158" i="13"/>
  <c r="D158" i="13" s="1"/>
  <c r="B131" i="13"/>
  <c r="D131" i="13" s="1"/>
  <c r="B132" i="13"/>
  <c r="D132" i="13" s="1"/>
  <c r="B133" i="13"/>
  <c r="D133" i="13" s="1"/>
  <c r="B134" i="13"/>
  <c r="D134" i="13" s="1"/>
  <c r="B135" i="13"/>
  <c r="D135" i="13" s="1"/>
  <c r="B136" i="13"/>
  <c r="D136" i="13" s="1"/>
  <c r="B137" i="13"/>
  <c r="D137" i="13" s="1"/>
  <c r="B130" i="13"/>
  <c r="D130" i="13" s="1"/>
  <c r="B103" i="13"/>
  <c r="D103" i="13" s="1"/>
  <c r="E103" i="13" s="1"/>
  <c r="B104" i="13"/>
  <c r="D104" i="13" s="1"/>
  <c r="B105" i="13"/>
  <c r="D105" i="13" s="1"/>
  <c r="B106" i="13"/>
  <c r="D106" i="13" s="1"/>
  <c r="B107" i="13"/>
  <c r="D107" i="13" s="1"/>
  <c r="B108" i="13"/>
  <c r="D108" i="13" s="1"/>
  <c r="B109" i="13"/>
  <c r="D109" i="13" s="1"/>
  <c r="B102" i="13"/>
  <c r="D102" i="13" s="1"/>
  <c r="E102" i="13" s="1"/>
  <c r="B75" i="13"/>
  <c r="D75" i="13" s="1"/>
  <c r="B76" i="13"/>
  <c r="D76" i="13" s="1"/>
  <c r="B77" i="13"/>
  <c r="D77" i="13" s="1"/>
  <c r="B78" i="13"/>
  <c r="D78" i="13" s="1"/>
  <c r="B79" i="13"/>
  <c r="D79" i="13" s="1"/>
  <c r="B80" i="13"/>
  <c r="D80" i="13" s="1"/>
  <c r="B81" i="13"/>
  <c r="D81" i="13" s="1"/>
  <c r="E81" i="13" s="1"/>
  <c r="B74" i="13"/>
  <c r="D74" i="13" s="1"/>
  <c r="E74" i="13" s="1"/>
  <c r="B47" i="13"/>
  <c r="D47" i="13" s="1"/>
  <c r="B48" i="13"/>
  <c r="D48" i="13" s="1"/>
  <c r="B49" i="13"/>
  <c r="D49" i="13" s="1"/>
  <c r="B50" i="13"/>
  <c r="D50" i="13" s="1"/>
  <c r="E50" i="13" s="1"/>
  <c r="B51" i="13"/>
  <c r="D51" i="13" s="1"/>
  <c r="E51" i="13" s="1"/>
  <c r="B52" i="13"/>
  <c r="D52" i="13" s="1"/>
  <c r="E52" i="13" s="1"/>
  <c r="B53" i="13"/>
  <c r="D53" i="13" s="1"/>
  <c r="E53" i="13" s="1"/>
  <c r="B46" i="13"/>
  <c r="D46" i="13" s="1"/>
  <c r="E46" i="13" s="1"/>
  <c r="B19" i="13"/>
  <c r="D19" i="13" s="1"/>
  <c r="B20" i="13"/>
  <c r="D20" i="13" s="1"/>
  <c r="E20" i="13" s="1"/>
  <c r="B21" i="13"/>
  <c r="D21" i="13" s="1"/>
  <c r="B22" i="13"/>
  <c r="D22" i="13" s="1"/>
  <c r="E22" i="13" s="1"/>
  <c r="B23" i="13"/>
  <c r="D23" i="13" s="1"/>
  <c r="B24" i="13"/>
  <c r="D24" i="13" s="1"/>
  <c r="E24" i="13" s="1"/>
  <c r="B25" i="13"/>
  <c r="D25" i="13" s="1"/>
  <c r="E25" i="13" s="1"/>
  <c r="B18" i="13"/>
  <c r="D18" i="13" s="1"/>
  <c r="E18" i="13" s="1"/>
  <c r="D58" i="12" l="1"/>
  <c r="D59" i="12"/>
  <c r="D60" i="12"/>
  <c r="D61" i="12"/>
  <c r="D62" i="12"/>
  <c r="D63" i="12"/>
  <c r="D64" i="12"/>
  <c r="D57" i="12"/>
  <c r="D47" i="12"/>
  <c r="D48" i="12"/>
  <c r="D49" i="12"/>
  <c r="D50" i="12"/>
  <c r="D51" i="12"/>
  <c r="D52" i="12"/>
  <c r="D53" i="12"/>
  <c r="D46" i="12"/>
  <c r="D36" i="12"/>
  <c r="D37" i="12"/>
  <c r="D38" i="12"/>
  <c r="D39" i="12"/>
  <c r="D40" i="12"/>
  <c r="D41" i="12"/>
  <c r="D42" i="12"/>
  <c r="D35" i="12"/>
  <c r="D25" i="12"/>
  <c r="D26" i="12"/>
  <c r="D27" i="12"/>
  <c r="D28" i="12"/>
  <c r="D29" i="12"/>
  <c r="D30" i="12"/>
  <c r="D31" i="12"/>
  <c r="D24" i="12"/>
  <c r="D14" i="12"/>
  <c r="D15" i="12"/>
  <c r="D16" i="12"/>
  <c r="D17" i="12"/>
  <c r="D18" i="12"/>
  <c r="D19" i="12"/>
  <c r="D20" i="12"/>
  <c r="D13" i="12"/>
  <c r="D3" i="12"/>
  <c r="D4" i="12"/>
  <c r="D5" i="12"/>
  <c r="D6" i="12"/>
  <c r="D7" i="12"/>
  <c r="D8" i="12"/>
  <c r="D9" i="12"/>
  <c r="D2" i="12"/>
  <c r="E245" i="22" l="1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44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51" i="22"/>
  <c r="I71" i="2"/>
  <c r="J71" i="2"/>
  <c r="I72" i="2"/>
  <c r="J72" i="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27" i="22"/>
  <c r="I40" i="2"/>
  <c r="I46" i="2"/>
  <c r="J46" i="2"/>
  <c r="I39" i="22" l="1"/>
  <c r="J39" i="22" s="1"/>
  <c r="K39" i="22" s="1"/>
  <c r="E40" i="20"/>
  <c r="I40" i="20" s="1"/>
  <c r="J40" i="20" s="1"/>
  <c r="K40" i="20" s="1"/>
  <c r="E251" i="20"/>
  <c r="E31" i="20"/>
  <c r="I65" i="22"/>
  <c r="J65" i="22" s="1"/>
  <c r="K65" i="22" s="1"/>
  <c r="E66" i="20"/>
  <c r="I66" i="20" s="1"/>
  <c r="J66" i="20" s="1"/>
  <c r="K66" i="20" s="1"/>
  <c r="E57" i="20"/>
  <c r="E265" i="20"/>
  <c r="E45" i="20"/>
  <c r="I45" i="20" s="1"/>
  <c r="J45" i="20" s="1"/>
  <c r="K45" i="20" s="1"/>
  <c r="I44" i="22"/>
  <c r="J44" i="22" s="1"/>
  <c r="K44" i="22" s="1"/>
  <c r="E37" i="20"/>
  <c r="I37" i="20" s="1"/>
  <c r="J37" i="20" s="1"/>
  <c r="K37" i="20" s="1"/>
  <c r="I36" i="22"/>
  <c r="J36" i="22" s="1"/>
  <c r="K36" i="22" s="1"/>
  <c r="E29" i="20"/>
  <c r="E72" i="20"/>
  <c r="I72" i="20" s="1"/>
  <c r="J72" i="20" s="1"/>
  <c r="K72" i="20" s="1"/>
  <c r="I71" i="22"/>
  <c r="J71" i="22" s="1"/>
  <c r="K71" i="22" s="1"/>
  <c r="E64" i="20"/>
  <c r="I64" i="20" s="1"/>
  <c r="J64" i="20" s="1"/>
  <c r="K64" i="20" s="1"/>
  <c r="I63" i="22"/>
  <c r="J63" i="22" s="1"/>
  <c r="K63" i="22" s="1"/>
  <c r="E56" i="20"/>
  <c r="E264" i="20"/>
  <c r="E256" i="20"/>
  <c r="E248" i="20"/>
  <c r="E32" i="20"/>
  <c r="E67" i="20"/>
  <c r="I67" i="20" s="1"/>
  <c r="J67" i="20" s="1"/>
  <c r="K67" i="20" s="1"/>
  <c r="I66" i="22"/>
  <c r="J66" i="22" s="1"/>
  <c r="K66" i="22" s="1"/>
  <c r="E259" i="20"/>
  <c r="E39" i="20"/>
  <c r="I39" i="20" s="1"/>
  <c r="J39" i="20" s="1"/>
  <c r="K39" i="20" s="1"/>
  <c r="I38" i="22"/>
  <c r="J38" i="22" s="1"/>
  <c r="K38" i="22" s="1"/>
  <c r="E245" i="20"/>
  <c r="E250" i="20"/>
  <c r="I37" i="22"/>
  <c r="J37" i="22" s="1"/>
  <c r="K37" i="22" s="1"/>
  <c r="E38" i="20"/>
  <c r="I38" i="20" s="1"/>
  <c r="J38" i="20" s="1"/>
  <c r="K38" i="20" s="1"/>
  <c r="E65" i="20"/>
  <c r="I65" i="20" s="1"/>
  <c r="J65" i="20" s="1"/>
  <c r="K65" i="20" s="1"/>
  <c r="I64" i="22"/>
  <c r="J64" i="22" s="1"/>
  <c r="K64" i="22" s="1"/>
  <c r="E257" i="20"/>
  <c r="E249" i="20"/>
  <c r="E44" i="20"/>
  <c r="I44" i="20" s="1"/>
  <c r="J44" i="20" s="1"/>
  <c r="K44" i="20" s="1"/>
  <c r="I43" i="22"/>
  <c r="J43" i="22" s="1"/>
  <c r="K43" i="22" s="1"/>
  <c r="E36" i="20"/>
  <c r="I36" i="20" s="1"/>
  <c r="J36" i="20" s="1"/>
  <c r="K36" i="20" s="1"/>
  <c r="I35" i="22"/>
  <c r="J35" i="22" s="1"/>
  <c r="K35" i="22" s="1"/>
  <c r="I70" i="22"/>
  <c r="J70" i="22" s="1"/>
  <c r="K70" i="22" s="1"/>
  <c r="E71" i="20"/>
  <c r="I71" i="20" s="1"/>
  <c r="J71" i="20" s="1"/>
  <c r="K71" i="20" s="1"/>
  <c r="I62" i="22"/>
  <c r="J62" i="22" s="1"/>
  <c r="K62" i="22" s="1"/>
  <c r="E63" i="20"/>
  <c r="I63" i="20" s="1"/>
  <c r="J63" i="20" s="1"/>
  <c r="K63" i="20" s="1"/>
  <c r="E55" i="20"/>
  <c r="E263" i="20"/>
  <c r="E255" i="20"/>
  <c r="E247" i="20"/>
  <c r="I47" i="22"/>
  <c r="J47" i="22" s="1"/>
  <c r="K47" i="22" s="1"/>
  <c r="E48" i="20"/>
  <c r="I48" i="20" s="1"/>
  <c r="J48" i="20" s="1"/>
  <c r="K48" i="20" s="1"/>
  <c r="E47" i="20"/>
  <c r="I47" i="20" s="1"/>
  <c r="J47" i="20" s="1"/>
  <c r="K47" i="20" s="1"/>
  <c r="I46" i="22"/>
  <c r="J46" i="22" s="1"/>
  <c r="K46" i="22" s="1"/>
  <c r="E58" i="20"/>
  <c r="E258" i="20"/>
  <c r="I45" i="22"/>
  <c r="J45" i="22" s="1"/>
  <c r="K45" i="22" s="1"/>
  <c r="E46" i="20"/>
  <c r="I46" i="20" s="1"/>
  <c r="J46" i="20" s="1"/>
  <c r="K46" i="20" s="1"/>
  <c r="E30" i="20"/>
  <c r="E52" i="20"/>
  <c r="I42" i="22"/>
  <c r="J42" i="22" s="1"/>
  <c r="K42" i="22" s="1"/>
  <c r="E43" i="20"/>
  <c r="I43" i="20" s="1"/>
  <c r="J43" i="20" s="1"/>
  <c r="K43" i="20" s="1"/>
  <c r="E35" i="20"/>
  <c r="I69" i="22"/>
  <c r="J69" i="22" s="1"/>
  <c r="K69" i="22" s="1"/>
  <c r="E70" i="20"/>
  <c r="I70" i="20" s="1"/>
  <c r="J70" i="20" s="1"/>
  <c r="K70" i="20" s="1"/>
  <c r="I61" i="22"/>
  <c r="J61" i="22" s="1"/>
  <c r="K61" i="22" s="1"/>
  <c r="E62" i="20"/>
  <c r="I62" i="20" s="1"/>
  <c r="J62" i="20" s="1"/>
  <c r="K62" i="20" s="1"/>
  <c r="E54" i="20"/>
  <c r="E262" i="20"/>
  <c r="E254" i="20"/>
  <c r="E246" i="20"/>
  <c r="E59" i="20"/>
  <c r="I41" i="22"/>
  <c r="J41" i="22" s="1"/>
  <c r="K41" i="22" s="1"/>
  <c r="E42" i="20"/>
  <c r="I42" i="20" s="1"/>
  <c r="J42" i="20" s="1"/>
  <c r="K42" i="20" s="1"/>
  <c r="E34" i="20"/>
  <c r="E69" i="20"/>
  <c r="I69" i="20" s="1"/>
  <c r="J69" i="20" s="1"/>
  <c r="K69" i="20" s="1"/>
  <c r="I68" i="22"/>
  <c r="J68" i="22" s="1"/>
  <c r="K68" i="22" s="1"/>
  <c r="E61" i="20"/>
  <c r="I61" i="20" s="1"/>
  <c r="J61" i="20" s="1"/>
  <c r="K61" i="20" s="1"/>
  <c r="I60" i="22"/>
  <c r="J60" i="22" s="1"/>
  <c r="K60" i="22" s="1"/>
  <c r="E53" i="20"/>
  <c r="E261" i="20"/>
  <c r="E253" i="20"/>
  <c r="E28" i="20"/>
  <c r="E41" i="20"/>
  <c r="I41" i="20" s="1"/>
  <c r="J41" i="20" s="1"/>
  <c r="K41" i="20" s="1"/>
  <c r="I40" i="22"/>
  <c r="J40" i="22" s="1"/>
  <c r="K40" i="22" s="1"/>
  <c r="E33" i="20"/>
  <c r="I67" i="22"/>
  <c r="J67" i="22" s="1"/>
  <c r="K67" i="22" s="1"/>
  <c r="E68" i="20"/>
  <c r="I68" i="20" s="1"/>
  <c r="J68" i="20" s="1"/>
  <c r="K68" i="20" s="1"/>
  <c r="I59" i="22"/>
  <c r="J59" i="22" s="1"/>
  <c r="K59" i="22" s="1"/>
  <c r="E60" i="20"/>
  <c r="I60" i="20" s="1"/>
  <c r="J60" i="20" s="1"/>
  <c r="K60" i="20" s="1"/>
  <c r="E260" i="20"/>
  <c r="E252" i="20"/>
  <c r="L260" i="2"/>
  <c r="L259" i="2"/>
  <c r="L258" i="2"/>
  <c r="L261" i="2"/>
  <c r="L257" i="2"/>
  <c r="L264" i="2"/>
  <c r="L256" i="2"/>
  <c r="L263" i="2"/>
  <c r="L255" i="2"/>
  <c r="L253" i="2"/>
  <c r="L46" i="2"/>
  <c r="I23" i="11" s="1"/>
  <c r="L262" i="2"/>
  <c r="L254" i="2"/>
  <c r="D53" i="4"/>
  <c r="L40" i="2"/>
  <c r="L72" i="2"/>
  <c r="K24" i="11" s="1"/>
  <c r="L71" i="2"/>
  <c r="K23" i="11" s="1"/>
  <c r="H246" i="22" l="1"/>
  <c r="I246" i="22"/>
  <c r="J246" i="22" s="1"/>
  <c r="K246" i="22" s="1"/>
  <c r="I28" i="22"/>
  <c r="J28" i="22" s="1"/>
  <c r="K28" i="22" s="1"/>
  <c r="H28" i="22"/>
  <c r="I253" i="20"/>
  <c r="J253" i="20" s="1"/>
  <c r="K253" i="20" s="1"/>
  <c r="H253" i="20"/>
  <c r="I245" i="20"/>
  <c r="J245" i="20" s="1"/>
  <c r="K245" i="20" s="1"/>
  <c r="H245" i="20"/>
  <c r="I55" i="22"/>
  <c r="J55" i="22" s="1"/>
  <c r="K55" i="22" s="1"/>
  <c r="H55" i="22"/>
  <c r="H252" i="22"/>
  <c r="I252" i="22"/>
  <c r="J252" i="22" s="1"/>
  <c r="K252" i="22" s="1"/>
  <c r="I257" i="20"/>
  <c r="J257" i="20" s="1"/>
  <c r="K257" i="20" s="1"/>
  <c r="H257" i="20"/>
  <c r="I56" i="20"/>
  <c r="J56" i="20" s="1"/>
  <c r="K56" i="20" s="1"/>
  <c r="H56" i="20"/>
  <c r="H251" i="22"/>
  <c r="I251" i="22"/>
  <c r="J251" i="22" s="1"/>
  <c r="K251" i="22" s="1"/>
  <c r="I33" i="20"/>
  <c r="J33" i="20" s="1"/>
  <c r="K33" i="20" s="1"/>
  <c r="H33" i="20"/>
  <c r="I261" i="20"/>
  <c r="J261" i="20" s="1"/>
  <c r="K261" i="20" s="1"/>
  <c r="H261" i="20"/>
  <c r="H34" i="20"/>
  <c r="I34" i="20"/>
  <c r="J34" i="20" s="1"/>
  <c r="K34" i="20" s="1"/>
  <c r="H253" i="22"/>
  <c r="I253" i="22"/>
  <c r="J253" i="22" s="1"/>
  <c r="K253" i="22" s="1"/>
  <c r="H30" i="20"/>
  <c r="I30" i="20"/>
  <c r="J30" i="20" s="1"/>
  <c r="K30" i="20" s="1"/>
  <c r="H263" i="20"/>
  <c r="I263" i="20"/>
  <c r="J263" i="20" s="1"/>
  <c r="K263" i="20" s="1"/>
  <c r="I248" i="20"/>
  <c r="J248" i="20" s="1"/>
  <c r="K248" i="20" s="1"/>
  <c r="H248" i="20"/>
  <c r="I30" i="22"/>
  <c r="J30" i="22" s="1"/>
  <c r="K30" i="22" s="1"/>
  <c r="H30" i="22"/>
  <c r="I59" i="20"/>
  <c r="J59" i="20" s="1"/>
  <c r="K59" i="20" s="1"/>
  <c r="H59" i="20"/>
  <c r="H257" i="22"/>
  <c r="I257" i="22"/>
  <c r="J257" i="22" s="1"/>
  <c r="K257" i="22" s="1"/>
  <c r="I249" i="22"/>
  <c r="J249" i="22" s="1"/>
  <c r="K249" i="22" s="1"/>
  <c r="H249" i="22"/>
  <c r="H263" i="22"/>
  <c r="I263" i="22"/>
  <c r="J263" i="22" s="1"/>
  <c r="K263" i="22" s="1"/>
  <c r="I57" i="20"/>
  <c r="J57" i="20" s="1"/>
  <c r="K57" i="20" s="1"/>
  <c r="H57" i="20"/>
  <c r="H245" i="22"/>
  <c r="I245" i="22"/>
  <c r="J245" i="22" s="1"/>
  <c r="K245" i="22" s="1"/>
  <c r="H52" i="20"/>
  <c r="I52" i="20"/>
  <c r="J52" i="20" s="1"/>
  <c r="K52" i="20" s="1"/>
  <c r="I58" i="20"/>
  <c r="J58" i="20" s="1"/>
  <c r="K58" i="20" s="1"/>
  <c r="H58" i="20"/>
  <c r="I255" i="20"/>
  <c r="J255" i="20" s="1"/>
  <c r="K255" i="20" s="1"/>
  <c r="H255" i="20"/>
  <c r="I256" i="22"/>
  <c r="J256" i="22" s="1"/>
  <c r="K256" i="22" s="1"/>
  <c r="H256" i="22"/>
  <c r="I31" i="22"/>
  <c r="J31" i="22" s="1"/>
  <c r="K31" i="22" s="1"/>
  <c r="H31" i="22"/>
  <c r="I246" i="20"/>
  <c r="J246" i="20" s="1"/>
  <c r="K246" i="20" s="1"/>
  <c r="H246" i="20"/>
  <c r="I51" i="22"/>
  <c r="J51" i="22" s="1"/>
  <c r="K51" i="22" s="1"/>
  <c r="H51" i="22"/>
  <c r="I57" i="22"/>
  <c r="J57" i="22" s="1"/>
  <c r="K57" i="22" s="1"/>
  <c r="H57" i="22"/>
  <c r="I254" i="22"/>
  <c r="J254" i="22" s="1"/>
  <c r="K254" i="22" s="1"/>
  <c r="H254" i="22"/>
  <c r="I244" i="22"/>
  <c r="J244" i="22" s="1"/>
  <c r="K244" i="22" s="1"/>
  <c r="H244" i="22"/>
  <c r="H32" i="20"/>
  <c r="I32" i="20"/>
  <c r="J32" i="20" s="1"/>
  <c r="K32" i="20" s="1"/>
  <c r="H252" i="20"/>
  <c r="I252" i="20"/>
  <c r="J252" i="20" s="1"/>
  <c r="K252" i="20" s="1"/>
  <c r="I32" i="22"/>
  <c r="J32" i="22" s="1"/>
  <c r="K32" i="22" s="1"/>
  <c r="H32" i="22"/>
  <c r="H260" i="22"/>
  <c r="I260" i="22"/>
  <c r="J260" i="22" s="1"/>
  <c r="K260" i="22" s="1"/>
  <c r="I33" i="22"/>
  <c r="J33" i="22" s="1"/>
  <c r="K33" i="22" s="1"/>
  <c r="H33" i="22"/>
  <c r="H254" i="20"/>
  <c r="I254" i="20"/>
  <c r="J254" i="20" s="1"/>
  <c r="K254" i="20" s="1"/>
  <c r="I29" i="22"/>
  <c r="J29" i="22" s="1"/>
  <c r="K29" i="22" s="1"/>
  <c r="H29" i="22"/>
  <c r="H262" i="22"/>
  <c r="I262" i="22"/>
  <c r="J262" i="22" s="1"/>
  <c r="K262" i="22" s="1"/>
  <c r="H247" i="22"/>
  <c r="I247" i="22"/>
  <c r="J247" i="22" s="1"/>
  <c r="K247" i="22" s="1"/>
  <c r="I31" i="20"/>
  <c r="J31" i="20" s="1"/>
  <c r="K31" i="20" s="1"/>
  <c r="H31" i="20"/>
  <c r="H259" i="22"/>
  <c r="I259" i="22"/>
  <c r="J259" i="22" s="1"/>
  <c r="K259" i="22" s="1"/>
  <c r="I52" i="22"/>
  <c r="J52" i="22" s="1"/>
  <c r="K52" i="22" s="1"/>
  <c r="H52" i="22"/>
  <c r="H261" i="22"/>
  <c r="I261" i="22"/>
  <c r="J261" i="22" s="1"/>
  <c r="K261" i="22" s="1"/>
  <c r="I35" i="20"/>
  <c r="J35" i="20" s="1"/>
  <c r="K35" i="20" s="1"/>
  <c r="H35" i="20"/>
  <c r="I55" i="20"/>
  <c r="J55" i="20" s="1"/>
  <c r="K55" i="20" s="1"/>
  <c r="H55" i="20"/>
  <c r="I259" i="20"/>
  <c r="J259" i="20" s="1"/>
  <c r="K259" i="20" s="1"/>
  <c r="H259" i="20"/>
  <c r="I256" i="20"/>
  <c r="J256" i="20" s="1"/>
  <c r="K256" i="20" s="1"/>
  <c r="H256" i="20"/>
  <c r="I264" i="22"/>
  <c r="J264" i="22" s="1"/>
  <c r="K264" i="22" s="1"/>
  <c r="H264" i="22"/>
  <c r="H251" i="20"/>
  <c r="I251" i="20"/>
  <c r="J251" i="20" s="1"/>
  <c r="K251" i="20" s="1"/>
  <c r="H260" i="20"/>
  <c r="I260" i="20"/>
  <c r="J260" i="20" s="1"/>
  <c r="K260" i="20" s="1"/>
  <c r="H53" i="20"/>
  <c r="I53" i="20"/>
  <c r="J53" i="20" s="1"/>
  <c r="K53" i="20" s="1"/>
  <c r="I262" i="20"/>
  <c r="J262" i="20" s="1"/>
  <c r="K262" i="20" s="1"/>
  <c r="H262" i="20"/>
  <c r="H34" i="22"/>
  <c r="I34" i="22"/>
  <c r="J34" i="22" s="1"/>
  <c r="K34" i="22" s="1"/>
  <c r="H54" i="22"/>
  <c r="I54" i="22"/>
  <c r="J54" i="22" s="1"/>
  <c r="K54" i="22" s="1"/>
  <c r="H258" i="22"/>
  <c r="I258" i="22"/>
  <c r="J258" i="22" s="1"/>
  <c r="K258" i="22" s="1"/>
  <c r="H255" i="22"/>
  <c r="I255" i="22"/>
  <c r="J255" i="22" s="1"/>
  <c r="K255" i="22" s="1"/>
  <c r="I265" i="20"/>
  <c r="J265" i="20" s="1"/>
  <c r="K265" i="20" s="1"/>
  <c r="H265" i="20"/>
  <c r="I250" i="22"/>
  <c r="J250" i="22" s="1"/>
  <c r="K250" i="22" s="1"/>
  <c r="H250" i="22"/>
  <c r="I27" i="22"/>
  <c r="J27" i="22" s="1"/>
  <c r="K27" i="22" s="1"/>
  <c r="H27" i="22"/>
  <c r="I58" i="22"/>
  <c r="J58" i="22" s="1"/>
  <c r="K58" i="22" s="1"/>
  <c r="H58" i="22"/>
  <c r="I54" i="20"/>
  <c r="J54" i="20" s="1"/>
  <c r="K54" i="20" s="1"/>
  <c r="H54" i="20"/>
  <c r="I258" i="20"/>
  <c r="J258" i="20" s="1"/>
  <c r="K258" i="20" s="1"/>
  <c r="H258" i="20"/>
  <c r="H247" i="20"/>
  <c r="I247" i="20"/>
  <c r="J247" i="20" s="1"/>
  <c r="K247" i="20" s="1"/>
  <c r="H248" i="22"/>
  <c r="I248" i="22"/>
  <c r="J248" i="22" s="1"/>
  <c r="K248" i="22" s="1"/>
  <c r="I250" i="20"/>
  <c r="J250" i="20" s="1"/>
  <c r="K250" i="20" s="1"/>
  <c r="H250" i="20"/>
  <c r="I264" i="20"/>
  <c r="J264" i="20" s="1"/>
  <c r="K264" i="20" s="1"/>
  <c r="H264" i="20"/>
  <c r="I29" i="20"/>
  <c r="J29" i="20" s="1"/>
  <c r="K29" i="20" s="1"/>
  <c r="H29" i="20"/>
  <c r="I56" i="22"/>
  <c r="J56" i="22" s="1"/>
  <c r="K56" i="22" s="1"/>
  <c r="H56" i="22"/>
  <c r="H28" i="20"/>
  <c r="I28" i="20"/>
  <c r="J28" i="20" s="1"/>
  <c r="K28" i="20" s="1"/>
  <c r="I53" i="22"/>
  <c r="J53" i="22" s="1"/>
  <c r="K53" i="22" s="1"/>
  <c r="H53" i="22"/>
  <c r="I249" i="20"/>
  <c r="J249" i="20" s="1"/>
  <c r="K249" i="20" s="1"/>
  <c r="H249" i="20"/>
  <c r="M46" i="2"/>
  <c r="M259" i="2"/>
  <c r="N259" i="2" s="1"/>
  <c r="E11" i="19"/>
  <c r="M256" i="2"/>
  <c r="N256" i="2" s="1"/>
  <c r="E8" i="19"/>
  <c r="M258" i="2"/>
  <c r="N258" i="2" s="1"/>
  <c r="E10" i="19"/>
  <c r="M253" i="2"/>
  <c r="N253" i="2" s="1"/>
  <c r="E5" i="19"/>
  <c r="M263" i="2"/>
  <c r="N263" i="2" s="1"/>
  <c r="E15" i="19"/>
  <c r="M40" i="2"/>
  <c r="I17" i="11"/>
  <c r="M254" i="2"/>
  <c r="N254" i="2" s="1"/>
  <c r="E6" i="19"/>
  <c r="M264" i="2"/>
  <c r="N264" i="2" s="1"/>
  <c r="E16" i="19"/>
  <c r="M257" i="2"/>
  <c r="N257" i="2" s="1"/>
  <c r="E9" i="19"/>
  <c r="M260" i="2"/>
  <c r="N260" i="2" s="1"/>
  <c r="E12" i="19"/>
  <c r="M262" i="2"/>
  <c r="N262" i="2" s="1"/>
  <c r="E14" i="19"/>
  <c r="M255" i="2"/>
  <c r="N255" i="2" s="1"/>
  <c r="E7" i="19"/>
  <c r="M261" i="2"/>
  <c r="N261" i="2" s="1"/>
  <c r="E13" i="19"/>
  <c r="I168" i="2"/>
  <c r="J165" i="2"/>
  <c r="I15" i="2" l="1"/>
  <c r="AN8" i="10" l="1"/>
  <c r="AN7" i="10"/>
  <c r="AN16" i="10"/>
  <c r="AN6" i="10"/>
  <c r="AN5" i="10"/>
  <c r="AN15" i="10"/>
  <c r="AN3" i="10"/>
  <c r="AN17" i="10"/>
  <c r="AN18" i="10"/>
  <c r="AN19" i="10"/>
  <c r="AN20" i="10"/>
  <c r="AN21" i="10"/>
  <c r="AN26" i="10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6" i="10"/>
  <c r="G86" i="10" s="1"/>
  <c r="F87" i="10"/>
  <c r="G87" i="10" s="1"/>
  <c r="F88" i="10"/>
  <c r="G88" i="10" s="1"/>
  <c r="F89" i="10"/>
  <c r="G89" i="10" s="1"/>
  <c r="F90" i="10"/>
  <c r="G90" i="10" s="1"/>
  <c r="F91" i="10"/>
  <c r="G91" i="10" s="1"/>
  <c r="F92" i="10"/>
  <c r="G92" i="10" s="1"/>
  <c r="F93" i="10"/>
  <c r="G93" i="10" s="1"/>
  <c r="F98" i="10"/>
  <c r="G98" i="10" s="1"/>
  <c r="F99" i="10"/>
  <c r="G99" i="10" s="1"/>
  <c r="F100" i="10"/>
  <c r="G100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10" i="10"/>
  <c r="G110" i="10" s="1"/>
  <c r="F111" i="10"/>
  <c r="G111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8" i="10"/>
  <c r="G158" i="10" s="1"/>
  <c r="F159" i="10"/>
  <c r="G159" i="10" s="1"/>
  <c r="F160" i="10"/>
  <c r="G160" i="10" s="1"/>
  <c r="F161" i="10"/>
  <c r="G161" i="10" s="1"/>
  <c r="F162" i="10"/>
  <c r="G162" i="10" s="1"/>
  <c r="F163" i="10"/>
  <c r="G163" i="10" s="1"/>
  <c r="F164" i="10"/>
  <c r="G164" i="10" s="1"/>
  <c r="F165" i="10"/>
  <c r="G165" i="10" s="1"/>
  <c r="F170" i="10"/>
  <c r="G170" i="10" s="1"/>
  <c r="F171" i="10"/>
  <c r="G171" i="10" s="1"/>
  <c r="F172" i="10"/>
  <c r="G172" i="10" s="1"/>
  <c r="F173" i="10"/>
  <c r="G173" i="10" s="1"/>
  <c r="F174" i="10"/>
  <c r="G174" i="10" s="1"/>
  <c r="F175" i="10"/>
  <c r="G175" i="10" s="1"/>
  <c r="F176" i="10"/>
  <c r="G176" i="10" s="1"/>
  <c r="F177" i="10"/>
  <c r="G177" i="10" s="1"/>
  <c r="F182" i="10"/>
  <c r="G182" i="10" s="1"/>
  <c r="F183" i="10"/>
  <c r="G183" i="10" s="1"/>
  <c r="F184" i="10"/>
  <c r="G184" i="10" s="1"/>
  <c r="F185" i="10"/>
  <c r="G185" i="10" s="1"/>
  <c r="F186" i="10"/>
  <c r="G186" i="10" s="1"/>
  <c r="F187" i="10"/>
  <c r="G187" i="10" s="1"/>
  <c r="F188" i="10"/>
  <c r="G188" i="10" s="1"/>
  <c r="F189" i="10"/>
  <c r="G189" i="10" s="1"/>
  <c r="C105" i="10"/>
  <c r="C103" i="10"/>
  <c r="C104" i="10"/>
  <c r="C102" i="10"/>
  <c r="C101" i="10"/>
  <c r="C100" i="10"/>
  <c r="C99" i="10"/>
  <c r="C98" i="10"/>
  <c r="C93" i="10"/>
  <c r="C92" i="10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50" i="10"/>
  <c r="G50" i="10" s="1"/>
  <c r="F51" i="10"/>
  <c r="G51" i="10" s="1"/>
  <c r="F52" i="10"/>
  <c r="G52" i="10" s="1"/>
  <c r="F53" i="10"/>
  <c r="G53" i="10" s="1"/>
  <c r="F54" i="10"/>
  <c r="G54" i="10" s="1"/>
  <c r="F55" i="10"/>
  <c r="G55" i="10" s="1"/>
  <c r="F56" i="10"/>
  <c r="G56" i="10" s="1"/>
  <c r="F57" i="10"/>
  <c r="G57" i="10" s="1"/>
  <c r="F62" i="10"/>
  <c r="G62" i="10" s="1"/>
  <c r="F63" i="10"/>
  <c r="G63" i="10" s="1"/>
  <c r="F64" i="10"/>
  <c r="G64" i="10" s="1"/>
  <c r="F65" i="10"/>
  <c r="G65" i="10" s="1"/>
  <c r="F66" i="10"/>
  <c r="G66" i="10" s="1"/>
  <c r="F67" i="10"/>
  <c r="G67" i="10" s="1"/>
  <c r="F68" i="10"/>
  <c r="G68" i="10" s="1"/>
  <c r="F69" i="10"/>
  <c r="G69" i="10" s="1"/>
  <c r="F2" i="10"/>
  <c r="G2" i="10" s="1"/>
  <c r="I23" i="6" l="1"/>
  <c r="I321" i="6"/>
  <c r="I373" i="6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" i="22"/>
  <c r="H23" i="4"/>
  <c r="I232" i="4"/>
  <c r="I233" i="4"/>
  <c r="I234" i="4"/>
  <c r="I235" i="4"/>
  <c r="I236" i="4"/>
  <c r="I240" i="4"/>
  <c r="I241" i="4"/>
  <c r="I242" i="4"/>
  <c r="I243" i="4"/>
  <c r="I244" i="4"/>
  <c r="I248" i="4"/>
  <c r="I253" i="4"/>
  <c r="I254" i="4"/>
  <c r="I255" i="4"/>
  <c r="I257" i="4"/>
  <c r="I258" i="4"/>
  <c r="I259" i="4"/>
  <c r="I261" i="4"/>
  <c r="I262" i="4"/>
  <c r="I263" i="4"/>
  <c r="I265" i="4"/>
  <c r="I266" i="4"/>
  <c r="I267" i="4"/>
  <c r="I269" i="4"/>
  <c r="I270" i="4"/>
  <c r="I271" i="4"/>
  <c r="I273" i="4"/>
  <c r="I278" i="4"/>
  <c r="I279" i="4"/>
  <c r="I286" i="4"/>
  <c r="I287" i="4"/>
  <c r="I294" i="4"/>
  <c r="I295" i="4"/>
  <c r="I306" i="4"/>
  <c r="I307" i="4"/>
  <c r="I314" i="4"/>
  <c r="I315" i="4"/>
  <c r="I322" i="4"/>
  <c r="I323" i="4"/>
  <c r="I329" i="4"/>
  <c r="I337" i="4"/>
  <c r="I345" i="4"/>
  <c r="I357" i="4"/>
  <c r="I365" i="4"/>
  <c r="I373" i="4"/>
  <c r="H3" i="4"/>
  <c r="J23" i="6" l="1"/>
  <c r="E23" i="22"/>
  <c r="I23" i="22" s="1"/>
  <c r="J23" i="22" s="1"/>
  <c r="K23" i="22" s="1"/>
  <c r="J313" i="6"/>
  <c r="E305" i="20"/>
  <c r="E221" i="20"/>
  <c r="J169" i="6"/>
  <c r="I163" i="22"/>
  <c r="J163" i="22" s="1"/>
  <c r="K163" i="22" s="1"/>
  <c r="E164" i="20"/>
  <c r="I164" i="20" s="1"/>
  <c r="J164" i="20" s="1"/>
  <c r="K164" i="20" s="1"/>
  <c r="J141" i="6"/>
  <c r="E137" i="20"/>
  <c r="I137" i="20" s="1"/>
  <c r="J137" i="20" s="1"/>
  <c r="K137" i="20" s="1"/>
  <c r="I136" i="22"/>
  <c r="J136" i="22" s="1"/>
  <c r="K136" i="22" s="1"/>
  <c r="J121" i="6"/>
  <c r="I117" i="22"/>
  <c r="J117" i="22" s="1"/>
  <c r="K117" i="22" s="1"/>
  <c r="E118" i="20"/>
  <c r="I118" i="20" s="1"/>
  <c r="J118" i="20" s="1"/>
  <c r="K118" i="20" s="1"/>
  <c r="E83" i="20"/>
  <c r="J17" i="6"/>
  <c r="E17" i="20"/>
  <c r="I17" i="20" s="1"/>
  <c r="J17" i="20" s="1"/>
  <c r="K17" i="20" s="1"/>
  <c r="I17" i="22"/>
  <c r="J17" i="22" s="1"/>
  <c r="K17" i="22" s="1"/>
  <c r="J368" i="6"/>
  <c r="E360" i="20"/>
  <c r="E352" i="20"/>
  <c r="J348" i="6"/>
  <c r="E340" i="20"/>
  <c r="J340" i="6"/>
  <c r="E332" i="20"/>
  <c r="E324" i="20"/>
  <c r="J320" i="6"/>
  <c r="E312" i="20"/>
  <c r="J312" i="6"/>
  <c r="E304" i="20"/>
  <c r="E296" i="20"/>
  <c r="J292" i="6"/>
  <c r="E284" i="20"/>
  <c r="E276" i="20"/>
  <c r="J244" i="6"/>
  <c r="E236" i="20"/>
  <c r="J236" i="6"/>
  <c r="E228" i="20"/>
  <c r="E220" i="20"/>
  <c r="H220" i="20" s="1"/>
  <c r="J216" i="6"/>
  <c r="E209" i="20"/>
  <c r="I209" i="20" s="1"/>
  <c r="J209" i="20" s="1"/>
  <c r="K209" i="20" s="1"/>
  <c r="I208" i="22"/>
  <c r="J208" i="22" s="1"/>
  <c r="K208" i="22" s="1"/>
  <c r="E201" i="20"/>
  <c r="J196" i="6"/>
  <c r="I189" i="22"/>
  <c r="J189" i="22" s="1"/>
  <c r="K189" i="22" s="1"/>
  <c r="E190" i="20"/>
  <c r="I190" i="20" s="1"/>
  <c r="J190" i="20" s="1"/>
  <c r="K190" i="20" s="1"/>
  <c r="J188" i="6"/>
  <c r="I181" i="22"/>
  <c r="J181" i="22" s="1"/>
  <c r="K181" i="22" s="1"/>
  <c r="E182" i="20"/>
  <c r="I182" i="20" s="1"/>
  <c r="J182" i="20" s="1"/>
  <c r="K182" i="20" s="1"/>
  <c r="E174" i="20"/>
  <c r="J168" i="6"/>
  <c r="E163" i="20"/>
  <c r="I163" i="20" s="1"/>
  <c r="J163" i="20" s="1"/>
  <c r="K163" i="20" s="1"/>
  <c r="I162" i="22"/>
  <c r="J162" i="22" s="1"/>
  <c r="K162" i="22" s="1"/>
  <c r="E155" i="20"/>
  <c r="J148" i="6"/>
  <c r="I143" i="22"/>
  <c r="J143" i="22" s="1"/>
  <c r="K143" i="22" s="1"/>
  <c r="E144" i="20"/>
  <c r="I144" i="20" s="1"/>
  <c r="J144" i="20" s="1"/>
  <c r="K144" i="20" s="1"/>
  <c r="J140" i="6"/>
  <c r="I135" i="22"/>
  <c r="J135" i="22" s="1"/>
  <c r="K135" i="22" s="1"/>
  <c r="E136" i="20"/>
  <c r="I136" i="20" s="1"/>
  <c r="J136" i="20" s="1"/>
  <c r="K136" i="20" s="1"/>
  <c r="E128" i="20"/>
  <c r="J120" i="6"/>
  <c r="E117" i="20"/>
  <c r="I117" i="20" s="1"/>
  <c r="J117" i="20" s="1"/>
  <c r="K117" i="20" s="1"/>
  <c r="I116" i="22"/>
  <c r="J116" i="22" s="1"/>
  <c r="K116" i="22" s="1"/>
  <c r="J112" i="6"/>
  <c r="E109" i="20"/>
  <c r="I109" i="20" s="1"/>
  <c r="J109" i="20" s="1"/>
  <c r="K109" i="20" s="1"/>
  <c r="I108" i="22"/>
  <c r="J108" i="22" s="1"/>
  <c r="K108" i="22" s="1"/>
  <c r="E101" i="20"/>
  <c r="J92" i="6"/>
  <c r="E90" i="20"/>
  <c r="I90" i="20" s="1"/>
  <c r="J90" i="20" s="1"/>
  <c r="K90" i="20" s="1"/>
  <c r="I89" i="22"/>
  <c r="J89" i="22" s="1"/>
  <c r="K89" i="22" s="1"/>
  <c r="E82" i="20"/>
  <c r="J16" i="6"/>
  <c r="E16" i="20"/>
  <c r="I16" i="20" s="1"/>
  <c r="J16" i="20" s="1"/>
  <c r="K16" i="20" s="1"/>
  <c r="I16" i="22"/>
  <c r="J16" i="22" s="1"/>
  <c r="K16" i="22" s="1"/>
  <c r="E8" i="20"/>
  <c r="J369" i="6"/>
  <c r="E361" i="20"/>
  <c r="E325" i="20"/>
  <c r="J293" i="6"/>
  <c r="E285" i="20"/>
  <c r="J237" i="6"/>
  <c r="E229" i="20"/>
  <c r="E175" i="20"/>
  <c r="E129" i="20"/>
  <c r="J93" i="6"/>
  <c r="E91" i="20"/>
  <c r="I91" i="20" s="1"/>
  <c r="J91" i="20" s="1"/>
  <c r="K91" i="20" s="1"/>
  <c r="I90" i="22"/>
  <c r="J90" i="22" s="1"/>
  <c r="K90" i="22" s="1"/>
  <c r="J367" i="6"/>
  <c r="E359" i="20"/>
  <c r="E351" i="20"/>
  <c r="J339" i="6"/>
  <c r="E331" i="20"/>
  <c r="E323" i="20"/>
  <c r="J311" i="6"/>
  <c r="E303" i="20"/>
  <c r="E295" i="20"/>
  <c r="J291" i="6"/>
  <c r="E283" i="20"/>
  <c r="E275" i="20"/>
  <c r="J243" i="6"/>
  <c r="E235" i="20"/>
  <c r="E227" i="20"/>
  <c r="J223" i="6"/>
  <c r="I215" i="22"/>
  <c r="J215" i="22" s="1"/>
  <c r="K215" i="22" s="1"/>
  <c r="E216" i="20"/>
  <c r="I216" i="20" s="1"/>
  <c r="J216" i="20" s="1"/>
  <c r="K216" i="20" s="1"/>
  <c r="J215" i="6"/>
  <c r="I207" i="22"/>
  <c r="J207" i="22" s="1"/>
  <c r="K207" i="22" s="1"/>
  <c r="E208" i="20"/>
  <c r="I208" i="20" s="1"/>
  <c r="J208" i="20" s="1"/>
  <c r="K208" i="20" s="1"/>
  <c r="E200" i="20"/>
  <c r="J195" i="6"/>
  <c r="E189" i="20"/>
  <c r="I189" i="20" s="1"/>
  <c r="J189" i="20" s="1"/>
  <c r="K189" i="20" s="1"/>
  <c r="I188" i="22"/>
  <c r="J188" i="22" s="1"/>
  <c r="K188" i="22" s="1"/>
  <c r="J187" i="6"/>
  <c r="E181" i="20"/>
  <c r="I181" i="20" s="1"/>
  <c r="J181" i="20" s="1"/>
  <c r="K181" i="20" s="1"/>
  <c r="I180" i="22"/>
  <c r="J180" i="22" s="1"/>
  <c r="K180" i="22" s="1"/>
  <c r="J167" i="6"/>
  <c r="I161" i="22"/>
  <c r="J161" i="22" s="1"/>
  <c r="K161" i="22" s="1"/>
  <c r="E162" i="20"/>
  <c r="I162" i="20" s="1"/>
  <c r="J162" i="20" s="1"/>
  <c r="K162" i="20" s="1"/>
  <c r="E154" i="20"/>
  <c r="J147" i="6"/>
  <c r="I142" i="22"/>
  <c r="J142" i="22" s="1"/>
  <c r="K142" i="22" s="1"/>
  <c r="E143" i="20"/>
  <c r="I143" i="20" s="1"/>
  <c r="J143" i="20" s="1"/>
  <c r="K143" i="20" s="1"/>
  <c r="J139" i="6"/>
  <c r="E135" i="20"/>
  <c r="I135" i="20" s="1"/>
  <c r="J135" i="20" s="1"/>
  <c r="K135" i="20" s="1"/>
  <c r="I134" i="22"/>
  <c r="J134" i="22" s="1"/>
  <c r="K134" i="22" s="1"/>
  <c r="E127" i="20"/>
  <c r="J119" i="6"/>
  <c r="E116" i="20"/>
  <c r="I116" i="20" s="1"/>
  <c r="J116" i="20" s="1"/>
  <c r="K116" i="20" s="1"/>
  <c r="I115" i="22"/>
  <c r="J115" i="22" s="1"/>
  <c r="K115" i="22" s="1"/>
  <c r="J111" i="6"/>
  <c r="E108" i="20"/>
  <c r="I108" i="20" s="1"/>
  <c r="J108" i="20" s="1"/>
  <c r="K108" i="20" s="1"/>
  <c r="I107" i="22"/>
  <c r="J107" i="22" s="1"/>
  <c r="K107" i="22" s="1"/>
  <c r="E100" i="20"/>
  <c r="J91" i="6"/>
  <c r="I88" i="22"/>
  <c r="J88" i="22" s="1"/>
  <c r="K88" i="22" s="1"/>
  <c r="E89" i="20"/>
  <c r="I89" i="20" s="1"/>
  <c r="J89" i="20" s="1"/>
  <c r="K89" i="20" s="1"/>
  <c r="E81" i="20"/>
  <c r="E23" i="20"/>
  <c r="I23" i="20" s="1"/>
  <c r="J23" i="20" s="1"/>
  <c r="K23" i="20" s="1"/>
  <c r="J15" i="6"/>
  <c r="I15" i="22"/>
  <c r="J15" i="22" s="1"/>
  <c r="K15" i="22" s="1"/>
  <c r="E15" i="20"/>
  <c r="I15" i="20" s="1"/>
  <c r="J15" i="20" s="1"/>
  <c r="K15" i="20" s="1"/>
  <c r="E7" i="20"/>
  <c r="J361" i="6"/>
  <c r="E353" i="20"/>
  <c r="J197" i="6"/>
  <c r="E191" i="20"/>
  <c r="I191" i="20" s="1"/>
  <c r="J191" i="20" s="1"/>
  <c r="K191" i="20" s="1"/>
  <c r="I190" i="22"/>
  <c r="J190" i="22" s="1"/>
  <c r="K190" i="22" s="1"/>
  <c r="J347" i="6"/>
  <c r="E339" i="20"/>
  <c r="J319" i="6"/>
  <c r="E311" i="20"/>
  <c r="E173" i="20"/>
  <c r="E3" i="20"/>
  <c r="J366" i="6"/>
  <c r="E358" i="20"/>
  <c r="E350" i="20"/>
  <c r="J346" i="6"/>
  <c r="E338" i="20"/>
  <c r="J338" i="6"/>
  <c r="E330" i="20"/>
  <c r="E322" i="20"/>
  <c r="J318" i="6"/>
  <c r="E310" i="20"/>
  <c r="E302" i="20"/>
  <c r="J298" i="6"/>
  <c r="E290" i="20"/>
  <c r="J290" i="6"/>
  <c r="E282" i="20"/>
  <c r="E274" i="20"/>
  <c r="J242" i="6"/>
  <c r="E234" i="20"/>
  <c r="E226" i="20"/>
  <c r="J222" i="6"/>
  <c r="E215" i="20"/>
  <c r="I215" i="20" s="1"/>
  <c r="J215" i="20" s="1"/>
  <c r="K215" i="20" s="1"/>
  <c r="I214" i="22"/>
  <c r="J214" i="22" s="1"/>
  <c r="K214" i="22" s="1"/>
  <c r="J214" i="6"/>
  <c r="E207" i="20"/>
  <c r="I207" i="20" s="1"/>
  <c r="J207" i="20" s="1"/>
  <c r="K207" i="20" s="1"/>
  <c r="I206" i="22"/>
  <c r="J206" i="22" s="1"/>
  <c r="K206" i="22" s="1"/>
  <c r="E199" i="20"/>
  <c r="J194" i="6"/>
  <c r="I187" i="22"/>
  <c r="J187" i="22" s="1"/>
  <c r="K187" i="22" s="1"/>
  <c r="E188" i="20"/>
  <c r="I188" i="20" s="1"/>
  <c r="J188" i="20" s="1"/>
  <c r="K188" i="20" s="1"/>
  <c r="J186" i="6"/>
  <c r="I179" i="22"/>
  <c r="J179" i="22" s="1"/>
  <c r="K179" i="22" s="1"/>
  <c r="E180" i="20"/>
  <c r="I180" i="20" s="1"/>
  <c r="J180" i="20" s="1"/>
  <c r="K180" i="20" s="1"/>
  <c r="E172" i="20"/>
  <c r="J166" i="6"/>
  <c r="I160" i="22"/>
  <c r="J160" i="22" s="1"/>
  <c r="K160" i="22" s="1"/>
  <c r="E161" i="20"/>
  <c r="I161" i="20" s="1"/>
  <c r="J161" i="20" s="1"/>
  <c r="K161" i="20" s="1"/>
  <c r="E153" i="20"/>
  <c r="J146" i="6"/>
  <c r="E142" i="20"/>
  <c r="I142" i="20" s="1"/>
  <c r="J142" i="20" s="1"/>
  <c r="K142" i="20" s="1"/>
  <c r="I141" i="22"/>
  <c r="J141" i="22" s="1"/>
  <c r="K141" i="22" s="1"/>
  <c r="J138" i="6"/>
  <c r="E134" i="20"/>
  <c r="I134" i="20" s="1"/>
  <c r="J134" i="20" s="1"/>
  <c r="K134" i="20" s="1"/>
  <c r="I133" i="22"/>
  <c r="J133" i="22" s="1"/>
  <c r="K133" i="22" s="1"/>
  <c r="E126" i="20"/>
  <c r="J118" i="6"/>
  <c r="I114" i="22"/>
  <c r="J114" i="22" s="1"/>
  <c r="K114" i="22" s="1"/>
  <c r="E115" i="20"/>
  <c r="I115" i="20" s="1"/>
  <c r="J115" i="20" s="1"/>
  <c r="K115" i="20" s="1"/>
  <c r="E107" i="20"/>
  <c r="J98" i="6"/>
  <c r="I95" i="22"/>
  <c r="J95" i="22" s="1"/>
  <c r="K95" i="22" s="1"/>
  <c r="E96" i="20"/>
  <c r="I96" i="20" s="1"/>
  <c r="J96" i="20" s="1"/>
  <c r="K96" i="20" s="1"/>
  <c r="J90" i="6"/>
  <c r="I87" i="22"/>
  <c r="J87" i="22" s="1"/>
  <c r="K87" i="22" s="1"/>
  <c r="E88" i="20"/>
  <c r="I88" i="20" s="1"/>
  <c r="J88" i="20" s="1"/>
  <c r="K88" i="20" s="1"/>
  <c r="E80" i="20"/>
  <c r="J22" i="6"/>
  <c r="E22" i="20"/>
  <c r="I22" i="20" s="1"/>
  <c r="J22" i="20" s="1"/>
  <c r="K22" i="20" s="1"/>
  <c r="I22" i="22"/>
  <c r="J22" i="22" s="1"/>
  <c r="K22" i="22" s="1"/>
  <c r="J14" i="6"/>
  <c r="E14" i="20"/>
  <c r="I14" i="20" s="1"/>
  <c r="J14" i="20" s="1"/>
  <c r="K14" i="20" s="1"/>
  <c r="I14" i="22"/>
  <c r="J14" i="22" s="1"/>
  <c r="K14" i="22" s="1"/>
  <c r="E6" i="20"/>
  <c r="E277" i="20"/>
  <c r="J373" i="6"/>
  <c r="E365" i="20"/>
  <c r="J365" i="6"/>
  <c r="E357" i="20"/>
  <c r="J345" i="6"/>
  <c r="E337" i="20"/>
  <c r="J337" i="6"/>
  <c r="E329" i="20"/>
  <c r="E321" i="20"/>
  <c r="J317" i="6"/>
  <c r="E309" i="20"/>
  <c r="J297" i="6"/>
  <c r="E289" i="20"/>
  <c r="J289" i="6"/>
  <c r="E281" i="20"/>
  <c r="E273" i="20"/>
  <c r="J241" i="6"/>
  <c r="E233" i="20"/>
  <c r="E225" i="20"/>
  <c r="J221" i="6"/>
  <c r="I213" i="22"/>
  <c r="J213" i="22" s="1"/>
  <c r="K213" i="22" s="1"/>
  <c r="E214" i="20"/>
  <c r="I214" i="20" s="1"/>
  <c r="J214" i="20" s="1"/>
  <c r="K214" i="20" s="1"/>
  <c r="J213" i="6"/>
  <c r="I205" i="22"/>
  <c r="J205" i="22" s="1"/>
  <c r="K205" i="22" s="1"/>
  <c r="E206" i="20"/>
  <c r="I206" i="20" s="1"/>
  <c r="J206" i="20" s="1"/>
  <c r="K206" i="20" s="1"/>
  <c r="E198" i="20"/>
  <c r="J193" i="6"/>
  <c r="I186" i="22"/>
  <c r="J186" i="22" s="1"/>
  <c r="K186" i="22" s="1"/>
  <c r="E187" i="20"/>
  <c r="I187" i="20" s="1"/>
  <c r="J187" i="20" s="1"/>
  <c r="K187" i="20" s="1"/>
  <c r="E179" i="20"/>
  <c r="J173" i="6"/>
  <c r="E168" i="20"/>
  <c r="I168" i="20" s="1"/>
  <c r="J168" i="20" s="1"/>
  <c r="K168" i="20" s="1"/>
  <c r="I167" i="22"/>
  <c r="J167" i="22" s="1"/>
  <c r="K167" i="22" s="1"/>
  <c r="J165" i="6"/>
  <c r="E160" i="20"/>
  <c r="I160" i="20" s="1"/>
  <c r="J160" i="20" s="1"/>
  <c r="K160" i="20" s="1"/>
  <c r="I159" i="22"/>
  <c r="J159" i="22" s="1"/>
  <c r="K159" i="22" s="1"/>
  <c r="E152" i="20"/>
  <c r="J145" i="6"/>
  <c r="I140" i="22"/>
  <c r="J140" i="22" s="1"/>
  <c r="K140" i="22" s="1"/>
  <c r="E141" i="20"/>
  <c r="I141" i="20" s="1"/>
  <c r="J141" i="20" s="1"/>
  <c r="K141" i="20" s="1"/>
  <c r="E125" i="20"/>
  <c r="J117" i="6"/>
  <c r="I113" i="22"/>
  <c r="J113" i="22" s="1"/>
  <c r="K113" i="22" s="1"/>
  <c r="E114" i="20"/>
  <c r="I114" i="20" s="1"/>
  <c r="J114" i="20" s="1"/>
  <c r="K114" i="20" s="1"/>
  <c r="E106" i="20"/>
  <c r="J97" i="6"/>
  <c r="E95" i="20"/>
  <c r="I95" i="20" s="1"/>
  <c r="J95" i="20" s="1"/>
  <c r="K95" i="20" s="1"/>
  <c r="I94" i="22"/>
  <c r="J94" i="22" s="1"/>
  <c r="K94" i="22" s="1"/>
  <c r="J89" i="6"/>
  <c r="E87" i="20"/>
  <c r="I87" i="20" s="1"/>
  <c r="J87" i="20" s="1"/>
  <c r="K87" i="20" s="1"/>
  <c r="I86" i="22"/>
  <c r="J86" i="22" s="1"/>
  <c r="K86" i="22" s="1"/>
  <c r="E79" i="20"/>
  <c r="J21" i="6"/>
  <c r="I21" i="22"/>
  <c r="J21" i="22" s="1"/>
  <c r="K21" i="22" s="1"/>
  <c r="E21" i="20"/>
  <c r="I21" i="20" s="1"/>
  <c r="J21" i="20" s="1"/>
  <c r="K21" i="20" s="1"/>
  <c r="J13" i="6"/>
  <c r="I13" i="22"/>
  <c r="J13" i="22" s="1"/>
  <c r="K13" i="22" s="1"/>
  <c r="E13" i="20"/>
  <c r="I13" i="20" s="1"/>
  <c r="J13" i="20" s="1"/>
  <c r="K13" i="20" s="1"/>
  <c r="E5" i="20"/>
  <c r="J321" i="6"/>
  <c r="E313" i="20"/>
  <c r="E202" i="20"/>
  <c r="J161" i="6"/>
  <c r="I155" i="22"/>
  <c r="J155" i="22" s="1"/>
  <c r="K155" i="22" s="1"/>
  <c r="E156" i="20"/>
  <c r="I156" i="20" s="1"/>
  <c r="J156" i="20" s="1"/>
  <c r="K156" i="20" s="1"/>
  <c r="J113" i="6"/>
  <c r="I109" i="22"/>
  <c r="J109" i="22" s="1"/>
  <c r="K109" i="22" s="1"/>
  <c r="E110" i="20"/>
  <c r="I110" i="20" s="1"/>
  <c r="J110" i="20" s="1"/>
  <c r="K110" i="20" s="1"/>
  <c r="E349" i="20"/>
  <c r="E301" i="20"/>
  <c r="J137" i="6"/>
  <c r="I132" i="22"/>
  <c r="J132" i="22" s="1"/>
  <c r="K132" i="22" s="1"/>
  <c r="E133" i="20"/>
  <c r="I133" i="20" s="1"/>
  <c r="J133" i="20" s="1"/>
  <c r="K133" i="20" s="1"/>
  <c r="J372" i="6"/>
  <c r="E364" i="20"/>
  <c r="J364" i="6"/>
  <c r="E356" i="20"/>
  <c r="E348" i="20"/>
  <c r="J344" i="6"/>
  <c r="E336" i="20"/>
  <c r="J336" i="6"/>
  <c r="E328" i="20"/>
  <c r="I328" i="6"/>
  <c r="E320" i="20"/>
  <c r="J316" i="6"/>
  <c r="E308" i="20"/>
  <c r="E300" i="20"/>
  <c r="J296" i="6"/>
  <c r="E288" i="20"/>
  <c r="J288" i="6"/>
  <c r="E280" i="20"/>
  <c r="E272" i="20"/>
  <c r="J248" i="6"/>
  <c r="E240" i="20"/>
  <c r="H240" i="20" s="1"/>
  <c r="J240" i="6"/>
  <c r="E232" i="20"/>
  <c r="E224" i="20"/>
  <c r="J220" i="6"/>
  <c r="I212" i="22"/>
  <c r="J212" i="22" s="1"/>
  <c r="K212" i="22" s="1"/>
  <c r="E213" i="20"/>
  <c r="I213" i="20" s="1"/>
  <c r="J213" i="20" s="1"/>
  <c r="K213" i="20" s="1"/>
  <c r="J212" i="6"/>
  <c r="I204" i="22"/>
  <c r="J204" i="22" s="1"/>
  <c r="K204" i="22" s="1"/>
  <c r="E205" i="20"/>
  <c r="I205" i="20" s="1"/>
  <c r="J205" i="20" s="1"/>
  <c r="K205" i="20" s="1"/>
  <c r="E197" i="20"/>
  <c r="J192" i="6"/>
  <c r="E186" i="20"/>
  <c r="I186" i="20" s="1"/>
  <c r="J186" i="20" s="1"/>
  <c r="K186" i="20" s="1"/>
  <c r="I185" i="22"/>
  <c r="J185" i="22" s="1"/>
  <c r="K185" i="22" s="1"/>
  <c r="E178" i="20"/>
  <c r="J172" i="6"/>
  <c r="I166" i="22"/>
  <c r="J166" i="22" s="1"/>
  <c r="K166" i="22" s="1"/>
  <c r="E167" i="20"/>
  <c r="I167" i="20" s="1"/>
  <c r="J167" i="20" s="1"/>
  <c r="K167" i="20" s="1"/>
  <c r="J164" i="6"/>
  <c r="I158" i="22"/>
  <c r="J158" i="22" s="1"/>
  <c r="K158" i="22" s="1"/>
  <c r="E159" i="20"/>
  <c r="I159" i="20" s="1"/>
  <c r="J159" i="20" s="1"/>
  <c r="K159" i="20" s="1"/>
  <c r="E151" i="20"/>
  <c r="J144" i="6"/>
  <c r="I139" i="22"/>
  <c r="J139" i="22" s="1"/>
  <c r="K139" i="22" s="1"/>
  <c r="E140" i="20"/>
  <c r="I140" i="20" s="1"/>
  <c r="J140" i="20" s="1"/>
  <c r="K140" i="20" s="1"/>
  <c r="J136" i="6"/>
  <c r="I131" i="22"/>
  <c r="J131" i="22" s="1"/>
  <c r="K131" i="22" s="1"/>
  <c r="E132" i="20"/>
  <c r="I132" i="20" s="1"/>
  <c r="J132" i="20" s="1"/>
  <c r="K132" i="20" s="1"/>
  <c r="E124" i="20"/>
  <c r="J116" i="6"/>
  <c r="E113" i="20"/>
  <c r="I113" i="20" s="1"/>
  <c r="J113" i="20" s="1"/>
  <c r="K113" i="20" s="1"/>
  <c r="I112" i="22"/>
  <c r="J112" i="22" s="1"/>
  <c r="K112" i="22" s="1"/>
  <c r="E105" i="20"/>
  <c r="J96" i="6"/>
  <c r="I93" i="22"/>
  <c r="J93" i="22" s="1"/>
  <c r="K93" i="22" s="1"/>
  <c r="E94" i="20"/>
  <c r="I94" i="20" s="1"/>
  <c r="J94" i="20" s="1"/>
  <c r="K94" i="20" s="1"/>
  <c r="J88" i="6"/>
  <c r="I85" i="22"/>
  <c r="J85" i="22" s="1"/>
  <c r="K85" i="22" s="1"/>
  <c r="E86" i="20"/>
  <c r="I86" i="20" s="1"/>
  <c r="J86" i="20" s="1"/>
  <c r="K86" i="20" s="1"/>
  <c r="E78" i="20"/>
  <c r="J20" i="6"/>
  <c r="E20" i="20"/>
  <c r="I20" i="20" s="1"/>
  <c r="J20" i="20" s="1"/>
  <c r="K20" i="20" s="1"/>
  <c r="I20" i="22"/>
  <c r="J20" i="22" s="1"/>
  <c r="K20" i="22" s="1"/>
  <c r="J12" i="6"/>
  <c r="E12" i="20"/>
  <c r="I12" i="20" s="1"/>
  <c r="J12" i="20" s="1"/>
  <c r="K12" i="20" s="1"/>
  <c r="I12" i="22"/>
  <c r="J12" i="22" s="1"/>
  <c r="K12" i="22" s="1"/>
  <c r="E4" i="20"/>
  <c r="E345" i="20"/>
  <c r="E297" i="20"/>
  <c r="J245" i="6"/>
  <c r="E237" i="20"/>
  <c r="J189" i="6"/>
  <c r="E183" i="20"/>
  <c r="I183" i="20" s="1"/>
  <c r="J183" i="20" s="1"/>
  <c r="K183" i="20" s="1"/>
  <c r="I182" i="22"/>
  <c r="J182" i="22" s="1"/>
  <c r="K182" i="22" s="1"/>
  <c r="E148" i="20"/>
  <c r="E102" i="20"/>
  <c r="J371" i="6"/>
  <c r="E363" i="20"/>
  <c r="J363" i="6"/>
  <c r="E355" i="20"/>
  <c r="E347" i="20"/>
  <c r="J343" i="6"/>
  <c r="E335" i="20"/>
  <c r="E327" i="20"/>
  <c r="J323" i="6"/>
  <c r="E315" i="20"/>
  <c r="J315" i="6"/>
  <c r="E307" i="20"/>
  <c r="E299" i="20"/>
  <c r="J295" i="6"/>
  <c r="E287" i="20"/>
  <c r="J287" i="6"/>
  <c r="E279" i="20"/>
  <c r="E271" i="20"/>
  <c r="J247" i="6"/>
  <c r="E239" i="20"/>
  <c r="J239" i="6"/>
  <c r="E231" i="20"/>
  <c r="E223" i="20"/>
  <c r="J219" i="6"/>
  <c r="E212" i="20"/>
  <c r="I212" i="20" s="1"/>
  <c r="J212" i="20" s="1"/>
  <c r="K212" i="20" s="1"/>
  <c r="I211" i="22"/>
  <c r="J211" i="22" s="1"/>
  <c r="K211" i="22" s="1"/>
  <c r="J211" i="6"/>
  <c r="E204" i="20"/>
  <c r="I204" i="20" s="1"/>
  <c r="J204" i="20" s="1"/>
  <c r="K204" i="20" s="1"/>
  <c r="I203" i="22"/>
  <c r="J203" i="22" s="1"/>
  <c r="K203" i="22" s="1"/>
  <c r="E196" i="20"/>
  <c r="J191" i="6"/>
  <c r="I184" i="22"/>
  <c r="J184" i="22" s="1"/>
  <c r="K184" i="22" s="1"/>
  <c r="E185" i="20"/>
  <c r="I185" i="20" s="1"/>
  <c r="J185" i="20" s="1"/>
  <c r="K185" i="20" s="1"/>
  <c r="E177" i="20"/>
  <c r="J171" i="6"/>
  <c r="I165" i="22"/>
  <c r="J165" i="22" s="1"/>
  <c r="K165" i="22" s="1"/>
  <c r="E166" i="20"/>
  <c r="I166" i="20" s="1"/>
  <c r="J166" i="20" s="1"/>
  <c r="K166" i="20" s="1"/>
  <c r="J163" i="6"/>
  <c r="I157" i="22"/>
  <c r="J157" i="22" s="1"/>
  <c r="K157" i="22" s="1"/>
  <c r="E158" i="20"/>
  <c r="I158" i="20" s="1"/>
  <c r="J158" i="20" s="1"/>
  <c r="K158" i="20" s="1"/>
  <c r="E150" i="20"/>
  <c r="J143" i="6"/>
  <c r="E139" i="20"/>
  <c r="I139" i="20" s="1"/>
  <c r="J139" i="20" s="1"/>
  <c r="K139" i="20" s="1"/>
  <c r="I138" i="22"/>
  <c r="J138" i="22" s="1"/>
  <c r="K138" i="22" s="1"/>
  <c r="E131" i="20"/>
  <c r="J123" i="6"/>
  <c r="I119" i="22"/>
  <c r="J119" i="22" s="1"/>
  <c r="K119" i="22" s="1"/>
  <c r="E120" i="20"/>
  <c r="I120" i="20" s="1"/>
  <c r="J120" i="20" s="1"/>
  <c r="K120" i="20" s="1"/>
  <c r="J115" i="6"/>
  <c r="I111" i="22"/>
  <c r="J111" i="22" s="1"/>
  <c r="K111" i="22" s="1"/>
  <c r="E112" i="20"/>
  <c r="I112" i="20" s="1"/>
  <c r="J112" i="20" s="1"/>
  <c r="K112" i="20" s="1"/>
  <c r="E104" i="20"/>
  <c r="J95" i="6"/>
  <c r="E93" i="20"/>
  <c r="I93" i="20" s="1"/>
  <c r="J93" i="20" s="1"/>
  <c r="K93" i="20" s="1"/>
  <c r="I92" i="22"/>
  <c r="J92" i="22" s="1"/>
  <c r="K92" i="22" s="1"/>
  <c r="J87" i="6"/>
  <c r="E85" i="20"/>
  <c r="I85" i="20" s="1"/>
  <c r="J85" i="20" s="1"/>
  <c r="K85" i="20" s="1"/>
  <c r="I84" i="22"/>
  <c r="J84" i="22" s="1"/>
  <c r="K84" i="22" s="1"/>
  <c r="E77" i="20"/>
  <c r="J19" i="6"/>
  <c r="I19" i="22"/>
  <c r="J19" i="22" s="1"/>
  <c r="K19" i="22" s="1"/>
  <c r="E19" i="20"/>
  <c r="I19" i="20" s="1"/>
  <c r="J19" i="20" s="1"/>
  <c r="K19" i="20" s="1"/>
  <c r="J11" i="6"/>
  <c r="I11" i="22"/>
  <c r="J11" i="22" s="1"/>
  <c r="K11" i="22" s="1"/>
  <c r="E11" i="20"/>
  <c r="I11" i="20" s="1"/>
  <c r="J11" i="20" s="1"/>
  <c r="K11" i="20" s="1"/>
  <c r="J341" i="6"/>
  <c r="E333" i="20"/>
  <c r="J217" i="6"/>
  <c r="I209" i="22"/>
  <c r="J209" i="22" s="1"/>
  <c r="K209" i="22" s="1"/>
  <c r="E210" i="20"/>
  <c r="I210" i="20" s="1"/>
  <c r="J210" i="20" s="1"/>
  <c r="K210" i="20" s="1"/>
  <c r="E9" i="20"/>
  <c r="J370" i="6"/>
  <c r="E362" i="20"/>
  <c r="J362" i="6"/>
  <c r="E354" i="20"/>
  <c r="J354" i="6"/>
  <c r="E346" i="20"/>
  <c r="J342" i="6"/>
  <c r="E334" i="20"/>
  <c r="E326" i="20"/>
  <c r="J322" i="6"/>
  <c r="E314" i="20"/>
  <c r="J314" i="6"/>
  <c r="E306" i="20"/>
  <c r="J306" i="6"/>
  <c r="E298" i="20"/>
  <c r="J294" i="6"/>
  <c r="E286" i="20"/>
  <c r="J286" i="6"/>
  <c r="E278" i="20"/>
  <c r="E270" i="20"/>
  <c r="J246" i="6"/>
  <c r="E238" i="20"/>
  <c r="J238" i="6"/>
  <c r="E230" i="20"/>
  <c r="E222" i="20"/>
  <c r="J218" i="6"/>
  <c r="I210" i="22"/>
  <c r="J210" i="22" s="1"/>
  <c r="K210" i="22" s="1"/>
  <c r="E211" i="20"/>
  <c r="I211" i="20" s="1"/>
  <c r="J211" i="20" s="1"/>
  <c r="K211" i="20" s="1"/>
  <c r="J210" i="6"/>
  <c r="E203" i="20"/>
  <c r="J198" i="6"/>
  <c r="I191" i="22"/>
  <c r="J191" i="22" s="1"/>
  <c r="K191" i="22" s="1"/>
  <c r="E192" i="20"/>
  <c r="I192" i="20" s="1"/>
  <c r="J192" i="20" s="1"/>
  <c r="K192" i="20" s="1"/>
  <c r="J190" i="6"/>
  <c r="I183" i="22"/>
  <c r="J183" i="22" s="1"/>
  <c r="K183" i="22" s="1"/>
  <c r="E184" i="20"/>
  <c r="I184" i="20" s="1"/>
  <c r="J184" i="20" s="1"/>
  <c r="K184" i="20" s="1"/>
  <c r="E176" i="20"/>
  <c r="J170" i="6"/>
  <c r="E165" i="20"/>
  <c r="I165" i="20" s="1"/>
  <c r="J165" i="20" s="1"/>
  <c r="K165" i="20" s="1"/>
  <c r="I164" i="22"/>
  <c r="J164" i="22" s="1"/>
  <c r="K164" i="22" s="1"/>
  <c r="J162" i="6"/>
  <c r="E157" i="20"/>
  <c r="I157" i="20" s="1"/>
  <c r="J157" i="20" s="1"/>
  <c r="K157" i="20" s="1"/>
  <c r="I156" i="22"/>
  <c r="J156" i="22" s="1"/>
  <c r="K156" i="22" s="1"/>
  <c r="E149" i="20"/>
  <c r="J142" i="6"/>
  <c r="I137" i="22"/>
  <c r="J137" i="22" s="1"/>
  <c r="K137" i="22" s="1"/>
  <c r="E138" i="20"/>
  <c r="I138" i="20" s="1"/>
  <c r="J138" i="20" s="1"/>
  <c r="K138" i="20" s="1"/>
  <c r="E130" i="20"/>
  <c r="J122" i="6"/>
  <c r="E119" i="20"/>
  <c r="I119" i="20" s="1"/>
  <c r="J119" i="20" s="1"/>
  <c r="K119" i="20" s="1"/>
  <c r="I118" i="22"/>
  <c r="J118" i="22" s="1"/>
  <c r="K118" i="22" s="1"/>
  <c r="J114" i="6"/>
  <c r="E111" i="20"/>
  <c r="I111" i="20" s="1"/>
  <c r="J111" i="20" s="1"/>
  <c r="K111" i="20" s="1"/>
  <c r="I110" i="22"/>
  <c r="J110" i="22" s="1"/>
  <c r="K110" i="22" s="1"/>
  <c r="E103" i="20"/>
  <c r="J94" i="6"/>
  <c r="I91" i="22"/>
  <c r="J91" i="22" s="1"/>
  <c r="K91" i="22" s="1"/>
  <c r="E92" i="20"/>
  <c r="I92" i="20" s="1"/>
  <c r="J92" i="20" s="1"/>
  <c r="K92" i="20" s="1"/>
  <c r="J86" i="6"/>
  <c r="I83" i="22"/>
  <c r="J83" i="22" s="1"/>
  <c r="K83" i="22" s="1"/>
  <c r="E84" i="20"/>
  <c r="I84" i="20" s="1"/>
  <c r="J84" i="20" s="1"/>
  <c r="K84" i="20" s="1"/>
  <c r="E76" i="20"/>
  <c r="J18" i="6"/>
  <c r="I18" i="22"/>
  <c r="J18" i="22" s="1"/>
  <c r="K18" i="22" s="1"/>
  <c r="E18" i="20"/>
  <c r="I18" i="20" s="1"/>
  <c r="J18" i="20" s="1"/>
  <c r="K18" i="20" s="1"/>
  <c r="E10" i="20"/>
  <c r="I23" i="4"/>
  <c r="J303" i="6"/>
  <c r="J235" i="6"/>
  <c r="I228" i="4"/>
  <c r="I372" i="4"/>
  <c r="I356" i="4"/>
  <c r="I344" i="4"/>
  <c r="I336" i="4"/>
  <c r="I328" i="4"/>
  <c r="I364" i="4"/>
  <c r="J359" i="6"/>
  <c r="I348" i="4"/>
  <c r="I340" i="4"/>
  <c r="I332" i="4"/>
  <c r="I360" i="4"/>
  <c r="I368" i="4"/>
  <c r="I318" i="4"/>
  <c r="I310" i="4"/>
  <c r="I298" i="4"/>
  <c r="I290" i="4"/>
  <c r="I282" i="4"/>
  <c r="I280" i="4"/>
  <c r="I334" i="4"/>
  <c r="I369" i="4"/>
  <c r="I361" i="4"/>
  <c r="I353" i="4"/>
  <c r="I341" i="4"/>
  <c r="I333" i="4"/>
  <c r="I308" i="4"/>
  <c r="I354" i="4"/>
  <c r="I320" i="4"/>
  <c r="I312" i="4"/>
  <c r="I304" i="4"/>
  <c r="I292" i="4"/>
  <c r="I284" i="4"/>
  <c r="J232" i="6"/>
  <c r="I316" i="4"/>
  <c r="I288" i="4"/>
  <c r="I370" i="4"/>
  <c r="I342" i="4"/>
  <c r="I319" i="4"/>
  <c r="I311" i="4"/>
  <c r="I303" i="4"/>
  <c r="I291" i="4"/>
  <c r="I283" i="4"/>
  <c r="I296" i="4"/>
  <c r="I362" i="4"/>
  <c r="I366" i="4"/>
  <c r="I358" i="4"/>
  <c r="I346" i="4"/>
  <c r="I338" i="4"/>
  <c r="I330" i="4"/>
  <c r="I355" i="4"/>
  <c r="I371" i="4"/>
  <c r="I343" i="4"/>
  <c r="I335" i="4"/>
  <c r="I272" i="4"/>
  <c r="I264" i="4"/>
  <c r="I256" i="4"/>
  <c r="I363" i="4"/>
  <c r="J328" i="6"/>
  <c r="J333" i="6"/>
  <c r="J285" i="6"/>
  <c r="J254" i="6"/>
  <c r="J253" i="6"/>
  <c r="J278" i="6"/>
  <c r="J332" i="6"/>
  <c r="J284" i="6"/>
  <c r="J280" i="6"/>
  <c r="J257" i="6"/>
  <c r="J355" i="6"/>
  <c r="J307" i="6"/>
  <c r="I317" i="4"/>
  <c r="I309" i="4"/>
  <c r="I297" i="4"/>
  <c r="I289" i="4"/>
  <c r="I281" i="4"/>
  <c r="I246" i="4"/>
  <c r="I238" i="4"/>
  <c r="I230" i="4"/>
  <c r="I245" i="4"/>
  <c r="I237" i="4"/>
  <c r="I229" i="4"/>
  <c r="I321" i="4"/>
  <c r="I313" i="4"/>
  <c r="I305" i="4"/>
  <c r="I293" i="4"/>
  <c r="I285" i="4"/>
  <c r="I367" i="4"/>
  <c r="I359" i="4"/>
  <c r="I347" i="4"/>
  <c r="I339" i="4"/>
  <c r="I331" i="4"/>
  <c r="I268" i="4"/>
  <c r="I260" i="4"/>
  <c r="I247" i="4"/>
  <c r="I239" i="4"/>
  <c r="I231" i="4"/>
  <c r="J234" i="6"/>
  <c r="J330" i="6"/>
  <c r="J282" i="6"/>
  <c r="J259" i="6"/>
  <c r="J255" i="6"/>
  <c r="J305" i="6"/>
  <c r="J357" i="6"/>
  <c r="J309" i="6"/>
  <c r="J230" i="6"/>
  <c r="J334" i="6"/>
  <c r="J360" i="6"/>
  <c r="J304" i="6"/>
  <c r="J233" i="6"/>
  <c r="J331" i="6"/>
  <c r="J283" i="6"/>
  <c r="J260" i="6"/>
  <c r="J358" i="6"/>
  <c r="J310" i="6"/>
  <c r="J231" i="6"/>
  <c r="J329" i="6"/>
  <c r="J281" i="6"/>
  <c r="J356" i="6"/>
  <c r="J308" i="6"/>
  <c r="J229" i="6"/>
  <c r="J353" i="6"/>
  <c r="J258" i="6"/>
  <c r="J335" i="6"/>
  <c r="J279" i="6"/>
  <c r="J256" i="6"/>
  <c r="I221" i="22" l="1"/>
  <c r="J221" i="22" s="1"/>
  <c r="K221" i="22" s="1"/>
  <c r="H221" i="22"/>
  <c r="H271" i="20"/>
  <c r="I271" i="20"/>
  <c r="J271" i="20" s="1"/>
  <c r="K271" i="20" s="1"/>
  <c r="I178" i="20"/>
  <c r="J178" i="20" s="1"/>
  <c r="K178" i="20" s="1"/>
  <c r="H178" i="20"/>
  <c r="H363" i="22"/>
  <c r="I363" i="22"/>
  <c r="J363" i="22" s="1"/>
  <c r="K363" i="22" s="1"/>
  <c r="H201" i="22"/>
  <c r="I201" i="22"/>
  <c r="J201" i="22" s="1"/>
  <c r="K201" i="22" s="1"/>
  <c r="H309" i="20"/>
  <c r="I309" i="20"/>
  <c r="J309" i="20" s="1"/>
  <c r="K309" i="20" s="1"/>
  <c r="I125" i="22"/>
  <c r="J125" i="22" s="1"/>
  <c r="K125" i="22" s="1"/>
  <c r="H125" i="22"/>
  <c r="I152" i="22"/>
  <c r="J152" i="22" s="1"/>
  <c r="K152" i="22" s="1"/>
  <c r="H152" i="22"/>
  <c r="H233" i="22"/>
  <c r="I233" i="22"/>
  <c r="J233" i="22" s="1"/>
  <c r="K233" i="22" s="1"/>
  <c r="H289" i="22"/>
  <c r="I289" i="22"/>
  <c r="J289" i="22" s="1"/>
  <c r="K289" i="22" s="1"/>
  <c r="H322" i="20"/>
  <c r="I322" i="20"/>
  <c r="J322" i="20" s="1"/>
  <c r="K322" i="20" s="1"/>
  <c r="H349" i="22"/>
  <c r="I349" i="22"/>
  <c r="J349" i="22" s="1"/>
  <c r="K349" i="22" s="1"/>
  <c r="H310" i="22"/>
  <c r="I310" i="22"/>
  <c r="J310" i="22" s="1"/>
  <c r="K310" i="22" s="1"/>
  <c r="I302" i="22"/>
  <c r="J302" i="22" s="1"/>
  <c r="K302" i="22" s="1"/>
  <c r="H302" i="22"/>
  <c r="H351" i="20"/>
  <c r="I351" i="20"/>
  <c r="J351" i="20" s="1"/>
  <c r="K351" i="20" s="1"/>
  <c r="I128" i="22"/>
  <c r="J128" i="22" s="1"/>
  <c r="K128" i="22" s="1"/>
  <c r="H128" i="22"/>
  <c r="H284" i="22"/>
  <c r="I284" i="22"/>
  <c r="J284" i="22" s="1"/>
  <c r="K284" i="22" s="1"/>
  <c r="H8" i="20"/>
  <c r="I8" i="20"/>
  <c r="J8" i="20" s="1"/>
  <c r="K8" i="20" s="1"/>
  <c r="I236" i="20"/>
  <c r="J236" i="20" s="1"/>
  <c r="K236" i="20" s="1"/>
  <c r="H236" i="20"/>
  <c r="H296" i="20"/>
  <c r="I296" i="20"/>
  <c r="J296" i="20" s="1"/>
  <c r="K296" i="20" s="1"/>
  <c r="H324" i="20"/>
  <c r="I324" i="20"/>
  <c r="J324" i="20" s="1"/>
  <c r="K324" i="20" s="1"/>
  <c r="I351" i="22"/>
  <c r="J351" i="22" s="1"/>
  <c r="K351" i="22" s="1"/>
  <c r="H351" i="22"/>
  <c r="H82" i="22"/>
  <c r="I82" i="22"/>
  <c r="J82" i="22" s="1"/>
  <c r="K82" i="22" s="1"/>
  <c r="I10" i="22"/>
  <c r="J10" i="22" s="1"/>
  <c r="K10" i="22" s="1"/>
  <c r="H10" i="22"/>
  <c r="H222" i="20"/>
  <c r="I222" i="20"/>
  <c r="J222" i="20" s="1"/>
  <c r="K222" i="20" s="1"/>
  <c r="H269" i="22"/>
  <c r="I269" i="22"/>
  <c r="J269" i="22" s="1"/>
  <c r="K269" i="22" s="1"/>
  <c r="I298" i="20"/>
  <c r="J298" i="20" s="1"/>
  <c r="K298" i="20" s="1"/>
  <c r="H298" i="20"/>
  <c r="I326" i="20"/>
  <c r="J326" i="20" s="1"/>
  <c r="K326" i="20" s="1"/>
  <c r="H326" i="20"/>
  <c r="H353" i="22"/>
  <c r="I353" i="22"/>
  <c r="J353" i="22" s="1"/>
  <c r="K353" i="22" s="1"/>
  <c r="I231" i="20"/>
  <c r="J231" i="20" s="1"/>
  <c r="K231" i="20" s="1"/>
  <c r="H231" i="20"/>
  <c r="I278" i="22"/>
  <c r="J278" i="22" s="1"/>
  <c r="K278" i="22" s="1"/>
  <c r="H278" i="22"/>
  <c r="I307" i="20"/>
  <c r="J307" i="20" s="1"/>
  <c r="K307" i="20" s="1"/>
  <c r="H307" i="20"/>
  <c r="I334" i="22"/>
  <c r="J334" i="22" s="1"/>
  <c r="K334" i="22" s="1"/>
  <c r="H334" i="22"/>
  <c r="H363" i="20"/>
  <c r="I363" i="20"/>
  <c r="J363" i="20" s="1"/>
  <c r="K363" i="20" s="1"/>
  <c r="H344" i="22"/>
  <c r="I344" i="22"/>
  <c r="J344" i="22" s="1"/>
  <c r="K344" i="22" s="1"/>
  <c r="I240" i="20"/>
  <c r="J240" i="20" s="1"/>
  <c r="K240" i="20" s="1"/>
  <c r="I288" i="20"/>
  <c r="J288" i="20" s="1"/>
  <c r="K288" i="20" s="1"/>
  <c r="H288" i="20"/>
  <c r="I320" i="20"/>
  <c r="J320" i="20" s="1"/>
  <c r="K320" i="20" s="1"/>
  <c r="H320" i="20"/>
  <c r="I313" i="20"/>
  <c r="J313" i="20" s="1"/>
  <c r="K313" i="20" s="1"/>
  <c r="H313" i="20"/>
  <c r="H125" i="20"/>
  <c r="I125" i="20"/>
  <c r="J125" i="20" s="1"/>
  <c r="K125" i="20" s="1"/>
  <c r="H273" i="20"/>
  <c r="I273" i="20"/>
  <c r="J273" i="20" s="1"/>
  <c r="K273" i="20" s="1"/>
  <c r="I308" i="22"/>
  <c r="J308" i="22" s="1"/>
  <c r="K308" i="22" s="1"/>
  <c r="H308" i="22"/>
  <c r="H336" i="22"/>
  <c r="I336" i="22"/>
  <c r="J336" i="22" s="1"/>
  <c r="K336" i="22" s="1"/>
  <c r="I277" i="20"/>
  <c r="J277" i="20" s="1"/>
  <c r="K277" i="20" s="1"/>
  <c r="H277" i="20"/>
  <c r="I126" i="20"/>
  <c r="J126" i="20" s="1"/>
  <c r="K126" i="20" s="1"/>
  <c r="H126" i="20"/>
  <c r="I153" i="20"/>
  <c r="J153" i="20" s="1"/>
  <c r="K153" i="20" s="1"/>
  <c r="H153" i="20"/>
  <c r="H329" i="22"/>
  <c r="I329" i="22"/>
  <c r="J329" i="22" s="1"/>
  <c r="K329" i="22" s="1"/>
  <c r="I358" i="20"/>
  <c r="J358" i="20" s="1"/>
  <c r="K358" i="20" s="1"/>
  <c r="H358" i="20"/>
  <c r="I311" i="20"/>
  <c r="J311" i="20" s="1"/>
  <c r="K311" i="20" s="1"/>
  <c r="H311" i="20"/>
  <c r="H353" i="20"/>
  <c r="I353" i="20"/>
  <c r="J353" i="20" s="1"/>
  <c r="K353" i="20" s="1"/>
  <c r="I99" i="22"/>
  <c r="J99" i="22" s="1"/>
  <c r="K99" i="22" s="1"/>
  <c r="H99" i="22"/>
  <c r="H126" i="22"/>
  <c r="I126" i="22"/>
  <c r="J126" i="22" s="1"/>
  <c r="K126" i="22" s="1"/>
  <c r="H154" i="20"/>
  <c r="I154" i="20"/>
  <c r="J154" i="20" s="1"/>
  <c r="K154" i="20" s="1"/>
  <c r="I275" i="20"/>
  <c r="J275" i="20" s="1"/>
  <c r="K275" i="20" s="1"/>
  <c r="H275" i="20"/>
  <c r="H303" i="20"/>
  <c r="I303" i="20"/>
  <c r="J303" i="20" s="1"/>
  <c r="K303" i="20" s="1"/>
  <c r="H350" i="22"/>
  <c r="I350" i="22"/>
  <c r="J350" i="22" s="1"/>
  <c r="K350" i="22" s="1"/>
  <c r="I129" i="20"/>
  <c r="J129" i="20" s="1"/>
  <c r="K129" i="20" s="1"/>
  <c r="H129" i="20"/>
  <c r="I100" i="22"/>
  <c r="J100" i="22" s="1"/>
  <c r="K100" i="22" s="1"/>
  <c r="H100" i="22"/>
  <c r="H128" i="20"/>
  <c r="I128" i="20"/>
  <c r="J128" i="20" s="1"/>
  <c r="K128" i="20" s="1"/>
  <c r="I154" i="22"/>
  <c r="J154" i="22" s="1"/>
  <c r="K154" i="22" s="1"/>
  <c r="H154" i="22"/>
  <c r="H235" i="22"/>
  <c r="I235" i="22"/>
  <c r="J235" i="22" s="1"/>
  <c r="K235" i="22" s="1"/>
  <c r="H295" i="22"/>
  <c r="I295" i="22"/>
  <c r="J295" i="22" s="1"/>
  <c r="K295" i="22" s="1"/>
  <c r="H323" i="22"/>
  <c r="I323" i="22"/>
  <c r="J323" i="22" s="1"/>
  <c r="K323" i="22" s="1"/>
  <c r="H352" i="20"/>
  <c r="I352" i="20"/>
  <c r="J352" i="20" s="1"/>
  <c r="K352" i="20" s="1"/>
  <c r="I83" i="20"/>
  <c r="J83" i="20" s="1"/>
  <c r="K83" i="20" s="1"/>
  <c r="H83" i="20"/>
  <c r="I196" i="20"/>
  <c r="J196" i="20" s="1"/>
  <c r="K196" i="20" s="1"/>
  <c r="H196" i="20"/>
  <c r="I327" i="20"/>
  <c r="J327" i="20" s="1"/>
  <c r="K327" i="20" s="1"/>
  <c r="H327" i="20"/>
  <c r="I123" i="22"/>
  <c r="J123" i="22" s="1"/>
  <c r="K123" i="22" s="1"/>
  <c r="H123" i="22"/>
  <c r="H272" i="22"/>
  <c r="I272" i="22"/>
  <c r="J272" i="22" s="1"/>
  <c r="K272" i="22" s="1"/>
  <c r="I176" i="20"/>
  <c r="J176" i="20" s="1"/>
  <c r="K176" i="20" s="1"/>
  <c r="H176" i="20"/>
  <c r="H203" i="20"/>
  <c r="I203" i="20"/>
  <c r="J203" i="20" s="1"/>
  <c r="K203" i="20" s="1"/>
  <c r="H229" i="22"/>
  <c r="I229" i="22"/>
  <c r="J229" i="22" s="1"/>
  <c r="K229" i="22" s="1"/>
  <c r="H278" i="20"/>
  <c r="I278" i="20"/>
  <c r="J278" i="20" s="1"/>
  <c r="K278" i="20" s="1"/>
  <c r="H150" i="20"/>
  <c r="I150" i="20"/>
  <c r="J150" i="20" s="1"/>
  <c r="K150" i="20" s="1"/>
  <c r="H177" i="20"/>
  <c r="I177" i="20"/>
  <c r="J177" i="20" s="1"/>
  <c r="K177" i="20" s="1"/>
  <c r="I230" i="22"/>
  <c r="J230" i="22" s="1"/>
  <c r="K230" i="22" s="1"/>
  <c r="H230" i="22"/>
  <c r="I279" i="20"/>
  <c r="J279" i="20" s="1"/>
  <c r="K279" i="20" s="1"/>
  <c r="H279" i="20"/>
  <c r="H306" i="22"/>
  <c r="I306" i="22"/>
  <c r="J306" i="22" s="1"/>
  <c r="K306" i="22" s="1"/>
  <c r="I335" i="20"/>
  <c r="J335" i="20" s="1"/>
  <c r="K335" i="20" s="1"/>
  <c r="H335" i="20"/>
  <c r="I362" i="22"/>
  <c r="J362" i="22" s="1"/>
  <c r="K362" i="22" s="1"/>
  <c r="H362" i="22"/>
  <c r="H4" i="22"/>
  <c r="I4" i="22"/>
  <c r="J4" i="22" s="1"/>
  <c r="K4" i="22" s="1"/>
  <c r="I78" i="20"/>
  <c r="J78" i="20" s="1"/>
  <c r="K78" i="20" s="1"/>
  <c r="H78" i="20"/>
  <c r="I104" i="22"/>
  <c r="J104" i="22" s="1"/>
  <c r="K104" i="22" s="1"/>
  <c r="H104" i="22"/>
  <c r="H239" i="22"/>
  <c r="I239" i="22"/>
  <c r="J239" i="22" s="1"/>
  <c r="K239" i="22" s="1"/>
  <c r="H287" i="22"/>
  <c r="I287" i="22"/>
  <c r="J287" i="22" s="1"/>
  <c r="K287" i="22" s="1"/>
  <c r="H348" i="20"/>
  <c r="I348" i="20"/>
  <c r="J348" i="20" s="1"/>
  <c r="K348" i="20" s="1"/>
  <c r="H312" i="22"/>
  <c r="I312" i="22"/>
  <c r="J312" i="22" s="1"/>
  <c r="K312" i="22" s="1"/>
  <c r="I124" i="22"/>
  <c r="J124" i="22" s="1"/>
  <c r="K124" i="22" s="1"/>
  <c r="H124" i="22"/>
  <c r="I280" i="22"/>
  <c r="J280" i="22" s="1"/>
  <c r="K280" i="22" s="1"/>
  <c r="H280" i="22"/>
  <c r="I276" i="22"/>
  <c r="J276" i="22" s="1"/>
  <c r="K276" i="22" s="1"/>
  <c r="H276" i="22"/>
  <c r="I274" i="20"/>
  <c r="J274" i="20" s="1"/>
  <c r="K274" i="20" s="1"/>
  <c r="H274" i="20"/>
  <c r="H302" i="20"/>
  <c r="I302" i="20"/>
  <c r="J302" i="20" s="1"/>
  <c r="K302" i="20" s="1"/>
  <c r="H330" i="20"/>
  <c r="I330" i="20"/>
  <c r="J330" i="20" s="1"/>
  <c r="K330" i="20" s="1"/>
  <c r="H357" i="22"/>
  <c r="I357" i="22"/>
  <c r="J357" i="22" s="1"/>
  <c r="K357" i="22" s="1"/>
  <c r="I352" i="22"/>
  <c r="J352" i="22" s="1"/>
  <c r="K352" i="22" s="1"/>
  <c r="H352" i="22"/>
  <c r="H100" i="20"/>
  <c r="I100" i="20"/>
  <c r="J100" i="20" s="1"/>
  <c r="K100" i="20" s="1"/>
  <c r="I127" i="20"/>
  <c r="J127" i="20" s="1"/>
  <c r="K127" i="20" s="1"/>
  <c r="H127" i="20"/>
  <c r="I153" i="22"/>
  <c r="J153" i="22" s="1"/>
  <c r="K153" i="22" s="1"/>
  <c r="H153" i="22"/>
  <c r="I274" i="22"/>
  <c r="J274" i="22" s="1"/>
  <c r="K274" i="22" s="1"/>
  <c r="H274" i="22"/>
  <c r="H359" i="20"/>
  <c r="I359" i="20"/>
  <c r="J359" i="20" s="1"/>
  <c r="K359" i="20" s="1"/>
  <c r="I174" i="22"/>
  <c r="J174" i="22" s="1"/>
  <c r="K174" i="22" s="1"/>
  <c r="H174" i="22"/>
  <c r="I324" i="22"/>
  <c r="J324" i="22" s="1"/>
  <c r="K324" i="22" s="1"/>
  <c r="H324" i="22"/>
  <c r="I101" i="20"/>
  <c r="J101" i="20" s="1"/>
  <c r="K101" i="20" s="1"/>
  <c r="H101" i="20"/>
  <c r="I127" i="22"/>
  <c r="J127" i="22" s="1"/>
  <c r="K127" i="22" s="1"/>
  <c r="H127" i="22"/>
  <c r="H155" i="20"/>
  <c r="I155" i="20"/>
  <c r="J155" i="20" s="1"/>
  <c r="K155" i="20" s="1"/>
  <c r="H303" i="22"/>
  <c r="I303" i="22"/>
  <c r="J303" i="22" s="1"/>
  <c r="K303" i="22" s="1"/>
  <c r="I332" i="20"/>
  <c r="J332" i="20" s="1"/>
  <c r="K332" i="20" s="1"/>
  <c r="H332" i="20"/>
  <c r="H359" i="22"/>
  <c r="I359" i="22"/>
  <c r="J359" i="22" s="1"/>
  <c r="K359" i="22" s="1"/>
  <c r="H10" i="20"/>
  <c r="I10" i="20"/>
  <c r="J10" i="20" s="1"/>
  <c r="K10" i="20" s="1"/>
  <c r="I270" i="20"/>
  <c r="J270" i="20" s="1"/>
  <c r="K270" i="20" s="1"/>
  <c r="H270" i="20"/>
  <c r="I9" i="20"/>
  <c r="J9" i="20" s="1"/>
  <c r="K9" i="20" s="1"/>
  <c r="H9" i="20"/>
  <c r="H222" i="22"/>
  <c r="I222" i="22"/>
  <c r="J222" i="22" s="1"/>
  <c r="K222" i="22" s="1"/>
  <c r="I345" i="20"/>
  <c r="J345" i="20" s="1"/>
  <c r="K345" i="20" s="1"/>
  <c r="H345" i="20"/>
  <c r="I337" i="20"/>
  <c r="J337" i="20" s="1"/>
  <c r="K337" i="20" s="1"/>
  <c r="H337" i="20"/>
  <c r="H149" i="20"/>
  <c r="I149" i="20"/>
  <c r="J149" i="20" s="1"/>
  <c r="K149" i="20" s="1"/>
  <c r="H175" i="22"/>
  <c r="I175" i="22"/>
  <c r="J175" i="22" s="1"/>
  <c r="K175" i="22" s="1"/>
  <c r="H202" i="22"/>
  <c r="I202" i="22"/>
  <c r="J202" i="22" s="1"/>
  <c r="K202" i="22" s="1"/>
  <c r="I230" i="20"/>
  <c r="J230" i="20" s="1"/>
  <c r="K230" i="20" s="1"/>
  <c r="H230" i="20"/>
  <c r="H277" i="22"/>
  <c r="I277" i="22"/>
  <c r="J277" i="22" s="1"/>
  <c r="K277" i="22" s="1"/>
  <c r="H305" i="22"/>
  <c r="I305" i="22"/>
  <c r="J305" i="22" s="1"/>
  <c r="K305" i="22" s="1"/>
  <c r="I334" i="20"/>
  <c r="J334" i="20" s="1"/>
  <c r="K334" i="20" s="1"/>
  <c r="H334" i="20"/>
  <c r="H149" i="22"/>
  <c r="I149" i="22"/>
  <c r="J149" i="22" s="1"/>
  <c r="K149" i="22" s="1"/>
  <c r="I176" i="22"/>
  <c r="J176" i="22" s="1"/>
  <c r="K176" i="22" s="1"/>
  <c r="H176" i="22"/>
  <c r="I237" i="20"/>
  <c r="J237" i="20" s="1"/>
  <c r="K237" i="20" s="1"/>
  <c r="H237" i="20"/>
  <c r="H4" i="20"/>
  <c r="I4" i="20"/>
  <c r="J4" i="20" s="1"/>
  <c r="K4" i="20" s="1"/>
  <c r="I77" i="22"/>
  <c r="J77" i="22" s="1"/>
  <c r="K77" i="22" s="1"/>
  <c r="H77" i="22"/>
  <c r="H105" i="20"/>
  <c r="I105" i="20"/>
  <c r="J105" i="20" s="1"/>
  <c r="K105" i="20" s="1"/>
  <c r="H319" i="22"/>
  <c r="I319" i="22"/>
  <c r="J319" i="22" s="1"/>
  <c r="K319" i="22" s="1"/>
  <c r="H347" i="22"/>
  <c r="I347" i="22"/>
  <c r="J347" i="22" s="1"/>
  <c r="K347" i="22" s="1"/>
  <c r="I198" i="20"/>
  <c r="J198" i="20" s="1"/>
  <c r="K198" i="20" s="1"/>
  <c r="H198" i="20"/>
  <c r="I224" i="22"/>
  <c r="J224" i="22" s="1"/>
  <c r="K224" i="22" s="1"/>
  <c r="H224" i="22"/>
  <c r="H281" i="20"/>
  <c r="I281" i="20"/>
  <c r="J281" i="20" s="1"/>
  <c r="K281" i="20" s="1"/>
  <c r="H321" i="20"/>
  <c r="I321" i="20"/>
  <c r="J321" i="20" s="1"/>
  <c r="K321" i="20" s="1"/>
  <c r="H356" i="22"/>
  <c r="I356" i="22"/>
  <c r="J356" i="22" s="1"/>
  <c r="K356" i="22" s="1"/>
  <c r="I6" i="22"/>
  <c r="J6" i="22" s="1"/>
  <c r="K6" i="22" s="1"/>
  <c r="H6" i="22"/>
  <c r="H80" i="20"/>
  <c r="I80" i="20"/>
  <c r="J80" i="20" s="1"/>
  <c r="K80" i="20" s="1"/>
  <c r="I107" i="20"/>
  <c r="J107" i="20" s="1"/>
  <c r="K107" i="20" s="1"/>
  <c r="H107" i="20"/>
  <c r="H273" i="22"/>
  <c r="I273" i="22"/>
  <c r="J273" i="22" s="1"/>
  <c r="K273" i="22" s="1"/>
  <c r="H301" i="22"/>
  <c r="I301" i="22"/>
  <c r="J301" i="22" s="1"/>
  <c r="K301" i="22" s="1"/>
  <c r="I339" i="20"/>
  <c r="J339" i="20" s="1"/>
  <c r="K339" i="20" s="1"/>
  <c r="H339" i="20"/>
  <c r="H283" i="20"/>
  <c r="I283" i="20"/>
  <c r="J283" i="20" s="1"/>
  <c r="K283" i="20" s="1"/>
  <c r="I323" i="20"/>
  <c r="J323" i="20" s="1"/>
  <c r="K323" i="20" s="1"/>
  <c r="H323" i="20"/>
  <c r="I358" i="22"/>
  <c r="J358" i="22" s="1"/>
  <c r="K358" i="22" s="1"/>
  <c r="H358" i="22"/>
  <c r="I175" i="20"/>
  <c r="J175" i="20" s="1"/>
  <c r="K175" i="20" s="1"/>
  <c r="H175" i="20"/>
  <c r="I325" i="20"/>
  <c r="J325" i="20" s="1"/>
  <c r="K325" i="20" s="1"/>
  <c r="H325" i="20"/>
  <c r="I220" i="20"/>
  <c r="J220" i="20" s="1"/>
  <c r="K220" i="20" s="1"/>
  <c r="H275" i="22"/>
  <c r="I275" i="22"/>
  <c r="J275" i="22" s="1"/>
  <c r="K275" i="22" s="1"/>
  <c r="I304" i="20"/>
  <c r="J304" i="20" s="1"/>
  <c r="K304" i="20" s="1"/>
  <c r="H304" i="20"/>
  <c r="H331" i="22"/>
  <c r="I331" i="22"/>
  <c r="J331" i="22" s="1"/>
  <c r="K331" i="22" s="1"/>
  <c r="I360" i="20"/>
  <c r="J360" i="20" s="1"/>
  <c r="K360" i="20" s="1"/>
  <c r="H360" i="20"/>
  <c r="H221" i="20"/>
  <c r="I221" i="20"/>
  <c r="J221" i="20" s="1"/>
  <c r="K221" i="20" s="1"/>
  <c r="H298" i="22"/>
  <c r="I298" i="22"/>
  <c r="J298" i="22" s="1"/>
  <c r="K298" i="22" s="1"/>
  <c r="I150" i="22"/>
  <c r="J150" i="22" s="1"/>
  <c r="K150" i="22" s="1"/>
  <c r="H150" i="22"/>
  <c r="H349" i="20"/>
  <c r="I349" i="20"/>
  <c r="J349" i="20" s="1"/>
  <c r="K349" i="20" s="1"/>
  <c r="I148" i="22"/>
  <c r="J148" i="22" s="1"/>
  <c r="K148" i="22" s="1"/>
  <c r="H148" i="22"/>
  <c r="I354" i="20"/>
  <c r="J354" i="20" s="1"/>
  <c r="K354" i="20" s="1"/>
  <c r="H354" i="20"/>
  <c r="H333" i="22"/>
  <c r="I333" i="22"/>
  <c r="J333" i="22" s="1"/>
  <c r="K333" i="22" s="1"/>
  <c r="H332" i="22"/>
  <c r="I332" i="22"/>
  <c r="J332" i="22" s="1"/>
  <c r="K332" i="22" s="1"/>
  <c r="H238" i="22"/>
  <c r="I238" i="22"/>
  <c r="J238" i="22" s="1"/>
  <c r="K238" i="22" s="1"/>
  <c r="I315" i="20"/>
  <c r="J315" i="20" s="1"/>
  <c r="K315" i="20" s="1"/>
  <c r="H315" i="20"/>
  <c r="H102" i="20"/>
  <c r="I102" i="20"/>
  <c r="J102" i="20" s="1"/>
  <c r="K102" i="20" s="1"/>
  <c r="I197" i="20"/>
  <c r="J197" i="20" s="1"/>
  <c r="K197" i="20" s="1"/>
  <c r="H197" i="20"/>
  <c r="H272" i="20"/>
  <c r="I272" i="20"/>
  <c r="J272" i="20" s="1"/>
  <c r="K272" i="20" s="1"/>
  <c r="H299" i="22"/>
  <c r="I299" i="22"/>
  <c r="J299" i="22" s="1"/>
  <c r="K299" i="22" s="1"/>
  <c r="I328" i="20"/>
  <c r="J328" i="20" s="1"/>
  <c r="K328" i="20" s="1"/>
  <c r="H328" i="20"/>
  <c r="H356" i="20"/>
  <c r="I356" i="20"/>
  <c r="J356" i="20" s="1"/>
  <c r="K356" i="20" s="1"/>
  <c r="H5" i="20"/>
  <c r="I5" i="20"/>
  <c r="J5" i="20" s="1"/>
  <c r="K5" i="20" s="1"/>
  <c r="H78" i="22"/>
  <c r="I78" i="22"/>
  <c r="J78" i="22" s="1"/>
  <c r="K78" i="22" s="1"/>
  <c r="I106" i="20"/>
  <c r="J106" i="20" s="1"/>
  <c r="K106" i="20" s="1"/>
  <c r="H106" i="20"/>
  <c r="I197" i="22"/>
  <c r="J197" i="22" s="1"/>
  <c r="K197" i="22" s="1"/>
  <c r="H197" i="22"/>
  <c r="I225" i="20"/>
  <c r="J225" i="20" s="1"/>
  <c r="K225" i="20" s="1"/>
  <c r="H225" i="20"/>
  <c r="H320" i="22"/>
  <c r="I320" i="22"/>
  <c r="J320" i="22" s="1"/>
  <c r="K320" i="22" s="1"/>
  <c r="I357" i="20"/>
  <c r="J357" i="20" s="1"/>
  <c r="K357" i="20" s="1"/>
  <c r="H357" i="20"/>
  <c r="H6" i="20"/>
  <c r="I6" i="20"/>
  <c r="J6" i="20" s="1"/>
  <c r="K6" i="20" s="1"/>
  <c r="H79" i="22"/>
  <c r="I79" i="22"/>
  <c r="J79" i="22" s="1"/>
  <c r="K79" i="22" s="1"/>
  <c r="I106" i="22"/>
  <c r="J106" i="22" s="1"/>
  <c r="K106" i="22" s="1"/>
  <c r="H106" i="22"/>
  <c r="H282" i="20"/>
  <c r="I282" i="20"/>
  <c r="J282" i="20" s="1"/>
  <c r="K282" i="20" s="1"/>
  <c r="I310" i="20"/>
  <c r="J310" i="20" s="1"/>
  <c r="K310" i="20" s="1"/>
  <c r="H310" i="20"/>
  <c r="H337" i="22"/>
  <c r="I337" i="22"/>
  <c r="J337" i="22" s="1"/>
  <c r="K337" i="22" s="1"/>
  <c r="H3" i="20"/>
  <c r="I3" i="20"/>
  <c r="J3" i="20" s="1"/>
  <c r="K3" i="20" s="1"/>
  <c r="I338" i="22"/>
  <c r="J338" i="22" s="1"/>
  <c r="K338" i="22" s="1"/>
  <c r="H338" i="22"/>
  <c r="I7" i="20"/>
  <c r="J7" i="20" s="1"/>
  <c r="K7" i="20" s="1"/>
  <c r="H7" i="20"/>
  <c r="H81" i="20"/>
  <c r="I81" i="20"/>
  <c r="J81" i="20" s="1"/>
  <c r="K81" i="20" s="1"/>
  <c r="I200" i="20"/>
  <c r="J200" i="20" s="1"/>
  <c r="K200" i="20" s="1"/>
  <c r="H200" i="20"/>
  <c r="H226" i="22"/>
  <c r="I226" i="22"/>
  <c r="J226" i="22" s="1"/>
  <c r="K226" i="22" s="1"/>
  <c r="H282" i="22"/>
  <c r="I282" i="22"/>
  <c r="J282" i="22" s="1"/>
  <c r="K282" i="22" s="1"/>
  <c r="H322" i="22"/>
  <c r="I322" i="22"/>
  <c r="J322" i="22" s="1"/>
  <c r="K322" i="22" s="1"/>
  <c r="I229" i="20"/>
  <c r="J229" i="20" s="1"/>
  <c r="K229" i="20" s="1"/>
  <c r="H229" i="20"/>
  <c r="I361" i="20"/>
  <c r="J361" i="20" s="1"/>
  <c r="K361" i="20" s="1"/>
  <c r="H361" i="20"/>
  <c r="I81" i="22"/>
  <c r="J81" i="22" s="1"/>
  <c r="K81" i="22" s="1"/>
  <c r="H81" i="22"/>
  <c r="H219" i="22"/>
  <c r="I219" i="22"/>
  <c r="J219" i="22" s="1"/>
  <c r="K219" i="22" s="1"/>
  <c r="I276" i="20"/>
  <c r="J276" i="20" s="1"/>
  <c r="K276" i="20" s="1"/>
  <c r="H276" i="20"/>
  <c r="H220" i="22"/>
  <c r="I220" i="22"/>
  <c r="J220" i="22" s="1"/>
  <c r="K220" i="22" s="1"/>
  <c r="I335" i="22"/>
  <c r="J335" i="22" s="1"/>
  <c r="K335" i="22" s="1"/>
  <c r="H335" i="22"/>
  <c r="H325" i="22"/>
  <c r="I325" i="22"/>
  <c r="J325" i="22" s="1"/>
  <c r="K325" i="22" s="1"/>
  <c r="I306" i="20"/>
  <c r="J306" i="20" s="1"/>
  <c r="K306" i="20" s="1"/>
  <c r="H306" i="20"/>
  <c r="H361" i="22"/>
  <c r="I361" i="22"/>
  <c r="J361" i="22" s="1"/>
  <c r="K361" i="22" s="1"/>
  <c r="I286" i="22"/>
  <c r="J286" i="22" s="1"/>
  <c r="K286" i="22" s="1"/>
  <c r="H286" i="22"/>
  <c r="I347" i="20"/>
  <c r="J347" i="20" s="1"/>
  <c r="K347" i="20" s="1"/>
  <c r="H347" i="20"/>
  <c r="I236" i="22"/>
  <c r="J236" i="22" s="1"/>
  <c r="K236" i="22" s="1"/>
  <c r="H236" i="22"/>
  <c r="H224" i="20"/>
  <c r="I224" i="20"/>
  <c r="J224" i="20" s="1"/>
  <c r="K224" i="20" s="1"/>
  <c r="H76" i="20"/>
  <c r="I76" i="20"/>
  <c r="J76" i="20" s="1"/>
  <c r="K76" i="20" s="1"/>
  <c r="H102" i="22"/>
  <c r="I102" i="22"/>
  <c r="J102" i="22" s="1"/>
  <c r="K102" i="22" s="1"/>
  <c r="I130" i="20"/>
  <c r="J130" i="20" s="1"/>
  <c r="K130" i="20" s="1"/>
  <c r="H130" i="20"/>
  <c r="H237" i="22"/>
  <c r="I237" i="22"/>
  <c r="J237" i="22" s="1"/>
  <c r="K237" i="22" s="1"/>
  <c r="I286" i="20"/>
  <c r="J286" i="20" s="1"/>
  <c r="K286" i="20" s="1"/>
  <c r="H286" i="20"/>
  <c r="I362" i="20"/>
  <c r="J362" i="20" s="1"/>
  <c r="K362" i="20" s="1"/>
  <c r="H362" i="20"/>
  <c r="I333" i="20"/>
  <c r="J333" i="20" s="1"/>
  <c r="K333" i="20" s="1"/>
  <c r="H333" i="20"/>
  <c r="H76" i="22"/>
  <c r="I76" i="22"/>
  <c r="J76" i="22" s="1"/>
  <c r="K76" i="22" s="1"/>
  <c r="I104" i="20"/>
  <c r="J104" i="20" s="1"/>
  <c r="K104" i="20" s="1"/>
  <c r="H104" i="20"/>
  <c r="H130" i="22"/>
  <c r="I130" i="22"/>
  <c r="J130" i="22" s="1"/>
  <c r="K130" i="22" s="1"/>
  <c r="H239" i="20"/>
  <c r="I239" i="20"/>
  <c r="J239" i="20" s="1"/>
  <c r="K239" i="20" s="1"/>
  <c r="H287" i="20"/>
  <c r="I287" i="20"/>
  <c r="J287" i="20" s="1"/>
  <c r="K287" i="20" s="1"/>
  <c r="H314" i="22"/>
  <c r="I314" i="22"/>
  <c r="J314" i="22" s="1"/>
  <c r="K314" i="22" s="1"/>
  <c r="H346" i="22"/>
  <c r="I346" i="22"/>
  <c r="J346" i="22" s="1"/>
  <c r="K346" i="22" s="1"/>
  <c r="I101" i="22"/>
  <c r="J101" i="22" s="1"/>
  <c r="K101" i="22" s="1"/>
  <c r="H101" i="22"/>
  <c r="H196" i="22"/>
  <c r="I196" i="22"/>
  <c r="J196" i="22" s="1"/>
  <c r="K196" i="22" s="1"/>
  <c r="H223" i="22"/>
  <c r="I223" i="22"/>
  <c r="J223" i="22" s="1"/>
  <c r="K223" i="22" s="1"/>
  <c r="H271" i="22"/>
  <c r="I271" i="22"/>
  <c r="J271" i="22" s="1"/>
  <c r="K271" i="22" s="1"/>
  <c r="I300" i="20"/>
  <c r="J300" i="20" s="1"/>
  <c r="K300" i="20" s="1"/>
  <c r="H300" i="20"/>
  <c r="H327" i="22"/>
  <c r="I327" i="22"/>
  <c r="J327" i="22" s="1"/>
  <c r="K327" i="22" s="1"/>
  <c r="I355" i="22"/>
  <c r="J355" i="22" s="1"/>
  <c r="K355" i="22" s="1"/>
  <c r="H355" i="22"/>
  <c r="H301" i="20"/>
  <c r="I301" i="20"/>
  <c r="J301" i="20" s="1"/>
  <c r="K301" i="20" s="1"/>
  <c r="I5" i="22"/>
  <c r="J5" i="22" s="1"/>
  <c r="K5" i="22" s="1"/>
  <c r="H5" i="22"/>
  <c r="I79" i="20"/>
  <c r="J79" i="20" s="1"/>
  <c r="K79" i="20" s="1"/>
  <c r="H79" i="20"/>
  <c r="H105" i="22"/>
  <c r="I105" i="22"/>
  <c r="J105" i="22" s="1"/>
  <c r="K105" i="22" s="1"/>
  <c r="H232" i="22"/>
  <c r="I232" i="22"/>
  <c r="J232" i="22" s="1"/>
  <c r="K232" i="22" s="1"/>
  <c r="H288" i="22"/>
  <c r="I288" i="22"/>
  <c r="J288" i="22" s="1"/>
  <c r="K288" i="22" s="1"/>
  <c r="H329" i="20"/>
  <c r="I329" i="20"/>
  <c r="J329" i="20" s="1"/>
  <c r="K329" i="20" s="1"/>
  <c r="I172" i="20"/>
  <c r="J172" i="20" s="1"/>
  <c r="K172" i="20" s="1"/>
  <c r="H172" i="20"/>
  <c r="H198" i="22"/>
  <c r="I198" i="22"/>
  <c r="J198" i="22" s="1"/>
  <c r="K198" i="22" s="1"/>
  <c r="I226" i="20"/>
  <c r="J226" i="20" s="1"/>
  <c r="K226" i="20" s="1"/>
  <c r="H226" i="20"/>
  <c r="H281" i="22"/>
  <c r="I281" i="22"/>
  <c r="J281" i="22" s="1"/>
  <c r="K281" i="22" s="1"/>
  <c r="I309" i="22"/>
  <c r="J309" i="22" s="1"/>
  <c r="K309" i="22" s="1"/>
  <c r="H309" i="22"/>
  <c r="H338" i="20"/>
  <c r="I338" i="20"/>
  <c r="J338" i="20" s="1"/>
  <c r="K338" i="20" s="1"/>
  <c r="H3" i="22"/>
  <c r="I3" i="22"/>
  <c r="J3" i="22" s="1"/>
  <c r="K3" i="22" s="1"/>
  <c r="I7" i="22"/>
  <c r="J7" i="22" s="1"/>
  <c r="K7" i="22" s="1"/>
  <c r="H7" i="22"/>
  <c r="I80" i="22"/>
  <c r="J80" i="22" s="1"/>
  <c r="K80" i="22" s="1"/>
  <c r="H80" i="22"/>
  <c r="H199" i="22"/>
  <c r="I199" i="22"/>
  <c r="J199" i="22" s="1"/>
  <c r="K199" i="22" s="1"/>
  <c r="I227" i="20"/>
  <c r="J227" i="20" s="1"/>
  <c r="K227" i="20" s="1"/>
  <c r="H227" i="20"/>
  <c r="H331" i="20"/>
  <c r="I331" i="20"/>
  <c r="J331" i="20" s="1"/>
  <c r="K331" i="20" s="1"/>
  <c r="H228" i="22"/>
  <c r="I228" i="22"/>
  <c r="J228" i="22" s="1"/>
  <c r="K228" i="22" s="1"/>
  <c r="H360" i="22"/>
  <c r="I360" i="22"/>
  <c r="J360" i="22" s="1"/>
  <c r="K360" i="22" s="1"/>
  <c r="I82" i="20"/>
  <c r="J82" i="20" s="1"/>
  <c r="K82" i="20" s="1"/>
  <c r="H82" i="20"/>
  <c r="H228" i="20"/>
  <c r="I228" i="20"/>
  <c r="J228" i="20" s="1"/>
  <c r="K228" i="20" s="1"/>
  <c r="I283" i="22"/>
  <c r="J283" i="22" s="1"/>
  <c r="K283" i="22" s="1"/>
  <c r="H283" i="22"/>
  <c r="H312" i="20"/>
  <c r="I312" i="20"/>
  <c r="J312" i="20" s="1"/>
  <c r="K312" i="20" s="1"/>
  <c r="I340" i="20"/>
  <c r="J340" i="20" s="1"/>
  <c r="K340" i="20" s="1"/>
  <c r="H340" i="20"/>
  <c r="I305" i="20"/>
  <c r="J305" i="20" s="1"/>
  <c r="K305" i="20" s="1"/>
  <c r="H305" i="20"/>
  <c r="H75" i="22"/>
  <c r="I75" i="22"/>
  <c r="J75" i="22" s="1"/>
  <c r="K75" i="22" s="1"/>
  <c r="H103" i="20"/>
  <c r="I103" i="20"/>
  <c r="J103" i="20" s="1"/>
  <c r="K103" i="20" s="1"/>
  <c r="I129" i="22"/>
  <c r="J129" i="22" s="1"/>
  <c r="K129" i="22" s="1"/>
  <c r="H129" i="22"/>
  <c r="I238" i="20"/>
  <c r="J238" i="20" s="1"/>
  <c r="K238" i="20" s="1"/>
  <c r="H238" i="20"/>
  <c r="H285" i="22"/>
  <c r="I285" i="22"/>
  <c r="J285" i="22" s="1"/>
  <c r="K285" i="22" s="1"/>
  <c r="H313" i="22"/>
  <c r="I313" i="22"/>
  <c r="J313" i="22" s="1"/>
  <c r="K313" i="22" s="1"/>
  <c r="H345" i="22"/>
  <c r="I345" i="22"/>
  <c r="J345" i="22" s="1"/>
  <c r="K345" i="22" s="1"/>
  <c r="I77" i="20"/>
  <c r="J77" i="20" s="1"/>
  <c r="K77" i="20" s="1"/>
  <c r="H77" i="20"/>
  <c r="H103" i="22"/>
  <c r="I103" i="22"/>
  <c r="J103" i="22" s="1"/>
  <c r="K103" i="22" s="1"/>
  <c r="I131" i="20"/>
  <c r="J131" i="20" s="1"/>
  <c r="K131" i="20" s="1"/>
  <c r="H131" i="20"/>
  <c r="I355" i="20"/>
  <c r="J355" i="20" s="1"/>
  <c r="K355" i="20" s="1"/>
  <c r="H355" i="20"/>
  <c r="H148" i="20"/>
  <c r="I148" i="20"/>
  <c r="J148" i="20" s="1"/>
  <c r="K148" i="20" s="1"/>
  <c r="I297" i="20"/>
  <c r="J297" i="20" s="1"/>
  <c r="K297" i="20" s="1"/>
  <c r="H297" i="20"/>
  <c r="H232" i="20"/>
  <c r="I232" i="20"/>
  <c r="J232" i="20" s="1"/>
  <c r="K232" i="20" s="1"/>
  <c r="I280" i="20"/>
  <c r="J280" i="20" s="1"/>
  <c r="K280" i="20" s="1"/>
  <c r="H280" i="20"/>
  <c r="H307" i="22"/>
  <c r="I307" i="22"/>
  <c r="J307" i="22" s="1"/>
  <c r="K307" i="22" s="1"/>
  <c r="I300" i="22"/>
  <c r="J300" i="22" s="1"/>
  <c r="K300" i="22" s="1"/>
  <c r="H300" i="22"/>
  <c r="I151" i="22"/>
  <c r="J151" i="22" s="1"/>
  <c r="K151" i="22" s="1"/>
  <c r="H151" i="22"/>
  <c r="H179" i="20"/>
  <c r="I179" i="20"/>
  <c r="J179" i="20" s="1"/>
  <c r="K179" i="20" s="1"/>
  <c r="I233" i="20"/>
  <c r="J233" i="20" s="1"/>
  <c r="K233" i="20" s="1"/>
  <c r="H233" i="20"/>
  <c r="I289" i="20"/>
  <c r="J289" i="20" s="1"/>
  <c r="K289" i="20" s="1"/>
  <c r="H289" i="20"/>
  <c r="H328" i="22"/>
  <c r="I328" i="22"/>
  <c r="J328" i="22" s="1"/>
  <c r="K328" i="22" s="1"/>
  <c r="I364" i="22"/>
  <c r="J364" i="22" s="1"/>
  <c r="K364" i="22" s="1"/>
  <c r="H364" i="22"/>
  <c r="I171" i="22"/>
  <c r="J171" i="22" s="1"/>
  <c r="K171" i="22" s="1"/>
  <c r="H171" i="22"/>
  <c r="I199" i="20"/>
  <c r="J199" i="20" s="1"/>
  <c r="K199" i="20" s="1"/>
  <c r="H199" i="20"/>
  <c r="I225" i="22"/>
  <c r="J225" i="22" s="1"/>
  <c r="K225" i="22" s="1"/>
  <c r="H225" i="22"/>
  <c r="I172" i="22"/>
  <c r="J172" i="22" s="1"/>
  <c r="K172" i="22" s="1"/>
  <c r="H172" i="22"/>
  <c r="H234" i="22"/>
  <c r="I234" i="22"/>
  <c r="J234" i="22" s="1"/>
  <c r="K234" i="22" s="1"/>
  <c r="H294" i="22"/>
  <c r="I294" i="22"/>
  <c r="J294" i="22" s="1"/>
  <c r="K294" i="22" s="1"/>
  <c r="H330" i="22"/>
  <c r="I330" i="22"/>
  <c r="J330" i="22" s="1"/>
  <c r="K330" i="22" s="1"/>
  <c r="I174" i="20"/>
  <c r="J174" i="20" s="1"/>
  <c r="K174" i="20" s="1"/>
  <c r="H174" i="20"/>
  <c r="I200" i="22"/>
  <c r="J200" i="22" s="1"/>
  <c r="K200" i="22" s="1"/>
  <c r="H200" i="22"/>
  <c r="I227" i="22"/>
  <c r="J227" i="22" s="1"/>
  <c r="K227" i="22" s="1"/>
  <c r="H227" i="22"/>
  <c r="I284" i="20"/>
  <c r="J284" i="20" s="1"/>
  <c r="K284" i="20" s="1"/>
  <c r="H284" i="20"/>
  <c r="H311" i="22"/>
  <c r="I311" i="22"/>
  <c r="J311" i="22" s="1"/>
  <c r="K311" i="22" s="1"/>
  <c r="I339" i="22"/>
  <c r="J339" i="22" s="1"/>
  <c r="K339" i="22" s="1"/>
  <c r="H339" i="22"/>
  <c r="H304" i="22"/>
  <c r="I304" i="22"/>
  <c r="J304" i="22" s="1"/>
  <c r="K304" i="22" s="1"/>
  <c r="H297" i="22"/>
  <c r="I297" i="22"/>
  <c r="J297" i="22" s="1"/>
  <c r="K297" i="22" s="1"/>
  <c r="H314" i="20"/>
  <c r="I314" i="20"/>
  <c r="J314" i="20" s="1"/>
  <c r="K314" i="20" s="1"/>
  <c r="I346" i="20"/>
  <c r="J346" i="20" s="1"/>
  <c r="K346" i="20" s="1"/>
  <c r="H346" i="20"/>
  <c r="I9" i="22"/>
  <c r="J9" i="22" s="1"/>
  <c r="K9" i="22" s="1"/>
  <c r="H9" i="22"/>
  <c r="I195" i="22"/>
  <c r="J195" i="22" s="1"/>
  <c r="K195" i="22" s="1"/>
  <c r="H195" i="22"/>
  <c r="H223" i="20"/>
  <c r="I223" i="20"/>
  <c r="J223" i="20" s="1"/>
  <c r="K223" i="20" s="1"/>
  <c r="I270" i="22"/>
  <c r="J270" i="22" s="1"/>
  <c r="K270" i="22" s="1"/>
  <c r="H270" i="22"/>
  <c r="I299" i="20"/>
  <c r="J299" i="20" s="1"/>
  <c r="K299" i="20" s="1"/>
  <c r="H299" i="20"/>
  <c r="I326" i="22"/>
  <c r="J326" i="22" s="1"/>
  <c r="K326" i="22" s="1"/>
  <c r="H326" i="22"/>
  <c r="I354" i="22"/>
  <c r="J354" i="22" s="1"/>
  <c r="K354" i="22" s="1"/>
  <c r="H354" i="22"/>
  <c r="I147" i="22"/>
  <c r="J147" i="22" s="1"/>
  <c r="K147" i="22" s="1"/>
  <c r="H147" i="22"/>
  <c r="I296" i="22"/>
  <c r="J296" i="22" s="1"/>
  <c r="K296" i="22" s="1"/>
  <c r="H296" i="22"/>
  <c r="I124" i="20"/>
  <c r="J124" i="20" s="1"/>
  <c r="K124" i="20" s="1"/>
  <c r="H124" i="20"/>
  <c r="I151" i="20"/>
  <c r="J151" i="20" s="1"/>
  <c r="K151" i="20" s="1"/>
  <c r="H151" i="20"/>
  <c r="H177" i="22"/>
  <c r="I177" i="22"/>
  <c r="J177" i="22" s="1"/>
  <c r="K177" i="22" s="1"/>
  <c r="H231" i="22"/>
  <c r="I231" i="22"/>
  <c r="J231" i="22" s="1"/>
  <c r="K231" i="22" s="1"/>
  <c r="I279" i="22"/>
  <c r="J279" i="22" s="1"/>
  <c r="K279" i="22" s="1"/>
  <c r="H279" i="22"/>
  <c r="H308" i="20"/>
  <c r="I308" i="20"/>
  <c r="J308" i="20" s="1"/>
  <c r="K308" i="20" s="1"/>
  <c r="H336" i="20"/>
  <c r="I336" i="20"/>
  <c r="J336" i="20" s="1"/>
  <c r="K336" i="20" s="1"/>
  <c r="I364" i="20"/>
  <c r="J364" i="20" s="1"/>
  <c r="K364" i="20" s="1"/>
  <c r="H364" i="20"/>
  <c r="H348" i="22"/>
  <c r="I348" i="22"/>
  <c r="J348" i="22" s="1"/>
  <c r="K348" i="22" s="1"/>
  <c r="H202" i="20"/>
  <c r="I202" i="20"/>
  <c r="J202" i="20" s="1"/>
  <c r="K202" i="20" s="1"/>
  <c r="H152" i="20"/>
  <c r="I152" i="20"/>
  <c r="J152" i="20" s="1"/>
  <c r="K152" i="20" s="1"/>
  <c r="I178" i="22"/>
  <c r="J178" i="22" s="1"/>
  <c r="K178" i="22" s="1"/>
  <c r="H178" i="22"/>
  <c r="H365" i="20"/>
  <c r="I365" i="20"/>
  <c r="J365" i="20" s="1"/>
  <c r="K365" i="20" s="1"/>
  <c r="I234" i="20"/>
  <c r="J234" i="20" s="1"/>
  <c r="K234" i="20" s="1"/>
  <c r="H234" i="20"/>
  <c r="H290" i="20"/>
  <c r="I290" i="20"/>
  <c r="J290" i="20" s="1"/>
  <c r="K290" i="20" s="1"/>
  <c r="H321" i="22"/>
  <c r="I321" i="22"/>
  <c r="J321" i="22" s="1"/>
  <c r="K321" i="22" s="1"/>
  <c r="I350" i="20"/>
  <c r="J350" i="20" s="1"/>
  <c r="K350" i="20" s="1"/>
  <c r="H350" i="20"/>
  <c r="H173" i="20"/>
  <c r="I173" i="20"/>
  <c r="J173" i="20" s="1"/>
  <c r="K173" i="20" s="1"/>
  <c r="I235" i="20"/>
  <c r="J235" i="20" s="1"/>
  <c r="K235" i="20" s="1"/>
  <c r="H235" i="20"/>
  <c r="H295" i="20"/>
  <c r="I295" i="20"/>
  <c r="J295" i="20" s="1"/>
  <c r="K295" i="20" s="1"/>
  <c r="H285" i="20"/>
  <c r="I285" i="20"/>
  <c r="J285" i="20" s="1"/>
  <c r="K285" i="20" s="1"/>
  <c r="I8" i="22"/>
  <c r="J8" i="22" s="1"/>
  <c r="K8" i="22" s="1"/>
  <c r="H8" i="22"/>
  <c r="I173" i="22"/>
  <c r="J173" i="22" s="1"/>
  <c r="K173" i="22" s="1"/>
  <c r="H173" i="22"/>
  <c r="I201" i="20"/>
  <c r="J201" i="20" s="1"/>
  <c r="K201" i="20" s="1"/>
  <c r="H201" i="20"/>
  <c r="C5" i="20"/>
  <c r="C19" i="20"/>
  <c r="D3" i="20"/>
  <c r="D5" i="20"/>
  <c r="D7" i="20"/>
  <c r="D9" i="20"/>
  <c r="D11" i="20"/>
  <c r="D13" i="20"/>
  <c r="D15" i="20"/>
  <c r="D17" i="20"/>
  <c r="D19" i="20"/>
  <c r="D21" i="20"/>
  <c r="D23" i="20"/>
  <c r="L78" i="2"/>
  <c r="L80" i="2"/>
  <c r="L82" i="2"/>
  <c r="L84" i="2"/>
  <c r="L86" i="2"/>
  <c r="L88" i="2"/>
  <c r="L104" i="2"/>
  <c r="L106" i="2"/>
  <c r="L108" i="2"/>
  <c r="L110" i="2"/>
  <c r="L112" i="2"/>
  <c r="L114" i="2"/>
  <c r="L128" i="2"/>
  <c r="L130" i="2"/>
  <c r="L132" i="2"/>
  <c r="L134" i="2"/>
  <c r="L136" i="2"/>
  <c r="L138" i="2"/>
  <c r="L154" i="2"/>
  <c r="L156" i="2"/>
  <c r="L158" i="2"/>
  <c r="L160" i="2"/>
  <c r="L162" i="2"/>
  <c r="L164" i="2"/>
  <c r="L178" i="2"/>
  <c r="L180" i="2"/>
  <c r="L182" i="2"/>
  <c r="L184" i="2"/>
  <c r="L186" i="2"/>
  <c r="L188" i="2"/>
  <c r="K190" i="2"/>
  <c r="F17" i="18" s="1"/>
  <c r="L204" i="2"/>
  <c r="L206" i="2"/>
  <c r="L208" i="2"/>
  <c r="L210" i="2"/>
  <c r="L212" i="2"/>
  <c r="L214" i="2"/>
  <c r="L228" i="2"/>
  <c r="L230" i="2"/>
  <c r="L232" i="2"/>
  <c r="L234" i="2"/>
  <c r="L236" i="2"/>
  <c r="L238" i="2"/>
  <c r="C11" i="20"/>
  <c r="A6" i="20"/>
  <c r="A16" i="20"/>
  <c r="C3" i="20"/>
  <c r="C15" i="20"/>
  <c r="A4" i="20"/>
  <c r="A12" i="20"/>
  <c r="A14" i="20"/>
  <c r="A22" i="20"/>
  <c r="B4" i="20"/>
  <c r="B6" i="20"/>
  <c r="B8" i="20"/>
  <c r="B10" i="20"/>
  <c r="B12" i="20"/>
  <c r="B14" i="20"/>
  <c r="B16" i="20"/>
  <c r="B18" i="20"/>
  <c r="B20" i="20"/>
  <c r="B22" i="20"/>
  <c r="L279" i="2"/>
  <c r="L281" i="2"/>
  <c r="L283" i="2"/>
  <c r="L285" i="2"/>
  <c r="L287" i="2"/>
  <c r="L289" i="2"/>
  <c r="L303" i="2"/>
  <c r="L305" i="2"/>
  <c r="L307" i="2"/>
  <c r="L309" i="2"/>
  <c r="L311" i="2"/>
  <c r="L313" i="2"/>
  <c r="L329" i="2"/>
  <c r="L331" i="2"/>
  <c r="L333" i="2"/>
  <c r="L335" i="2"/>
  <c r="L337" i="2"/>
  <c r="L339" i="2"/>
  <c r="L353" i="2"/>
  <c r="L355" i="2"/>
  <c r="L357" i="2"/>
  <c r="L359" i="2"/>
  <c r="L361" i="2"/>
  <c r="L363" i="2"/>
  <c r="C13" i="20"/>
  <c r="A8" i="20"/>
  <c r="A18" i="20"/>
  <c r="C4" i="20"/>
  <c r="C8" i="20"/>
  <c r="C12" i="20"/>
  <c r="C16" i="20"/>
  <c r="C20" i="20"/>
  <c r="C7" i="20"/>
  <c r="C23" i="20"/>
  <c r="A10" i="20"/>
  <c r="A20" i="20"/>
  <c r="C6" i="20"/>
  <c r="C10" i="20"/>
  <c r="C14" i="20"/>
  <c r="C18" i="20"/>
  <c r="C22" i="20"/>
  <c r="D4" i="20"/>
  <c r="D6" i="20"/>
  <c r="D8" i="20"/>
  <c r="D10" i="20"/>
  <c r="D12" i="20"/>
  <c r="D14" i="20"/>
  <c r="L15" i="2"/>
  <c r="C17" i="11" s="1"/>
  <c r="D16" i="20"/>
  <c r="D18" i="20"/>
  <c r="D20" i="20"/>
  <c r="D22" i="20"/>
  <c r="L79" i="2"/>
  <c r="L81" i="2"/>
  <c r="L83" i="2"/>
  <c r="L85" i="2"/>
  <c r="L87" i="2"/>
  <c r="L89" i="2"/>
  <c r="L103" i="2"/>
  <c r="L105" i="2"/>
  <c r="L107" i="2"/>
  <c r="L109" i="2"/>
  <c r="L111" i="2"/>
  <c r="L113" i="2"/>
  <c r="L129" i="2"/>
  <c r="L131" i="2"/>
  <c r="L133" i="2"/>
  <c r="L135" i="2"/>
  <c r="L137" i="2"/>
  <c r="L139" i="2"/>
  <c r="L153" i="2"/>
  <c r="L155" i="2"/>
  <c r="L157" i="2"/>
  <c r="L159" i="2"/>
  <c r="L161" i="2"/>
  <c r="L163" i="2"/>
  <c r="L179" i="2"/>
  <c r="L181" i="2"/>
  <c r="L183" i="2"/>
  <c r="L185" i="2"/>
  <c r="L187" i="2"/>
  <c r="L189" i="2"/>
  <c r="L203" i="2"/>
  <c r="L205" i="2"/>
  <c r="L207" i="2"/>
  <c r="L209" i="2"/>
  <c r="L211" i="2"/>
  <c r="L213" i="2"/>
  <c r="L229" i="2"/>
  <c r="L231" i="2"/>
  <c r="L233" i="2"/>
  <c r="L235" i="2"/>
  <c r="L237" i="2"/>
  <c r="L239" i="2"/>
  <c r="C17" i="20"/>
  <c r="A7" i="20"/>
  <c r="A11" i="20"/>
  <c r="A15" i="20"/>
  <c r="A19" i="20"/>
  <c r="A23" i="20"/>
  <c r="C9" i="20"/>
  <c r="C21" i="20"/>
  <c r="A3" i="20"/>
  <c r="A5" i="20"/>
  <c r="A9" i="20"/>
  <c r="A13" i="20"/>
  <c r="A17" i="20"/>
  <c r="A21" i="20"/>
  <c r="B3" i="20"/>
  <c r="B5" i="20"/>
  <c r="B7" i="20"/>
  <c r="B9" i="20"/>
  <c r="B11" i="20"/>
  <c r="B13" i="20"/>
  <c r="B15" i="20"/>
  <c r="B17" i="20"/>
  <c r="B19" i="20"/>
  <c r="B21" i="20"/>
  <c r="B23" i="20"/>
  <c r="L278" i="2"/>
  <c r="L280" i="2"/>
  <c r="L282" i="2"/>
  <c r="L284" i="2"/>
  <c r="L286" i="2"/>
  <c r="L288" i="2"/>
  <c r="L304" i="2"/>
  <c r="L306" i="2"/>
  <c r="L308" i="2"/>
  <c r="L310" i="2"/>
  <c r="L312" i="2"/>
  <c r="L314" i="2"/>
  <c r="L328" i="2"/>
  <c r="L330" i="2"/>
  <c r="L332" i="2"/>
  <c r="L334" i="2"/>
  <c r="L336" i="2"/>
  <c r="L338" i="2"/>
  <c r="L354" i="2"/>
  <c r="L356" i="2"/>
  <c r="L358" i="2"/>
  <c r="L360" i="2"/>
  <c r="L362" i="2"/>
  <c r="L364" i="2"/>
  <c r="I172" i="2"/>
  <c r="M211" i="2" l="1"/>
  <c r="N211" i="2" s="1"/>
  <c r="I13" i="18"/>
  <c r="M359" i="2"/>
  <c r="N359" i="2" s="1"/>
  <c r="M11" i="19"/>
  <c r="M212" i="2"/>
  <c r="N212" i="2" s="1"/>
  <c r="I14" i="18"/>
  <c r="M162" i="2"/>
  <c r="N162" i="2" s="1"/>
  <c r="G14" i="11"/>
  <c r="M134" i="2"/>
  <c r="N134" i="2" s="1"/>
  <c r="E11" i="18"/>
  <c r="M78" i="2"/>
  <c r="N78" i="2" s="1"/>
  <c r="C5" i="18"/>
  <c r="M354" i="2"/>
  <c r="N354" i="2" s="1"/>
  <c r="M6" i="19"/>
  <c r="M314" i="2"/>
  <c r="N314" i="2" s="1"/>
  <c r="I16" i="19"/>
  <c r="M286" i="2"/>
  <c r="N286" i="2" s="1"/>
  <c r="G13" i="19"/>
  <c r="M233" i="2"/>
  <c r="N233" i="2" s="1"/>
  <c r="C10" i="19"/>
  <c r="M205" i="2"/>
  <c r="N205" i="2" s="1"/>
  <c r="I7" i="18"/>
  <c r="M137" i="2"/>
  <c r="N137" i="2" s="1"/>
  <c r="E14" i="18"/>
  <c r="M109" i="2"/>
  <c r="N109" i="2" s="1"/>
  <c r="E11" i="11"/>
  <c r="M81" i="2"/>
  <c r="N81" i="2" s="1"/>
  <c r="C8" i="18"/>
  <c r="M353" i="2"/>
  <c r="N353" i="2" s="1"/>
  <c r="M5" i="19"/>
  <c r="M303" i="2"/>
  <c r="N303" i="2" s="1"/>
  <c r="I5" i="19"/>
  <c r="M234" i="2"/>
  <c r="N234" i="2" s="1"/>
  <c r="C11" i="19"/>
  <c r="M206" i="2"/>
  <c r="N206" i="2" s="1"/>
  <c r="I8" i="18"/>
  <c r="M184" i="2"/>
  <c r="N184" i="2" s="1"/>
  <c r="G11" i="18"/>
  <c r="M156" i="2"/>
  <c r="N156" i="2" s="1"/>
  <c r="G8" i="11"/>
  <c r="M128" i="2"/>
  <c r="N128" i="2" s="1"/>
  <c r="E5" i="18"/>
  <c r="M88" i="2"/>
  <c r="N88" i="2" s="1"/>
  <c r="C15" i="18"/>
  <c r="M87" i="2"/>
  <c r="N87" i="2" s="1"/>
  <c r="C14" i="18"/>
  <c r="M308" i="2"/>
  <c r="N308" i="2" s="1"/>
  <c r="I10" i="19"/>
  <c r="M187" i="2"/>
  <c r="N187" i="2" s="1"/>
  <c r="G14" i="18"/>
  <c r="M159" i="2"/>
  <c r="N159" i="2" s="1"/>
  <c r="G11" i="11"/>
  <c r="M131" i="2"/>
  <c r="N131" i="2" s="1"/>
  <c r="E8" i="18"/>
  <c r="M103" i="2"/>
  <c r="N103" i="2" s="1"/>
  <c r="E5" i="11"/>
  <c r="M363" i="2"/>
  <c r="N363" i="2" s="1"/>
  <c r="M15" i="19"/>
  <c r="M335" i="2"/>
  <c r="N335" i="2" s="1"/>
  <c r="K12" i="19"/>
  <c r="M313" i="2"/>
  <c r="N313" i="2" s="1"/>
  <c r="I15" i="19"/>
  <c r="M285" i="2"/>
  <c r="N285" i="2" s="1"/>
  <c r="G12" i="19"/>
  <c r="M228" i="2"/>
  <c r="N228" i="2" s="1"/>
  <c r="C5" i="19"/>
  <c r="M178" i="2"/>
  <c r="N178" i="2" s="1"/>
  <c r="G5" i="18"/>
  <c r="M138" i="2"/>
  <c r="N138" i="2" s="1"/>
  <c r="E15" i="18"/>
  <c r="M110" i="2"/>
  <c r="N110" i="2" s="1"/>
  <c r="E12" i="11"/>
  <c r="M82" i="2"/>
  <c r="N82" i="2" s="1"/>
  <c r="C9" i="18"/>
  <c r="M360" i="2"/>
  <c r="N360" i="2" s="1"/>
  <c r="M12" i="19"/>
  <c r="M304" i="2"/>
  <c r="N304" i="2" s="1"/>
  <c r="I6" i="19"/>
  <c r="M331" i="2"/>
  <c r="N331" i="2" s="1"/>
  <c r="K8" i="19"/>
  <c r="M280" i="2"/>
  <c r="N280" i="2" s="1"/>
  <c r="G7" i="19"/>
  <c r="M358" i="2"/>
  <c r="N358" i="2" s="1"/>
  <c r="M10" i="19"/>
  <c r="M237" i="2"/>
  <c r="N237" i="2" s="1"/>
  <c r="C14" i="19"/>
  <c r="M209" i="2"/>
  <c r="N209" i="2" s="1"/>
  <c r="I11" i="18"/>
  <c r="M181" i="2"/>
  <c r="N181" i="2" s="1"/>
  <c r="G8" i="18"/>
  <c r="M153" i="2"/>
  <c r="N153" i="2" s="1"/>
  <c r="G5" i="11"/>
  <c r="M113" i="2"/>
  <c r="N113" i="2" s="1"/>
  <c r="E15" i="11"/>
  <c r="M85" i="2"/>
  <c r="N85" i="2" s="1"/>
  <c r="C12" i="18"/>
  <c r="M357" i="2"/>
  <c r="N357" i="2" s="1"/>
  <c r="M9" i="19"/>
  <c r="M329" i="2"/>
  <c r="N329" i="2" s="1"/>
  <c r="K6" i="19"/>
  <c r="M307" i="2"/>
  <c r="N307" i="2" s="1"/>
  <c r="I9" i="19"/>
  <c r="M279" i="2"/>
  <c r="N279" i="2" s="1"/>
  <c r="G6" i="19"/>
  <c r="M238" i="2"/>
  <c r="N238" i="2" s="1"/>
  <c r="C15" i="19"/>
  <c r="M210" i="2"/>
  <c r="N210" i="2" s="1"/>
  <c r="I12" i="18"/>
  <c r="M188" i="2"/>
  <c r="N188" i="2" s="1"/>
  <c r="G15" i="18"/>
  <c r="M160" i="2"/>
  <c r="N160" i="2" s="1"/>
  <c r="G12" i="11"/>
  <c r="M132" i="2"/>
  <c r="N132" i="2" s="1"/>
  <c r="E9" i="18"/>
  <c r="M104" i="2"/>
  <c r="N104" i="2" s="1"/>
  <c r="E6" i="11"/>
  <c r="M155" i="2"/>
  <c r="N155" i="2" s="1"/>
  <c r="G7" i="11"/>
  <c r="M281" i="2"/>
  <c r="N281" i="2" s="1"/>
  <c r="G8" i="19"/>
  <c r="M330" i="2"/>
  <c r="N330" i="2" s="1"/>
  <c r="K7" i="19"/>
  <c r="M312" i="2"/>
  <c r="N312" i="2" s="1"/>
  <c r="I14" i="19"/>
  <c r="M284" i="2"/>
  <c r="N284" i="2" s="1"/>
  <c r="G11" i="19"/>
  <c r="M231" i="2"/>
  <c r="N231" i="2" s="1"/>
  <c r="C8" i="19"/>
  <c r="M203" i="2"/>
  <c r="N203" i="2" s="1"/>
  <c r="I5" i="18"/>
  <c r="M163" i="2"/>
  <c r="N163" i="2" s="1"/>
  <c r="G15" i="11"/>
  <c r="M135" i="2"/>
  <c r="N135" i="2" s="1"/>
  <c r="E12" i="18"/>
  <c r="M107" i="2"/>
  <c r="N107" i="2" s="1"/>
  <c r="E9" i="11"/>
  <c r="M79" i="2"/>
  <c r="N79" i="2" s="1"/>
  <c r="C6" i="18"/>
  <c r="M339" i="2"/>
  <c r="N339" i="2" s="1"/>
  <c r="K16" i="19"/>
  <c r="M289" i="2"/>
  <c r="N289" i="2" s="1"/>
  <c r="G16" i="19"/>
  <c r="M232" i="2"/>
  <c r="N232" i="2" s="1"/>
  <c r="C9" i="19"/>
  <c r="M204" i="2"/>
  <c r="N204" i="2" s="1"/>
  <c r="I6" i="18"/>
  <c r="M182" i="2"/>
  <c r="N182" i="2" s="1"/>
  <c r="G9" i="18"/>
  <c r="M154" i="2"/>
  <c r="N154" i="2" s="1"/>
  <c r="G6" i="11"/>
  <c r="M114" i="2"/>
  <c r="N114" i="2" s="1"/>
  <c r="E16" i="11"/>
  <c r="M86" i="2"/>
  <c r="N86" i="2" s="1"/>
  <c r="C13" i="18"/>
  <c r="M309" i="2"/>
  <c r="N309" i="2" s="1"/>
  <c r="I11" i="19"/>
  <c r="M106" i="2"/>
  <c r="N106" i="2" s="1"/>
  <c r="E8" i="11"/>
  <c r="M364" i="2"/>
  <c r="N364" i="2" s="1"/>
  <c r="M16" i="19"/>
  <c r="M362" i="2"/>
  <c r="N362" i="2" s="1"/>
  <c r="M14" i="19"/>
  <c r="M334" i="2"/>
  <c r="N334" i="2" s="1"/>
  <c r="K11" i="19"/>
  <c r="M306" i="2"/>
  <c r="N306" i="2" s="1"/>
  <c r="I8" i="19"/>
  <c r="M278" i="2"/>
  <c r="N278" i="2" s="1"/>
  <c r="G5" i="19"/>
  <c r="M213" i="2"/>
  <c r="N213" i="2" s="1"/>
  <c r="I15" i="18"/>
  <c r="M185" i="2"/>
  <c r="N185" i="2" s="1"/>
  <c r="G12" i="18"/>
  <c r="M157" i="2"/>
  <c r="N157" i="2" s="1"/>
  <c r="G9" i="11"/>
  <c r="M129" i="2"/>
  <c r="N129" i="2" s="1"/>
  <c r="E6" i="18"/>
  <c r="M89" i="2"/>
  <c r="N89" i="2" s="1"/>
  <c r="C16" i="18"/>
  <c r="M361" i="2"/>
  <c r="N361" i="2" s="1"/>
  <c r="M13" i="19"/>
  <c r="M333" i="2"/>
  <c r="N333" i="2" s="1"/>
  <c r="K10" i="19"/>
  <c r="M311" i="2"/>
  <c r="N311" i="2" s="1"/>
  <c r="I13" i="19"/>
  <c r="M283" i="2"/>
  <c r="N283" i="2" s="1"/>
  <c r="G10" i="19"/>
  <c r="M214" i="2"/>
  <c r="N214" i="2" s="1"/>
  <c r="I16" i="18"/>
  <c r="M164" i="2"/>
  <c r="N164" i="2" s="1"/>
  <c r="G16" i="11"/>
  <c r="M136" i="2"/>
  <c r="N136" i="2" s="1"/>
  <c r="E13" i="18"/>
  <c r="M108" i="2"/>
  <c r="N108" i="2" s="1"/>
  <c r="E10" i="11"/>
  <c r="M80" i="2"/>
  <c r="N80" i="2" s="1"/>
  <c r="C7" i="18"/>
  <c r="M336" i="2"/>
  <c r="N336" i="2" s="1"/>
  <c r="K13" i="19"/>
  <c r="M235" i="2"/>
  <c r="N235" i="2" s="1"/>
  <c r="C12" i="19"/>
  <c r="M207" i="2"/>
  <c r="N207" i="2" s="1"/>
  <c r="I9" i="18"/>
  <c r="M179" i="2"/>
  <c r="N179" i="2" s="1"/>
  <c r="G6" i="18"/>
  <c r="M139" i="2"/>
  <c r="N139" i="2" s="1"/>
  <c r="E16" i="18"/>
  <c r="M111" i="2"/>
  <c r="N111" i="2" s="1"/>
  <c r="E13" i="11"/>
  <c r="M83" i="2"/>
  <c r="N83" i="2" s="1"/>
  <c r="C10" i="18"/>
  <c r="M355" i="2"/>
  <c r="N355" i="2" s="1"/>
  <c r="M7" i="19"/>
  <c r="M305" i="2"/>
  <c r="N305" i="2" s="1"/>
  <c r="I7" i="19"/>
  <c r="M236" i="2"/>
  <c r="N236" i="2" s="1"/>
  <c r="C13" i="19"/>
  <c r="M208" i="2"/>
  <c r="N208" i="2" s="1"/>
  <c r="I10" i="18"/>
  <c r="M186" i="2"/>
  <c r="N186" i="2" s="1"/>
  <c r="G13" i="18"/>
  <c r="M158" i="2"/>
  <c r="N158" i="2" s="1"/>
  <c r="G10" i="11"/>
  <c r="M130" i="2"/>
  <c r="N130" i="2" s="1"/>
  <c r="E7" i="18"/>
  <c r="M332" i="2"/>
  <c r="N332" i="2" s="1"/>
  <c r="K9" i="19"/>
  <c r="M239" i="2"/>
  <c r="N239" i="2" s="1"/>
  <c r="C16" i="19"/>
  <c r="M183" i="2"/>
  <c r="N183" i="2" s="1"/>
  <c r="G10" i="18"/>
  <c r="M356" i="2"/>
  <c r="N356" i="2" s="1"/>
  <c r="M8" i="19"/>
  <c r="M328" i="2"/>
  <c r="N328" i="2" s="1"/>
  <c r="K5" i="19"/>
  <c r="M288" i="2"/>
  <c r="N288" i="2" s="1"/>
  <c r="G15" i="19"/>
  <c r="M338" i="2"/>
  <c r="N338" i="2" s="1"/>
  <c r="K15" i="19"/>
  <c r="M310" i="2"/>
  <c r="N310" i="2" s="1"/>
  <c r="I12" i="19"/>
  <c r="M282" i="2"/>
  <c r="N282" i="2" s="1"/>
  <c r="G9" i="19"/>
  <c r="M229" i="2"/>
  <c r="N229" i="2" s="1"/>
  <c r="C6" i="19"/>
  <c r="M189" i="2"/>
  <c r="N189" i="2" s="1"/>
  <c r="G16" i="18"/>
  <c r="M161" i="2"/>
  <c r="N161" i="2" s="1"/>
  <c r="G13" i="11"/>
  <c r="M133" i="2"/>
  <c r="N133" i="2" s="1"/>
  <c r="E10" i="18"/>
  <c r="M105" i="2"/>
  <c r="N105" i="2" s="1"/>
  <c r="E7" i="11"/>
  <c r="M337" i="2"/>
  <c r="N337" i="2" s="1"/>
  <c r="K14" i="19"/>
  <c r="M287" i="2"/>
  <c r="N287" i="2" s="1"/>
  <c r="G14" i="19"/>
  <c r="M230" i="2"/>
  <c r="N230" i="2" s="1"/>
  <c r="C7" i="19"/>
  <c r="M180" i="2"/>
  <c r="N180" i="2" s="1"/>
  <c r="G7" i="18"/>
  <c r="M112" i="2"/>
  <c r="N112" i="2" s="1"/>
  <c r="E14" i="11"/>
  <c r="M84" i="2"/>
  <c r="N84" i="2" s="1"/>
  <c r="C11" i="18"/>
  <c r="J16" i="2"/>
  <c r="J17" i="2"/>
  <c r="J18" i="2"/>
  <c r="J19" i="2"/>
  <c r="J20" i="2"/>
  <c r="J21" i="2"/>
  <c r="J22" i="2"/>
  <c r="J41" i="2"/>
  <c r="J42" i="2"/>
  <c r="J43" i="2"/>
  <c r="J44" i="2"/>
  <c r="J45" i="2"/>
  <c r="J47" i="2"/>
  <c r="J65" i="2"/>
  <c r="J66" i="2"/>
  <c r="J67" i="2"/>
  <c r="J68" i="2"/>
  <c r="J69" i="2"/>
  <c r="J70" i="2"/>
  <c r="J90" i="2"/>
  <c r="J91" i="2"/>
  <c r="J92" i="2"/>
  <c r="J93" i="2"/>
  <c r="J94" i="2"/>
  <c r="J95" i="2"/>
  <c r="J96" i="2"/>
  <c r="J97" i="2"/>
  <c r="J115" i="2"/>
  <c r="J116" i="2"/>
  <c r="J117" i="2"/>
  <c r="J118" i="2"/>
  <c r="J119" i="2"/>
  <c r="J120" i="2"/>
  <c r="J121" i="2"/>
  <c r="J122" i="2"/>
  <c r="J140" i="2"/>
  <c r="J141" i="2"/>
  <c r="J142" i="2"/>
  <c r="J143" i="2"/>
  <c r="J144" i="2"/>
  <c r="J145" i="2"/>
  <c r="J146" i="2"/>
  <c r="J147" i="2"/>
  <c r="J166" i="2"/>
  <c r="J167" i="2"/>
  <c r="J168" i="2"/>
  <c r="L168" i="2" s="1"/>
  <c r="G20" i="11" s="1"/>
  <c r="J169" i="2"/>
  <c r="J170" i="2"/>
  <c r="J171" i="2"/>
  <c r="J172" i="2"/>
  <c r="L172" i="2" s="1"/>
  <c r="G24" i="11" s="1"/>
  <c r="J190" i="2"/>
  <c r="J191" i="2"/>
  <c r="J192" i="2"/>
  <c r="J193" i="2"/>
  <c r="J194" i="2"/>
  <c r="J195" i="2"/>
  <c r="J196" i="2"/>
  <c r="J197" i="2"/>
  <c r="O9" i="19" l="1"/>
  <c r="P9" i="19" s="1"/>
  <c r="O10" i="19"/>
  <c r="P10" i="19" s="1"/>
  <c r="O14" i="19"/>
  <c r="P14" i="19" s="1"/>
  <c r="O15" i="19"/>
  <c r="P15" i="19" s="1"/>
  <c r="O5" i="19"/>
  <c r="P5" i="19" s="1"/>
  <c r="O8" i="19"/>
  <c r="P8" i="19" s="1"/>
  <c r="O6" i="19"/>
  <c r="P6" i="19" s="1"/>
  <c r="O12" i="19"/>
  <c r="P12" i="19" s="1"/>
  <c r="O16" i="19"/>
  <c r="P16" i="19" s="1"/>
  <c r="O11" i="19"/>
  <c r="P11" i="19" s="1"/>
  <c r="O7" i="19"/>
  <c r="P7" i="19" s="1"/>
  <c r="O13" i="19"/>
  <c r="P13" i="19" s="1"/>
  <c r="I16" i="2"/>
  <c r="I17" i="2"/>
  <c r="L17" i="2" s="1"/>
  <c r="C19" i="11" s="1"/>
  <c r="I18" i="2"/>
  <c r="L18" i="2" s="1"/>
  <c r="C20" i="11" s="1"/>
  <c r="I19" i="2"/>
  <c r="L19" i="2" s="1"/>
  <c r="C21" i="11" s="1"/>
  <c r="I20" i="2"/>
  <c r="L20" i="2" s="1"/>
  <c r="C22" i="11" s="1"/>
  <c r="I21" i="2"/>
  <c r="L21" i="2" s="1"/>
  <c r="C23" i="11" s="1"/>
  <c r="I22" i="2"/>
  <c r="L22" i="2" s="1"/>
  <c r="C24" i="11" s="1"/>
  <c r="I41" i="2"/>
  <c r="I42" i="2"/>
  <c r="I43" i="2"/>
  <c r="L43" i="2" s="1"/>
  <c r="I44" i="2"/>
  <c r="L44" i="2" s="1"/>
  <c r="L45" i="2"/>
  <c r="I47" i="2"/>
  <c r="L47" i="2" s="1"/>
  <c r="I24" i="11" s="1"/>
  <c r="I65" i="2"/>
  <c r="I66" i="2"/>
  <c r="L66" i="2" s="1"/>
  <c r="K18" i="11" s="1"/>
  <c r="I67" i="2"/>
  <c r="L67" i="2" s="1"/>
  <c r="K19" i="11" s="1"/>
  <c r="I68" i="2"/>
  <c r="L68" i="2" s="1"/>
  <c r="K20" i="11" s="1"/>
  <c r="I69" i="2"/>
  <c r="L69" i="2" s="1"/>
  <c r="K21" i="11" s="1"/>
  <c r="I70" i="2"/>
  <c r="L70" i="2" s="1"/>
  <c r="K22" i="11" s="1"/>
  <c r="I90" i="2"/>
  <c r="I91" i="2"/>
  <c r="L91" i="2" s="1"/>
  <c r="C18" i="18" s="1"/>
  <c r="I92" i="2"/>
  <c r="L92" i="2" s="1"/>
  <c r="C19" i="18" s="1"/>
  <c r="I93" i="2"/>
  <c r="L93" i="2" s="1"/>
  <c r="C20" i="18" s="1"/>
  <c r="I94" i="2"/>
  <c r="L94" i="2" s="1"/>
  <c r="C21" i="18" s="1"/>
  <c r="I95" i="2"/>
  <c r="L95" i="2" s="1"/>
  <c r="C22" i="18" s="1"/>
  <c r="I96" i="2"/>
  <c r="L96" i="2" s="1"/>
  <c r="C23" i="18" s="1"/>
  <c r="I97" i="2"/>
  <c r="L97" i="2" s="1"/>
  <c r="C24" i="18" s="1"/>
  <c r="I115" i="2"/>
  <c r="I116" i="2"/>
  <c r="L116" i="2" s="1"/>
  <c r="E18" i="11" s="1"/>
  <c r="I117" i="2"/>
  <c r="L117" i="2" s="1"/>
  <c r="E19" i="11" s="1"/>
  <c r="I118" i="2"/>
  <c r="L118" i="2" s="1"/>
  <c r="E20" i="11" s="1"/>
  <c r="I119" i="2"/>
  <c r="L119" i="2" s="1"/>
  <c r="E21" i="11" s="1"/>
  <c r="I120" i="2"/>
  <c r="L120" i="2" s="1"/>
  <c r="E22" i="11" s="1"/>
  <c r="L121" i="2"/>
  <c r="E23" i="11" s="1"/>
  <c r="I122" i="2"/>
  <c r="L122" i="2" s="1"/>
  <c r="E24" i="11" s="1"/>
  <c r="I140" i="2"/>
  <c r="I141" i="2"/>
  <c r="L141" i="2" s="1"/>
  <c r="E18" i="18" s="1"/>
  <c r="I142" i="2"/>
  <c r="L142" i="2" s="1"/>
  <c r="E19" i="18" s="1"/>
  <c r="I143" i="2"/>
  <c r="L143" i="2" s="1"/>
  <c r="E20" i="18" s="1"/>
  <c r="I144" i="2"/>
  <c r="L144" i="2" s="1"/>
  <c r="E21" i="18" s="1"/>
  <c r="I145" i="2"/>
  <c r="L145" i="2" s="1"/>
  <c r="E22" i="18" s="1"/>
  <c r="I146" i="2"/>
  <c r="L146" i="2" s="1"/>
  <c r="E23" i="18" s="1"/>
  <c r="I147" i="2"/>
  <c r="L147" i="2" s="1"/>
  <c r="E24" i="18" s="1"/>
  <c r="I165" i="2"/>
  <c r="I166" i="2"/>
  <c r="L166" i="2" s="1"/>
  <c r="G18" i="11" s="1"/>
  <c r="I167" i="2"/>
  <c r="L167" i="2" s="1"/>
  <c r="G19" i="11" s="1"/>
  <c r="I169" i="2"/>
  <c r="L169" i="2" s="1"/>
  <c r="G21" i="11" s="1"/>
  <c r="I170" i="2"/>
  <c r="L170" i="2" s="1"/>
  <c r="G22" i="11" s="1"/>
  <c r="I171" i="2"/>
  <c r="L171" i="2" s="1"/>
  <c r="G23" i="11" s="1"/>
  <c r="L190" i="2"/>
  <c r="G17" i="18" s="1"/>
  <c r="I191" i="2"/>
  <c r="I192" i="2"/>
  <c r="L192" i="2" s="1"/>
  <c r="G19" i="18" s="1"/>
  <c r="I193" i="2"/>
  <c r="L193" i="2" s="1"/>
  <c r="G20" i="18" s="1"/>
  <c r="I194" i="2"/>
  <c r="L194" i="2" s="1"/>
  <c r="G21" i="18" s="1"/>
  <c r="I195" i="2"/>
  <c r="L195" i="2" s="1"/>
  <c r="G22" i="18" s="1"/>
  <c r="I196" i="2"/>
  <c r="L196" i="2" s="1"/>
  <c r="G23" i="18" s="1"/>
  <c r="I197" i="2"/>
  <c r="L197" i="2" s="1"/>
  <c r="G24" i="18" s="1"/>
  <c r="L215" i="2"/>
  <c r="I17" i="18" s="1"/>
  <c r="L216" i="2"/>
  <c r="I18" i="18" s="1"/>
  <c r="L217" i="2"/>
  <c r="I19" i="18" s="1"/>
  <c r="L218" i="2"/>
  <c r="I20" i="18" s="1"/>
  <c r="L219" i="2"/>
  <c r="I21" i="18" s="1"/>
  <c r="L220" i="2"/>
  <c r="I22" i="18" s="1"/>
  <c r="L221" i="2"/>
  <c r="I23" i="18" s="1"/>
  <c r="L222" i="2"/>
  <c r="I24" i="18" s="1"/>
  <c r="L241" i="2"/>
  <c r="C18" i="19" s="1"/>
  <c r="L242" i="2"/>
  <c r="C19" i="19" s="1"/>
  <c r="L243" i="2"/>
  <c r="C20" i="19" s="1"/>
  <c r="L244" i="2"/>
  <c r="C21" i="19" s="1"/>
  <c r="L245" i="2"/>
  <c r="C22" i="19" s="1"/>
  <c r="L246" i="2"/>
  <c r="C23" i="19" s="1"/>
  <c r="L247" i="2"/>
  <c r="C24" i="19" s="1"/>
  <c r="L265" i="2"/>
  <c r="E17" i="19" s="1"/>
  <c r="L266" i="2"/>
  <c r="E18" i="19" s="1"/>
  <c r="L267" i="2"/>
  <c r="E19" i="19" s="1"/>
  <c r="L268" i="2"/>
  <c r="E20" i="19" s="1"/>
  <c r="L269" i="2"/>
  <c r="E21" i="19" s="1"/>
  <c r="L270" i="2"/>
  <c r="E22" i="19" s="1"/>
  <c r="L271" i="2"/>
  <c r="E23" i="19" s="1"/>
  <c r="L272" i="2"/>
  <c r="E24" i="19" s="1"/>
  <c r="L290" i="2"/>
  <c r="G17" i="19" s="1"/>
  <c r="L291" i="2"/>
  <c r="G18" i="19" s="1"/>
  <c r="L292" i="2"/>
  <c r="G19" i="19" s="1"/>
  <c r="L293" i="2"/>
  <c r="G20" i="19" s="1"/>
  <c r="L294" i="2"/>
  <c r="G21" i="19" s="1"/>
  <c r="L295" i="2"/>
  <c r="G22" i="19" s="1"/>
  <c r="L296" i="2"/>
  <c r="G23" i="19" s="1"/>
  <c r="L297" i="2"/>
  <c r="G24" i="19" s="1"/>
  <c r="L315" i="2"/>
  <c r="I17" i="19" s="1"/>
  <c r="L316" i="2"/>
  <c r="I18" i="19" s="1"/>
  <c r="L317" i="2"/>
  <c r="I19" i="19" s="1"/>
  <c r="L318" i="2"/>
  <c r="I20" i="19" s="1"/>
  <c r="L319" i="2"/>
  <c r="I21" i="19" s="1"/>
  <c r="L320" i="2"/>
  <c r="I22" i="19" s="1"/>
  <c r="L321" i="2"/>
  <c r="I23" i="19" s="1"/>
  <c r="L322" i="2"/>
  <c r="I24" i="19" s="1"/>
  <c r="L340" i="2"/>
  <c r="K17" i="19" s="1"/>
  <c r="L341" i="2"/>
  <c r="K18" i="19" s="1"/>
  <c r="L342" i="2"/>
  <c r="K19" i="19" s="1"/>
  <c r="L343" i="2"/>
  <c r="K20" i="19" s="1"/>
  <c r="L344" i="2"/>
  <c r="K21" i="19" s="1"/>
  <c r="L345" i="2"/>
  <c r="K22" i="19" s="1"/>
  <c r="L346" i="2"/>
  <c r="K23" i="19" s="1"/>
  <c r="L365" i="2"/>
  <c r="M17" i="19" s="1"/>
  <c r="L366" i="2"/>
  <c r="M18" i="19" s="1"/>
  <c r="L367" i="2"/>
  <c r="M19" i="19" s="1"/>
  <c r="L368" i="2"/>
  <c r="M20" i="19" s="1"/>
  <c r="L369" i="2"/>
  <c r="M21" i="19" s="1"/>
  <c r="L370" i="2"/>
  <c r="M22" i="19" s="1"/>
  <c r="L371" i="2"/>
  <c r="M23" i="19" s="1"/>
  <c r="L372" i="2"/>
  <c r="M24" i="19" s="1"/>
  <c r="O20" i="19" l="1"/>
  <c r="P20" i="19" s="1"/>
  <c r="O23" i="19"/>
  <c r="P23" i="19" s="1"/>
  <c r="O19" i="19"/>
  <c r="P19" i="19" s="1"/>
  <c r="O22" i="19"/>
  <c r="P22" i="19" s="1"/>
  <c r="O18" i="19"/>
  <c r="P18" i="19" s="1"/>
  <c r="O21" i="19"/>
  <c r="P21" i="19" s="1"/>
  <c r="I27" i="2"/>
  <c r="I39" i="2" s="1"/>
  <c r="I52" i="2"/>
  <c r="I56" i="2" s="1"/>
  <c r="I152" i="2"/>
  <c r="L152" i="2" s="1"/>
  <c r="I127" i="2"/>
  <c r="L127" i="2" s="1"/>
  <c r="I102" i="2"/>
  <c r="L102" i="2" s="1"/>
  <c r="I77" i="2"/>
  <c r="L77" i="2" s="1"/>
  <c r="L191" i="2"/>
  <c r="G18" i="18" s="1"/>
  <c r="I177" i="2"/>
  <c r="L177" i="2" s="1"/>
  <c r="I2" i="2"/>
  <c r="K2" i="2" s="1"/>
  <c r="I5" i="2"/>
  <c r="I9" i="2"/>
  <c r="I4" i="2"/>
  <c r="I14" i="2"/>
  <c r="K14" i="2" s="1"/>
  <c r="I11" i="2"/>
  <c r="I6" i="2"/>
  <c r="I3" i="2"/>
  <c r="L3" i="2" s="1"/>
  <c r="C5" i="11" s="1"/>
  <c r="I13" i="2"/>
  <c r="I10" i="2"/>
  <c r="I12" i="2"/>
  <c r="I8" i="2"/>
  <c r="I7" i="2"/>
  <c r="L41" i="2"/>
  <c r="I18" i="11" s="1"/>
  <c r="L347" i="2"/>
  <c r="K24" i="19" s="1"/>
  <c r="O24" i="19" s="1"/>
  <c r="P24" i="19" s="1"/>
  <c r="M45" i="2"/>
  <c r="I22" i="11"/>
  <c r="M44" i="2"/>
  <c r="I21" i="11"/>
  <c r="M43" i="2"/>
  <c r="I20" i="11"/>
  <c r="L42" i="2"/>
  <c r="L165" i="2"/>
  <c r="G17" i="11" s="1"/>
  <c r="L140" i="2"/>
  <c r="E17" i="18" s="1"/>
  <c r="L90" i="2"/>
  <c r="C17" i="18" s="1"/>
  <c r="L327" i="2"/>
  <c r="L227" i="2"/>
  <c r="L202" i="2"/>
  <c r="L16" i="2"/>
  <c r="C18" i="11" s="1"/>
  <c r="L115" i="2"/>
  <c r="E17" i="11" s="1"/>
  <c r="L302" i="2"/>
  <c r="L352" i="2"/>
  <c r="L277" i="2"/>
  <c r="L240" i="2"/>
  <c r="C17" i="19" s="1"/>
  <c r="O17" i="19" s="1"/>
  <c r="P17" i="19" s="1"/>
  <c r="L65" i="2"/>
  <c r="K17" i="11" s="1"/>
  <c r="L252" i="2"/>
  <c r="J228" i="6"/>
  <c r="I59" i="2" l="1"/>
  <c r="I57" i="2"/>
  <c r="M41" i="2"/>
  <c r="I31" i="2"/>
  <c r="I33" i="2"/>
  <c r="I36" i="2"/>
  <c r="I32" i="2"/>
  <c r="I62" i="2"/>
  <c r="I63" i="2"/>
  <c r="I58" i="2"/>
  <c r="I53" i="2"/>
  <c r="K53" i="2" s="1"/>
  <c r="J5" i="11" s="1"/>
  <c r="I28" i="2"/>
  <c r="L2" i="2"/>
  <c r="C4" i="11" s="1"/>
  <c r="L27" i="2"/>
  <c r="I4" i="11" s="1"/>
  <c r="I54" i="2"/>
  <c r="I64" i="2"/>
  <c r="I35" i="2"/>
  <c r="I55" i="2"/>
  <c r="I29" i="2"/>
  <c r="I30" i="2"/>
  <c r="I60" i="2"/>
  <c r="I61" i="2"/>
  <c r="I34" i="2"/>
  <c r="I37" i="2"/>
  <c r="I38" i="2"/>
  <c r="M102" i="2"/>
  <c r="N102" i="2" s="1"/>
  <c r="E4" i="11"/>
  <c r="M327" i="2"/>
  <c r="N327" i="2" s="1"/>
  <c r="K4" i="19"/>
  <c r="M127" i="2"/>
  <c r="N127" i="2" s="1"/>
  <c r="E4" i="18"/>
  <c r="M227" i="2"/>
  <c r="N227" i="2" s="1"/>
  <c r="C4" i="19"/>
  <c r="M352" i="2"/>
  <c r="N352" i="2" s="1"/>
  <c r="M4" i="19"/>
  <c r="M302" i="2"/>
  <c r="N302" i="2" s="1"/>
  <c r="I4" i="19"/>
  <c r="M152" i="2"/>
  <c r="N152" i="2" s="1"/>
  <c r="G4" i="11"/>
  <c r="M277" i="2"/>
  <c r="N277" i="2" s="1"/>
  <c r="G4" i="19"/>
  <c r="M77" i="2"/>
  <c r="N77" i="2" s="1"/>
  <c r="C4" i="18"/>
  <c r="K52" i="2"/>
  <c r="J4" i="11" s="1"/>
  <c r="L52" i="2"/>
  <c r="E4" i="19"/>
  <c r="M252" i="2"/>
  <c r="N252" i="2" s="1"/>
  <c r="M177" i="2"/>
  <c r="N177" i="2" s="1"/>
  <c r="G4" i="18"/>
  <c r="M202" i="2"/>
  <c r="N202" i="2" s="1"/>
  <c r="I4" i="18"/>
  <c r="M42" i="2"/>
  <c r="I19" i="11"/>
  <c r="L10" i="2"/>
  <c r="C12" i="11" s="1"/>
  <c r="L11" i="2"/>
  <c r="C13" i="11" s="1"/>
  <c r="L13" i="2"/>
  <c r="C15" i="11" s="1"/>
  <c r="L4" i="2"/>
  <c r="C6" i="11" s="1"/>
  <c r="L12" i="2"/>
  <c r="C14" i="11" s="1"/>
  <c r="L5" i="2"/>
  <c r="C7" i="11" s="1"/>
  <c r="L7" i="2"/>
  <c r="C9" i="11" s="1"/>
  <c r="L9" i="2"/>
  <c r="C11" i="11" s="1"/>
  <c r="L6" i="2"/>
  <c r="C8" i="11" s="1"/>
  <c r="L14" i="2"/>
  <c r="C16" i="11" s="1"/>
  <c r="L8" i="2"/>
  <c r="C10" i="11" s="1"/>
  <c r="J204" i="6"/>
  <c r="J205" i="6"/>
  <c r="J206" i="6"/>
  <c r="J207" i="6"/>
  <c r="J208" i="6"/>
  <c r="J209" i="6"/>
  <c r="J203" i="6"/>
  <c r="J179" i="6"/>
  <c r="J180" i="6"/>
  <c r="J181" i="6"/>
  <c r="J182" i="6"/>
  <c r="J183" i="6"/>
  <c r="J184" i="6"/>
  <c r="J185" i="6"/>
  <c r="J178" i="6"/>
  <c r="J154" i="6"/>
  <c r="J155" i="6"/>
  <c r="J156" i="6"/>
  <c r="J157" i="6"/>
  <c r="J158" i="6"/>
  <c r="J159" i="6"/>
  <c r="J160" i="6"/>
  <c r="J153" i="6"/>
  <c r="J129" i="6"/>
  <c r="J130" i="6"/>
  <c r="J131" i="6"/>
  <c r="J132" i="6"/>
  <c r="J133" i="6"/>
  <c r="J134" i="6"/>
  <c r="J135" i="6"/>
  <c r="J128" i="6"/>
  <c r="O4" i="19" l="1"/>
  <c r="P4" i="19" s="1"/>
  <c r="M52" i="2"/>
  <c r="N52" i="2" s="1"/>
  <c r="K4" i="11"/>
  <c r="L31" i="2"/>
  <c r="I8" i="11" s="1"/>
  <c r="L39" i="2"/>
  <c r="I16" i="11" s="1"/>
  <c r="L32" i="2"/>
  <c r="I9" i="11" s="1"/>
  <c r="L28" i="2"/>
  <c r="I5" i="11" s="1"/>
  <c r="L33" i="2"/>
  <c r="I10" i="11" s="1"/>
  <c r="L34" i="2"/>
  <c r="I11" i="11" s="1"/>
  <c r="L35" i="2"/>
  <c r="I12" i="11" s="1"/>
  <c r="L36" i="2"/>
  <c r="I13" i="11" s="1"/>
  <c r="L29" i="2"/>
  <c r="I6" i="11" s="1"/>
  <c r="L37" i="2"/>
  <c r="I14" i="11" s="1"/>
  <c r="L30" i="2"/>
  <c r="I7" i="11" s="1"/>
  <c r="L38" i="2"/>
  <c r="I15" i="11" s="1"/>
  <c r="L58" i="2"/>
  <c r="L61" i="2"/>
  <c r="L59" i="2"/>
  <c r="L60" i="2"/>
  <c r="L54" i="2"/>
  <c r="L62" i="2"/>
  <c r="L55" i="2"/>
  <c r="L63" i="2"/>
  <c r="L56" i="2"/>
  <c r="L64" i="2"/>
  <c r="L57" i="2"/>
  <c r="L53" i="2"/>
  <c r="J104" i="6"/>
  <c r="J105" i="6"/>
  <c r="J106" i="6"/>
  <c r="J107" i="6"/>
  <c r="J108" i="6"/>
  <c r="J109" i="6"/>
  <c r="J110" i="6"/>
  <c r="J103" i="6"/>
  <c r="M63" i="2" l="1"/>
  <c r="N63" i="2" s="1"/>
  <c r="K15" i="11"/>
  <c r="M56" i="2"/>
  <c r="N56" i="2" s="1"/>
  <c r="K8" i="11"/>
  <c r="M64" i="2"/>
  <c r="N64" i="2" s="1"/>
  <c r="K16" i="11"/>
  <c r="M58" i="2"/>
  <c r="N58" i="2" s="1"/>
  <c r="K10" i="11"/>
  <c r="K7" i="11"/>
  <c r="M55" i="2"/>
  <c r="N55" i="2" s="1"/>
  <c r="M62" i="2"/>
  <c r="N62" i="2" s="1"/>
  <c r="K14" i="11"/>
  <c r="M54" i="2"/>
  <c r="N54" i="2" s="1"/>
  <c r="K6" i="11"/>
  <c r="M60" i="2"/>
  <c r="N60" i="2" s="1"/>
  <c r="K12" i="11"/>
  <c r="M61" i="2"/>
  <c r="N61" i="2" s="1"/>
  <c r="K13" i="11"/>
  <c r="K5" i="11"/>
  <c r="M53" i="2"/>
  <c r="N53" i="2" s="1"/>
  <c r="M57" i="2"/>
  <c r="N57" i="2" s="1"/>
  <c r="K9" i="11"/>
  <c r="M59" i="2"/>
  <c r="N59" i="2" s="1"/>
  <c r="K11" i="11"/>
  <c r="J79" i="6"/>
  <c r="J80" i="6"/>
  <c r="J81" i="6"/>
  <c r="J82" i="6"/>
  <c r="J83" i="6"/>
  <c r="J84" i="6"/>
  <c r="J85" i="6"/>
  <c r="J78" i="6"/>
  <c r="J4" i="6"/>
  <c r="J5" i="6"/>
  <c r="J6" i="6"/>
  <c r="J7" i="6"/>
  <c r="J8" i="6"/>
  <c r="J9" i="6"/>
  <c r="J10" i="6"/>
  <c r="J3" i="6"/>
  <c r="I11" i="6"/>
  <c r="I12" i="6"/>
  <c r="I13" i="6"/>
  <c r="I14" i="6"/>
  <c r="I15" i="6"/>
  <c r="I16" i="6"/>
  <c r="I17" i="6"/>
  <c r="I18" i="6"/>
  <c r="I19" i="6"/>
  <c r="I20" i="6"/>
  <c r="I21" i="6"/>
  <c r="I22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311" i="6"/>
  <c r="I312" i="6"/>
  <c r="I313" i="6"/>
  <c r="I314" i="6"/>
  <c r="I315" i="6"/>
  <c r="I316" i="6"/>
  <c r="I317" i="6"/>
  <c r="I318" i="6"/>
  <c r="I319" i="6"/>
  <c r="I320" i="6"/>
  <c r="I322" i="6"/>
  <c r="I323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" i="6" l="1"/>
  <c r="C373" i="6"/>
  <c r="B373" i="6"/>
  <c r="A373" i="6"/>
  <c r="K372" i="6"/>
  <c r="L372" i="6" s="1"/>
  <c r="C372" i="6"/>
  <c r="B372" i="6"/>
  <c r="A372" i="6"/>
  <c r="C371" i="6"/>
  <c r="B371" i="6"/>
  <c r="A371" i="6"/>
  <c r="K370" i="6"/>
  <c r="L370" i="6" s="1"/>
  <c r="C370" i="6"/>
  <c r="B370" i="6"/>
  <c r="A370" i="6"/>
  <c r="C369" i="6"/>
  <c r="B369" i="6"/>
  <c r="A369" i="6"/>
  <c r="K368" i="6"/>
  <c r="L368" i="6" s="1"/>
  <c r="C368" i="6"/>
  <c r="B368" i="6"/>
  <c r="A368" i="6"/>
  <c r="C367" i="6"/>
  <c r="B367" i="6"/>
  <c r="A367" i="6"/>
  <c r="K366" i="6"/>
  <c r="L366" i="6" s="1"/>
  <c r="C366" i="6"/>
  <c r="B366" i="6"/>
  <c r="A366" i="6"/>
  <c r="C365" i="6"/>
  <c r="B365" i="6"/>
  <c r="A365" i="6"/>
  <c r="C364" i="6"/>
  <c r="B364" i="6"/>
  <c r="A364" i="6"/>
  <c r="C363" i="6"/>
  <c r="B363" i="6"/>
  <c r="A363" i="6"/>
  <c r="K362" i="6"/>
  <c r="L362" i="6" s="1"/>
  <c r="C362" i="6"/>
  <c r="B362" i="6"/>
  <c r="A362" i="6"/>
  <c r="C361" i="6"/>
  <c r="B361" i="6"/>
  <c r="A361" i="6"/>
  <c r="I360" i="6"/>
  <c r="C360" i="6"/>
  <c r="B360" i="6"/>
  <c r="A360" i="6"/>
  <c r="C359" i="6"/>
  <c r="B359" i="6"/>
  <c r="A359" i="6"/>
  <c r="C358" i="6"/>
  <c r="B358" i="6"/>
  <c r="A358" i="6"/>
  <c r="C357" i="6"/>
  <c r="B357" i="6"/>
  <c r="A357" i="6"/>
  <c r="C356" i="6"/>
  <c r="B356" i="6"/>
  <c r="A356" i="6"/>
  <c r="C355" i="6"/>
  <c r="B355" i="6"/>
  <c r="A355" i="6"/>
  <c r="C354" i="6"/>
  <c r="B354" i="6"/>
  <c r="A354" i="6"/>
  <c r="C353" i="6"/>
  <c r="B353" i="6"/>
  <c r="A353" i="6"/>
  <c r="C348" i="6"/>
  <c r="B348" i="6"/>
  <c r="A348" i="6"/>
  <c r="C347" i="6"/>
  <c r="B347" i="6"/>
  <c r="A347" i="6"/>
  <c r="K346" i="6"/>
  <c r="L346" i="6" s="1"/>
  <c r="C346" i="6"/>
  <c r="B346" i="6"/>
  <c r="A346" i="6"/>
  <c r="C345" i="6"/>
  <c r="B345" i="6"/>
  <c r="A345" i="6"/>
  <c r="C344" i="6"/>
  <c r="B344" i="6"/>
  <c r="A344" i="6"/>
  <c r="C343" i="6"/>
  <c r="B343" i="6"/>
  <c r="A343" i="6"/>
  <c r="C342" i="6"/>
  <c r="B342" i="6"/>
  <c r="A342" i="6"/>
  <c r="C341" i="6"/>
  <c r="B341" i="6"/>
  <c r="A341" i="6"/>
  <c r="K340" i="6"/>
  <c r="L340" i="6" s="1"/>
  <c r="C340" i="6"/>
  <c r="B340" i="6"/>
  <c r="A340" i="6"/>
  <c r="C339" i="6"/>
  <c r="B339" i="6"/>
  <c r="A339" i="6"/>
  <c r="C338" i="6"/>
  <c r="B338" i="6"/>
  <c r="A338" i="6"/>
  <c r="C337" i="6"/>
  <c r="B337" i="6"/>
  <c r="A337" i="6"/>
  <c r="C336" i="6"/>
  <c r="B336" i="6"/>
  <c r="A336" i="6"/>
  <c r="C335" i="6"/>
  <c r="B335" i="6"/>
  <c r="A335" i="6"/>
  <c r="I334" i="6"/>
  <c r="C334" i="6"/>
  <c r="B334" i="6"/>
  <c r="A334" i="6"/>
  <c r="C333" i="6"/>
  <c r="B333" i="6"/>
  <c r="A333" i="6"/>
  <c r="I332" i="6"/>
  <c r="C332" i="6"/>
  <c r="B332" i="6"/>
  <c r="A332" i="6"/>
  <c r="C331" i="6"/>
  <c r="B331" i="6"/>
  <c r="A331" i="6"/>
  <c r="K330" i="6"/>
  <c r="L330" i="6" s="1"/>
  <c r="C330" i="6"/>
  <c r="B330" i="6"/>
  <c r="A330" i="6"/>
  <c r="C329" i="6"/>
  <c r="B329" i="6"/>
  <c r="A329" i="6"/>
  <c r="C328" i="6"/>
  <c r="B328" i="6"/>
  <c r="A328" i="6"/>
  <c r="C323" i="6"/>
  <c r="B323" i="6"/>
  <c r="A323" i="6"/>
  <c r="K322" i="6"/>
  <c r="L322" i="6" s="1"/>
  <c r="C322" i="6"/>
  <c r="B322" i="6"/>
  <c r="A322" i="6"/>
  <c r="C321" i="6"/>
  <c r="B321" i="6"/>
  <c r="A321" i="6"/>
  <c r="K320" i="6"/>
  <c r="L320" i="6" s="1"/>
  <c r="C320" i="6"/>
  <c r="B320" i="6"/>
  <c r="A320" i="6"/>
  <c r="C319" i="6"/>
  <c r="B319" i="6"/>
  <c r="A319" i="6"/>
  <c r="K318" i="6"/>
  <c r="L318" i="6" s="1"/>
  <c r="C318" i="6"/>
  <c r="B318" i="6"/>
  <c r="A318" i="6"/>
  <c r="C317" i="6"/>
  <c r="B317" i="6"/>
  <c r="A317" i="6"/>
  <c r="C316" i="6"/>
  <c r="B316" i="6"/>
  <c r="A316" i="6"/>
  <c r="C315" i="6"/>
  <c r="B315" i="6"/>
  <c r="A315" i="6"/>
  <c r="C314" i="6"/>
  <c r="B314" i="6"/>
  <c r="A314" i="6"/>
  <c r="C313" i="6"/>
  <c r="B313" i="6"/>
  <c r="A313" i="6"/>
  <c r="K312" i="6"/>
  <c r="L312" i="6" s="1"/>
  <c r="C312" i="6"/>
  <c r="B312" i="6"/>
  <c r="A312" i="6"/>
  <c r="C311" i="6"/>
  <c r="B311" i="6"/>
  <c r="A311" i="6"/>
  <c r="C310" i="6"/>
  <c r="B310" i="6"/>
  <c r="A310" i="6"/>
  <c r="C309" i="6"/>
  <c r="B309" i="6"/>
  <c r="A309" i="6"/>
  <c r="I308" i="6"/>
  <c r="C308" i="6"/>
  <c r="B308" i="6"/>
  <c r="A308" i="6"/>
  <c r="C307" i="6"/>
  <c r="B307" i="6"/>
  <c r="A307" i="6"/>
  <c r="C306" i="6"/>
  <c r="B306" i="6"/>
  <c r="A306" i="6"/>
  <c r="C305" i="6"/>
  <c r="B305" i="6"/>
  <c r="A305" i="6"/>
  <c r="C304" i="6"/>
  <c r="B304" i="6"/>
  <c r="A304" i="6"/>
  <c r="C303" i="6"/>
  <c r="B303" i="6"/>
  <c r="A303" i="6"/>
  <c r="C298" i="6"/>
  <c r="B298" i="6"/>
  <c r="A298" i="6"/>
  <c r="C297" i="6"/>
  <c r="B297" i="6"/>
  <c r="A297" i="6"/>
  <c r="C296" i="6"/>
  <c r="B296" i="6"/>
  <c r="A296" i="6"/>
  <c r="C295" i="6"/>
  <c r="B295" i="6"/>
  <c r="A295" i="6"/>
  <c r="C294" i="6"/>
  <c r="B294" i="6"/>
  <c r="A294" i="6"/>
  <c r="C293" i="6"/>
  <c r="B293" i="6"/>
  <c r="A293" i="6"/>
  <c r="C292" i="6"/>
  <c r="B292" i="6"/>
  <c r="A292" i="6"/>
  <c r="C291" i="6"/>
  <c r="B291" i="6"/>
  <c r="A291" i="6"/>
  <c r="C290" i="6"/>
  <c r="B290" i="6"/>
  <c r="A290" i="6"/>
  <c r="C289" i="6"/>
  <c r="B289" i="6"/>
  <c r="A289" i="6"/>
  <c r="C288" i="6"/>
  <c r="B288" i="6"/>
  <c r="A288" i="6"/>
  <c r="C287" i="6"/>
  <c r="B287" i="6"/>
  <c r="A287" i="6"/>
  <c r="C286" i="6"/>
  <c r="B286" i="6"/>
  <c r="A286" i="6"/>
  <c r="C285" i="6"/>
  <c r="B285" i="6"/>
  <c r="A285" i="6"/>
  <c r="I284" i="6"/>
  <c r="C284" i="6"/>
  <c r="B284" i="6"/>
  <c r="A284" i="6"/>
  <c r="C283" i="6"/>
  <c r="B283" i="6"/>
  <c r="A283" i="6"/>
  <c r="C282" i="6"/>
  <c r="B282" i="6"/>
  <c r="A282" i="6"/>
  <c r="C281" i="6"/>
  <c r="B281" i="6"/>
  <c r="A281" i="6"/>
  <c r="I280" i="6"/>
  <c r="C280" i="6"/>
  <c r="B280" i="6"/>
  <c r="A280" i="6"/>
  <c r="C279" i="6"/>
  <c r="B279" i="6"/>
  <c r="A279" i="6"/>
  <c r="C278" i="6"/>
  <c r="B278" i="6"/>
  <c r="A278" i="6"/>
  <c r="K273" i="6"/>
  <c r="L273" i="6" s="1"/>
  <c r="C273" i="6"/>
  <c r="B273" i="6"/>
  <c r="A273" i="6"/>
  <c r="C272" i="6"/>
  <c r="B272" i="6"/>
  <c r="A272" i="6"/>
  <c r="C271" i="6"/>
  <c r="B271" i="6"/>
  <c r="A271" i="6"/>
  <c r="C270" i="6"/>
  <c r="B270" i="6"/>
  <c r="A270" i="6"/>
  <c r="C269" i="6"/>
  <c r="B269" i="6"/>
  <c r="A269" i="6"/>
  <c r="C268" i="6"/>
  <c r="B268" i="6"/>
  <c r="A268" i="6"/>
  <c r="K267" i="6"/>
  <c r="L267" i="6" s="1"/>
  <c r="C267" i="6"/>
  <c r="B267" i="6"/>
  <c r="A267" i="6"/>
  <c r="C266" i="6"/>
  <c r="B266" i="6"/>
  <c r="A266" i="6"/>
  <c r="K265" i="6"/>
  <c r="L265" i="6" s="1"/>
  <c r="C265" i="6"/>
  <c r="B265" i="6"/>
  <c r="A265" i="6"/>
  <c r="C264" i="6"/>
  <c r="B264" i="6"/>
  <c r="A264" i="6"/>
  <c r="K263" i="6"/>
  <c r="L263" i="6" s="1"/>
  <c r="C263" i="6"/>
  <c r="B263" i="6"/>
  <c r="A263" i="6"/>
  <c r="C262" i="6"/>
  <c r="B262" i="6"/>
  <c r="A262" i="6"/>
  <c r="C261" i="6"/>
  <c r="B261" i="6"/>
  <c r="A261" i="6"/>
  <c r="C260" i="6"/>
  <c r="B260" i="6"/>
  <c r="A260" i="6"/>
  <c r="K259" i="6"/>
  <c r="L259" i="6" s="1"/>
  <c r="C259" i="6"/>
  <c r="B259" i="6"/>
  <c r="A259" i="6"/>
  <c r="C258" i="6"/>
  <c r="B258" i="6"/>
  <c r="A258" i="6"/>
  <c r="C257" i="6"/>
  <c r="B257" i="6"/>
  <c r="A257" i="6"/>
  <c r="C256" i="6"/>
  <c r="B256" i="6"/>
  <c r="A256" i="6"/>
  <c r="C255" i="6"/>
  <c r="B255" i="6"/>
  <c r="A255" i="6"/>
  <c r="C254" i="6"/>
  <c r="B254" i="6"/>
  <c r="A254" i="6"/>
  <c r="C253" i="6"/>
  <c r="B253" i="6"/>
  <c r="A253" i="6"/>
  <c r="C248" i="6"/>
  <c r="B248" i="6"/>
  <c r="A248" i="6"/>
  <c r="K247" i="6"/>
  <c r="L247" i="6" s="1"/>
  <c r="C247" i="6"/>
  <c r="B247" i="6"/>
  <c r="A247" i="6"/>
  <c r="C246" i="6"/>
  <c r="B246" i="6"/>
  <c r="A246" i="6"/>
  <c r="C245" i="6"/>
  <c r="B245" i="6"/>
  <c r="A245" i="6"/>
  <c r="C244" i="6"/>
  <c r="B244" i="6"/>
  <c r="A244" i="6"/>
  <c r="C243" i="6"/>
  <c r="B243" i="6"/>
  <c r="A243" i="6"/>
  <c r="C242" i="6"/>
  <c r="B242" i="6"/>
  <c r="A242" i="6"/>
  <c r="C241" i="6"/>
  <c r="B241" i="6"/>
  <c r="A241" i="6"/>
  <c r="C240" i="6"/>
  <c r="B240" i="6"/>
  <c r="A240" i="6"/>
  <c r="K239" i="6"/>
  <c r="L239" i="6" s="1"/>
  <c r="C239" i="6"/>
  <c r="B239" i="6"/>
  <c r="A239" i="6"/>
  <c r="C238" i="6"/>
  <c r="B238" i="6"/>
  <c r="A238" i="6"/>
  <c r="K237" i="6"/>
  <c r="L237" i="6" s="1"/>
  <c r="C237" i="6"/>
  <c r="B237" i="6"/>
  <c r="A237" i="6"/>
  <c r="C236" i="6"/>
  <c r="B236" i="6"/>
  <c r="A236" i="6"/>
  <c r="C235" i="6"/>
  <c r="B235" i="6"/>
  <c r="A235" i="6"/>
  <c r="C234" i="6"/>
  <c r="B234" i="6"/>
  <c r="A234" i="6"/>
  <c r="C233" i="6"/>
  <c r="B233" i="6"/>
  <c r="A233" i="6"/>
  <c r="I232" i="6"/>
  <c r="C232" i="6"/>
  <c r="B232" i="6"/>
  <c r="A232" i="6"/>
  <c r="C231" i="6"/>
  <c r="B231" i="6"/>
  <c r="A231" i="6"/>
  <c r="C230" i="6"/>
  <c r="B230" i="6"/>
  <c r="A230" i="6"/>
  <c r="I229" i="6"/>
  <c r="C229" i="6"/>
  <c r="B229" i="6"/>
  <c r="A229" i="6"/>
  <c r="C228" i="6"/>
  <c r="B228" i="6"/>
  <c r="A228" i="6"/>
  <c r="C223" i="6"/>
  <c r="B223" i="6"/>
  <c r="A223" i="6"/>
  <c r="C222" i="6"/>
  <c r="B222" i="6"/>
  <c r="A222" i="6"/>
  <c r="C221" i="6"/>
  <c r="B221" i="6"/>
  <c r="A221" i="6"/>
  <c r="C220" i="6"/>
  <c r="B220" i="6"/>
  <c r="A220" i="6"/>
  <c r="C219" i="6"/>
  <c r="B219" i="6"/>
  <c r="A219" i="6"/>
  <c r="K218" i="6"/>
  <c r="L218" i="6" s="1"/>
  <c r="C218" i="6"/>
  <c r="B218" i="6"/>
  <c r="A218" i="6"/>
  <c r="C217" i="6"/>
  <c r="B217" i="6"/>
  <c r="A217" i="6"/>
  <c r="C216" i="6"/>
  <c r="B216" i="6"/>
  <c r="A216" i="6"/>
  <c r="C215" i="6"/>
  <c r="B215" i="6"/>
  <c r="A215" i="6"/>
  <c r="K214" i="6"/>
  <c r="L214" i="6" s="1"/>
  <c r="C214" i="6"/>
  <c r="B214" i="6"/>
  <c r="A214" i="6"/>
  <c r="C213" i="6"/>
  <c r="B213" i="6"/>
  <c r="A213" i="6"/>
  <c r="K212" i="6"/>
  <c r="L212" i="6" s="1"/>
  <c r="C212" i="6"/>
  <c r="B212" i="6"/>
  <c r="A212" i="6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K206" i="6"/>
  <c r="L206" i="6" s="1"/>
  <c r="C206" i="6"/>
  <c r="B206" i="6"/>
  <c r="A206" i="6"/>
  <c r="I205" i="6"/>
  <c r="C205" i="6"/>
  <c r="B205" i="6"/>
  <c r="A205" i="6"/>
  <c r="K204" i="6"/>
  <c r="L204" i="6" s="1"/>
  <c r="C204" i="6"/>
  <c r="B204" i="6"/>
  <c r="A204" i="6"/>
  <c r="C203" i="6"/>
  <c r="B203" i="6"/>
  <c r="A203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K192" i="6"/>
  <c r="L192" i="6" s="1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I185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3" i="6"/>
  <c r="B173" i="6"/>
  <c r="A173" i="6"/>
  <c r="K172" i="6"/>
  <c r="L172" i="6" s="1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K164" i="6"/>
  <c r="L164" i="6" s="1"/>
  <c r="C164" i="6"/>
  <c r="B164" i="6"/>
  <c r="A164" i="6"/>
  <c r="C163" i="6"/>
  <c r="B163" i="6"/>
  <c r="A163" i="6"/>
  <c r="C162" i="6"/>
  <c r="B162" i="6"/>
  <c r="A162" i="6"/>
  <c r="C161" i="6"/>
  <c r="B161" i="6"/>
  <c r="A161" i="6"/>
  <c r="K160" i="6"/>
  <c r="L160" i="6" s="1"/>
  <c r="C160" i="6"/>
  <c r="B160" i="6"/>
  <c r="A160" i="6"/>
  <c r="I159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K153" i="6"/>
  <c r="L153" i="6" s="1"/>
  <c r="I153" i="6"/>
  <c r="C153" i="6"/>
  <c r="B153" i="6"/>
  <c r="A153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K143" i="6"/>
  <c r="L143" i="6" s="1"/>
  <c r="C143" i="6"/>
  <c r="B143" i="6"/>
  <c r="A143" i="6"/>
  <c r="C142" i="6"/>
  <c r="B142" i="6"/>
  <c r="A142" i="6"/>
  <c r="C141" i="6"/>
  <c r="B141" i="6"/>
  <c r="A141" i="6"/>
  <c r="K140" i="6"/>
  <c r="L140" i="6" s="1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I135" i="6"/>
  <c r="C135" i="6"/>
  <c r="B135" i="6"/>
  <c r="A135" i="6"/>
  <c r="C134" i="6"/>
  <c r="B134" i="6"/>
  <c r="A134" i="6"/>
  <c r="I133" i="6"/>
  <c r="C133" i="6"/>
  <c r="B133" i="6"/>
  <c r="A133" i="6"/>
  <c r="K132" i="6"/>
  <c r="L132" i="6" s="1"/>
  <c r="C132" i="6"/>
  <c r="B132" i="6"/>
  <c r="A132" i="6"/>
  <c r="C131" i="6"/>
  <c r="B131" i="6"/>
  <c r="A131" i="6"/>
  <c r="C130" i="6"/>
  <c r="B130" i="6"/>
  <c r="A130" i="6"/>
  <c r="C129" i="6"/>
  <c r="B129" i="6"/>
  <c r="A129" i="6"/>
  <c r="I128" i="6"/>
  <c r="C128" i="6"/>
  <c r="B128" i="6"/>
  <c r="A128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K117" i="6"/>
  <c r="L117" i="6" s="1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K61" i="6"/>
  <c r="L61" i="6" s="1"/>
  <c r="C111" i="6"/>
  <c r="B111" i="6"/>
  <c r="A111" i="6"/>
  <c r="C110" i="6"/>
  <c r="B110" i="6"/>
  <c r="A110" i="6"/>
  <c r="I109" i="6"/>
  <c r="C109" i="6"/>
  <c r="B109" i="6"/>
  <c r="A109" i="6"/>
  <c r="C108" i="6"/>
  <c r="B108" i="6"/>
  <c r="A108" i="6"/>
  <c r="I107" i="6"/>
  <c r="C107" i="6"/>
  <c r="B107" i="6"/>
  <c r="A107" i="6"/>
  <c r="I106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K91" i="6"/>
  <c r="L91" i="6" s="1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I82" i="6"/>
  <c r="C82" i="6"/>
  <c r="B82" i="6"/>
  <c r="A82" i="6"/>
  <c r="C81" i="6"/>
  <c r="B81" i="6"/>
  <c r="A81" i="6"/>
  <c r="C80" i="6"/>
  <c r="B80" i="6"/>
  <c r="A80" i="6"/>
  <c r="I79" i="6"/>
  <c r="C79" i="6"/>
  <c r="B79" i="6"/>
  <c r="A79" i="6"/>
  <c r="C78" i="6"/>
  <c r="B78" i="6"/>
  <c r="A78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I32" i="6"/>
  <c r="C32" i="6"/>
  <c r="B32" i="6"/>
  <c r="A32" i="6"/>
  <c r="I31" i="6"/>
  <c r="C31" i="6"/>
  <c r="B31" i="6"/>
  <c r="A31" i="6"/>
  <c r="C30" i="6"/>
  <c r="B30" i="6"/>
  <c r="A30" i="6"/>
  <c r="C29" i="6"/>
  <c r="B29" i="6"/>
  <c r="A29" i="6"/>
  <c r="C28" i="6"/>
  <c r="B28" i="6"/>
  <c r="A28" i="6"/>
  <c r="C23" i="6"/>
  <c r="B23" i="6"/>
  <c r="A23" i="6"/>
  <c r="C22" i="6"/>
  <c r="B22" i="6"/>
  <c r="A22" i="6"/>
  <c r="K21" i="6"/>
  <c r="L21" i="6" s="1"/>
  <c r="C21" i="6"/>
  <c r="B21" i="6"/>
  <c r="A21" i="6"/>
  <c r="C20" i="6"/>
  <c r="B20" i="6"/>
  <c r="A20" i="6"/>
  <c r="K19" i="6"/>
  <c r="L19" i="6" s="1"/>
  <c r="C19" i="6"/>
  <c r="B19" i="6"/>
  <c r="A19" i="6"/>
  <c r="C18" i="6"/>
  <c r="B18" i="6"/>
  <c r="A18" i="6"/>
  <c r="K17" i="6"/>
  <c r="L17" i="6" s="1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I9" i="6"/>
  <c r="C9" i="6"/>
  <c r="B9" i="6"/>
  <c r="A9" i="6"/>
  <c r="C8" i="6"/>
  <c r="B8" i="6"/>
  <c r="A8" i="6"/>
  <c r="I7" i="6"/>
  <c r="C7" i="6"/>
  <c r="B7" i="6"/>
  <c r="A7" i="6"/>
  <c r="C6" i="6"/>
  <c r="B6" i="6"/>
  <c r="A6" i="6"/>
  <c r="I5" i="6"/>
  <c r="C5" i="6"/>
  <c r="B5" i="6"/>
  <c r="A5" i="6"/>
  <c r="I4" i="6"/>
  <c r="C4" i="6"/>
  <c r="B4" i="6"/>
  <c r="A4" i="6"/>
  <c r="K3" i="6"/>
  <c r="L3" i="6" s="1"/>
  <c r="C3" i="6"/>
  <c r="B3" i="6"/>
  <c r="A3" i="6"/>
  <c r="C1" i="6"/>
  <c r="B1" i="6"/>
  <c r="A1" i="6"/>
  <c r="K284" i="6" l="1"/>
  <c r="L284" i="6" s="1"/>
  <c r="K255" i="6"/>
  <c r="L255" i="6" s="1"/>
  <c r="K310" i="6"/>
  <c r="L310" i="6" s="1"/>
  <c r="K230" i="6"/>
  <c r="L230" i="6" s="1"/>
  <c r="K354" i="6"/>
  <c r="L354" i="6" s="1"/>
  <c r="K229" i="6"/>
  <c r="L229" i="6" s="1"/>
  <c r="K360" i="6"/>
  <c r="L360" i="6" s="1"/>
  <c r="K257" i="6"/>
  <c r="L257" i="6" s="1"/>
  <c r="K328" i="6"/>
  <c r="L328" i="6" s="1"/>
  <c r="K233" i="6"/>
  <c r="L233" i="6" s="1"/>
  <c r="K253" i="6"/>
  <c r="L253" i="6" s="1"/>
  <c r="K178" i="6"/>
  <c r="L178" i="6" s="1"/>
  <c r="K184" i="6"/>
  <c r="L184" i="6" s="1"/>
  <c r="I30" i="6"/>
  <c r="K34" i="6"/>
  <c r="L34" i="6" s="1"/>
  <c r="K60" i="6"/>
  <c r="L60" i="6" s="1"/>
  <c r="K87" i="6"/>
  <c r="L87" i="6" s="1"/>
  <c r="K109" i="6"/>
  <c r="L109" i="6" s="1"/>
  <c r="K194" i="6"/>
  <c r="L194" i="6" s="1"/>
  <c r="K222" i="6"/>
  <c r="L222" i="6" s="1"/>
  <c r="K215" i="6"/>
  <c r="L215" i="6" s="1"/>
  <c r="I35" i="6"/>
  <c r="K155" i="6"/>
  <c r="L155" i="6" s="1"/>
  <c r="K207" i="6"/>
  <c r="L207" i="6" s="1"/>
  <c r="I59" i="6"/>
  <c r="K186" i="6"/>
  <c r="L186" i="6" s="1"/>
  <c r="K111" i="6"/>
  <c r="L111" i="6" s="1"/>
  <c r="K142" i="6"/>
  <c r="L142" i="6" s="1"/>
  <c r="K179" i="6"/>
  <c r="L179" i="6" s="1"/>
  <c r="K80" i="6"/>
  <c r="L80" i="6" s="1"/>
  <c r="I56" i="6"/>
  <c r="I105" i="6"/>
  <c r="I110" i="6"/>
  <c r="K44" i="6"/>
  <c r="L44" i="6" s="1"/>
  <c r="K195" i="6"/>
  <c r="L195" i="6" s="1"/>
  <c r="K79" i="6"/>
  <c r="L79" i="6" s="1"/>
  <c r="K123" i="6"/>
  <c r="L123" i="6" s="1"/>
  <c r="K36" i="6"/>
  <c r="L36" i="6" s="1"/>
  <c r="I55" i="6"/>
  <c r="K93" i="6"/>
  <c r="L93" i="6" s="1"/>
  <c r="I57" i="6"/>
  <c r="K70" i="6"/>
  <c r="L70" i="6" s="1"/>
  <c r="I29" i="6"/>
  <c r="K63" i="6"/>
  <c r="L63" i="6" s="1"/>
  <c r="K336" i="6"/>
  <c r="L336" i="6" s="1"/>
  <c r="K358" i="6"/>
  <c r="L358" i="6" s="1"/>
  <c r="I358" i="6"/>
  <c r="K338" i="6"/>
  <c r="L338" i="6" s="1"/>
  <c r="I356" i="6"/>
  <c r="K356" i="6"/>
  <c r="L356" i="6" s="1"/>
  <c r="K261" i="6"/>
  <c r="L261" i="6" s="1"/>
  <c r="I282" i="6"/>
  <c r="I310" i="6"/>
  <c r="K232" i="6"/>
  <c r="L232" i="6" s="1"/>
  <c r="K243" i="6"/>
  <c r="L243" i="6" s="1"/>
  <c r="K316" i="6"/>
  <c r="L316" i="6" s="1"/>
  <c r="K332" i="6"/>
  <c r="L332" i="6" s="1"/>
  <c r="K342" i="6"/>
  <c r="L342" i="6" s="1"/>
  <c r="I8" i="6"/>
  <c r="K18" i="6"/>
  <c r="L18" i="6" s="1"/>
  <c r="K32" i="6"/>
  <c r="L32" i="6" s="1"/>
  <c r="I33" i="6"/>
  <c r="K55" i="6"/>
  <c r="L55" i="6" s="1"/>
  <c r="K66" i="6"/>
  <c r="L66" i="6" s="1"/>
  <c r="K68" i="6"/>
  <c r="L68" i="6" s="1"/>
  <c r="I84" i="6"/>
  <c r="K88" i="6"/>
  <c r="L88" i="6" s="1"/>
  <c r="I108" i="6"/>
  <c r="K113" i="6"/>
  <c r="L113" i="6" s="1"/>
  <c r="K364" i="6"/>
  <c r="L364" i="6" s="1"/>
  <c r="K97" i="6"/>
  <c r="L97" i="6" s="1"/>
  <c r="I103" i="6"/>
  <c r="I6" i="6"/>
  <c r="K16" i="6"/>
  <c r="L16" i="6" s="1"/>
  <c r="K37" i="6"/>
  <c r="L37" i="6" s="1"/>
  <c r="K43" i="6"/>
  <c r="L43" i="6" s="1"/>
  <c r="K45" i="6"/>
  <c r="L45" i="6" s="1"/>
  <c r="I80" i="6"/>
  <c r="K95" i="6"/>
  <c r="L95" i="6" s="1"/>
  <c r="I104" i="6"/>
  <c r="K115" i="6"/>
  <c r="L115" i="6" s="1"/>
  <c r="I60" i="6"/>
  <c r="K65" i="6"/>
  <c r="L65" i="6" s="1"/>
  <c r="I28" i="6"/>
  <c r="K31" i="6"/>
  <c r="L31" i="6" s="1"/>
  <c r="K42" i="6"/>
  <c r="L42" i="6" s="1"/>
  <c r="K58" i="6"/>
  <c r="L58" i="6" s="1"/>
  <c r="K85" i="6"/>
  <c r="L85" i="6" s="1"/>
  <c r="K29" i="6"/>
  <c r="L29" i="6" s="1"/>
  <c r="K6" i="6"/>
  <c r="L6" i="6" s="1"/>
  <c r="K53" i="6"/>
  <c r="L53" i="6" s="1"/>
  <c r="K23" i="6"/>
  <c r="L23" i="6" s="1"/>
  <c r="K41" i="6"/>
  <c r="L41" i="6" s="1"/>
  <c r="K62" i="6"/>
  <c r="L62" i="6" s="1"/>
  <c r="K64" i="6"/>
  <c r="L64" i="6" s="1"/>
  <c r="K69" i="6"/>
  <c r="L69" i="6" s="1"/>
  <c r="K83" i="6"/>
  <c r="L83" i="6" s="1"/>
  <c r="K121" i="6"/>
  <c r="L121" i="6" s="1"/>
  <c r="K344" i="6"/>
  <c r="L344" i="6" s="1"/>
  <c r="K40" i="6"/>
  <c r="L40" i="6" s="1"/>
  <c r="K46" i="6"/>
  <c r="L46" i="6" s="1"/>
  <c r="K48" i="6"/>
  <c r="L48" i="6" s="1"/>
  <c r="K78" i="6"/>
  <c r="L78" i="6" s="1"/>
  <c r="K15" i="6"/>
  <c r="L15" i="6" s="1"/>
  <c r="I10" i="6"/>
  <c r="K38" i="6"/>
  <c r="L38" i="6" s="1"/>
  <c r="K57" i="6"/>
  <c r="L57" i="6" s="1"/>
  <c r="K81" i="6"/>
  <c r="L81" i="6" s="1"/>
  <c r="K119" i="6"/>
  <c r="L119" i="6" s="1"/>
  <c r="K231" i="6"/>
  <c r="L231" i="6" s="1"/>
  <c r="I231" i="6"/>
  <c r="K128" i="6"/>
  <c r="L128" i="6" s="1"/>
  <c r="I131" i="6"/>
  <c r="K156" i="6"/>
  <c r="L156" i="6" s="1"/>
  <c r="K168" i="6"/>
  <c r="L168" i="6" s="1"/>
  <c r="K180" i="6"/>
  <c r="L180" i="6" s="1"/>
  <c r="K188" i="6"/>
  <c r="L188" i="6" s="1"/>
  <c r="K196" i="6"/>
  <c r="L196" i="6" s="1"/>
  <c r="K208" i="6"/>
  <c r="L208" i="6" s="1"/>
  <c r="K216" i="6"/>
  <c r="L216" i="6" s="1"/>
  <c r="K241" i="6"/>
  <c r="L241" i="6" s="1"/>
  <c r="K334" i="6"/>
  <c r="L334" i="6" s="1"/>
  <c r="K348" i="6"/>
  <c r="L348" i="6" s="1"/>
  <c r="I354" i="6"/>
  <c r="K129" i="6"/>
  <c r="L129" i="6" s="1"/>
  <c r="K135" i="6"/>
  <c r="L135" i="6" s="1"/>
  <c r="K163" i="6"/>
  <c r="L163" i="6" s="1"/>
  <c r="K173" i="6"/>
  <c r="L173" i="6" s="1"/>
  <c r="I183" i="6"/>
  <c r="K185" i="6"/>
  <c r="L185" i="6" s="1"/>
  <c r="K193" i="6"/>
  <c r="L193" i="6" s="1"/>
  <c r="I203" i="6"/>
  <c r="K205" i="6"/>
  <c r="L205" i="6" s="1"/>
  <c r="K213" i="6"/>
  <c r="L213" i="6" s="1"/>
  <c r="K223" i="6"/>
  <c r="L223" i="6" s="1"/>
  <c r="I234" i="6"/>
  <c r="K282" i="6"/>
  <c r="L282" i="6" s="1"/>
  <c r="K290" i="6"/>
  <c r="L290" i="6" s="1"/>
  <c r="K298" i="6"/>
  <c r="L298" i="6" s="1"/>
  <c r="K314" i="6"/>
  <c r="L314" i="6" s="1"/>
  <c r="K134" i="6"/>
  <c r="L134" i="6" s="1"/>
  <c r="I155" i="6"/>
  <c r="I157" i="6"/>
  <c r="K161" i="6"/>
  <c r="L161" i="6" s="1"/>
  <c r="K171" i="6"/>
  <c r="L171" i="6" s="1"/>
  <c r="I181" i="6"/>
  <c r="K183" i="6"/>
  <c r="L183" i="6" s="1"/>
  <c r="K191" i="6"/>
  <c r="L191" i="6" s="1"/>
  <c r="K203" i="6"/>
  <c r="L203" i="6" s="1"/>
  <c r="I209" i="6"/>
  <c r="K211" i="6"/>
  <c r="L211" i="6" s="1"/>
  <c r="K221" i="6"/>
  <c r="L221" i="6" s="1"/>
  <c r="K234" i="6"/>
  <c r="L234" i="6" s="1"/>
  <c r="K280" i="6"/>
  <c r="L280" i="6" s="1"/>
  <c r="K288" i="6"/>
  <c r="L288" i="6" s="1"/>
  <c r="K296" i="6"/>
  <c r="L296" i="6" s="1"/>
  <c r="K308" i="6"/>
  <c r="L308" i="6" s="1"/>
  <c r="K144" i="6"/>
  <c r="L144" i="6" s="1"/>
  <c r="K159" i="6"/>
  <c r="L159" i="6" s="1"/>
  <c r="K219" i="6"/>
  <c r="L219" i="6" s="1"/>
  <c r="K236" i="6"/>
  <c r="L236" i="6" s="1"/>
  <c r="I278" i="6"/>
  <c r="I306" i="6"/>
  <c r="I330" i="6"/>
  <c r="I130" i="6"/>
  <c r="K136" i="6"/>
  <c r="L136" i="6" s="1"/>
  <c r="K157" i="6"/>
  <c r="L157" i="6" s="1"/>
  <c r="K169" i="6"/>
  <c r="L169" i="6" s="1"/>
  <c r="I179" i="6"/>
  <c r="K181" i="6"/>
  <c r="L181" i="6" s="1"/>
  <c r="K189" i="6"/>
  <c r="L189" i="6" s="1"/>
  <c r="K197" i="6"/>
  <c r="L197" i="6" s="1"/>
  <c r="I207" i="6"/>
  <c r="K209" i="6"/>
  <c r="L209" i="6" s="1"/>
  <c r="K217" i="6"/>
  <c r="L217" i="6" s="1"/>
  <c r="K278" i="6"/>
  <c r="L278" i="6" s="1"/>
  <c r="K286" i="6"/>
  <c r="L286" i="6" s="1"/>
  <c r="K294" i="6"/>
  <c r="L294" i="6" s="1"/>
  <c r="K306" i="6"/>
  <c r="L306" i="6" s="1"/>
  <c r="K167" i="6"/>
  <c r="L167" i="6" s="1"/>
  <c r="K170" i="6"/>
  <c r="L170" i="6" s="1"/>
  <c r="K182" i="6"/>
  <c r="L182" i="6" s="1"/>
  <c r="K190" i="6"/>
  <c r="L190" i="6" s="1"/>
  <c r="K198" i="6"/>
  <c r="L198" i="6" s="1"/>
  <c r="K210" i="6"/>
  <c r="L210" i="6" s="1"/>
  <c r="K220" i="6"/>
  <c r="L220" i="6" s="1"/>
  <c r="K269" i="6"/>
  <c r="L269" i="6" s="1"/>
  <c r="K271" i="6"/>
  <c r="L271" i="6" s="1"/>
  <c r="I304" i="6"/>
  <c r="K130" i="6"/>
  <c r="L130" i="6" s="1"/>
  <c r="K165" i="6"/>
  <c r="L165" i="6" s="1"/>
  <c r="K187" i="6"/>
  <c r="L187" i="6" s="1"/>
  <c r="K292" i="6"/>
  <c r="L292" i="6" s="1"/>
  <c r="K304" i="6"/>
  <c r="L304" i="6" s="1"/>
  <c r="K5" i="6"/>
  <c r="L5" i="6" s="1"/>
  <c r="K7" i="6"/>
  <c r="L7" i="6" s="1"/>
  <c r="K9" i="6"/>
  <c r="L9" i="6" s="1"/>
  <c r="K11" i="6"/>
  <c r="L11" i="6" s="1"/>
  <c r="K13" i="6"/>
  <c r="L13" i="6" s="1"/>
  <c r="K72" i="6"/>
  <c r="L72" i="6" s="1"/>
  <c r="K73" i="6"/>
  <c r="L73" i="6" s="1"/>
  <c r="K89" i="6"/>
  <c r="L89" i="6" s="1"/>
  <c r="K107" i="6"/>
  <c r="L107" i="6" s="1"/>
  <c r="K90" i="6"/>
  <c r="L90" i="6" s="1"/>
  <c r="K103" i="6"/>
  <c r="L103" i="6" s="1"/>
  <c r="K12" i="6"/>
  <c r="L12" i="6" s="1"/>
  <c r="K14" i="6"/>
  <c r="L14" i="6" s="1"/>
  <c r="K20" i="6"/>
  <c r="L20" i="6" s="1"/>
  <c r="K22" i="6"/>
  <c r="L22" i="6" s="1"/>
  <c r="I81" i="6"/>
  <c r="K82" i="6"/>
  <c r="L82" i="6" s="1"/>
  <c r="K4" i="6"/>
  <c r="L4" i="6" s="1"/>
  <c r="K8" i="6"/>
  <c r="L8" i="6" s="1"/>
  <c r="K10" i="6"/>
  <c r="L10" i="6" s="1"/>
  <c r="K67" i="6"/>
  <c r="L67" i="6" s="1"/>
  <c r="I83" i="6"/>
  <c r="K84" i="6"/>
  <c r="L84" i="6" s="1"/>
  <c r="I85" i="6"/>
  <c r="K86" i="6"/>
  <c r="L86" i="6" s="1"/>
  <c r="K105" i="6"/>
  <c r="L105" i="6" s="1"/>
  <c r="K71" i="6"/>
  <c r="L71" i="6" s="1"/>
  <c r="K92" i="6"/>
  <c r="L92" i="6" s="1"/>
  <c r="K96" i="6"/>
  <c r="L96" i="6" s="1"/>
  <c r="K98" i="6"/>
  <c r="L98" i="6" s="1"/>
  <c r="K104" i="6"/>
  <c r="L104" i="6" s="1"/>
  <c r="K108" i="6"/>
  <c r="L108" i="6" s="1"/>
  <c r="K110" i="6"/>
  <c r="L110" i="6" s="1"/>
  <c r="K112" i="6"/>
  <c r="L112" i="6" s="1"/>
  <c r="K114" i="6"/>
  <c r="L114" i="6" s="1"/>
  <c r="K116" i="6"/>
  <c r="L116" i="6" s="1"/>
  <c r="K118" i="6"/>
  <c r="L118" i="6" s="1"/>
  <c r="K120" i="6"/>
  <c r="L120" i="6" s="1"/>
  <c r="K122" i="6"/>
  <c r="L122" i="6" s="1"/>
  <c r="I129" i="6"/>
  <c r="K133" i="6"/>
  <c r="L133" i="6" s="1"/>
  <c r="K141" i="6"/>
  <c r="L141" i="6" s="1"/>
  <c r="K158" i="6"/>
  <c r="L158" i="6" s="1"/>
  <c r="K166" i="6"/>
  <c r="L166" i="6" s="1"/>
  <c r="K154" i="6"/>
  <c r="L154" i="6" s="1"/>
  <c r="I154" i="6"/>
  <c r="I132" i="6"/>
  <c r="K137" i="6"/>
  <c r="L137" i="6" s="1"/>
  <c r="K145" i="6"/>
  <c r="L145" i="6" s="1"/>
  <c r="K148" i="6"/>
  <c r="L148" i="6" s="1"/>
  <c r="K138" i="6"/>
  <c r="L138" i="6" s="1"/>
  <c r="K146" i="6"/>
  <c r="L146" i="6" s="1"/>
  <c r="K162" i="6"/>
  <c r="L162" i="6" s="1"/>
  <c r="K131" i="6"/>
  <c r="L131" i="6" s="1"/>
  <c r="I134" i="6"/>
  <c r="K139" i="6"/>
  <c r="L139" i="6" s="1"/>
  <c r="K147" i="6"/>
  <c r="L147" i="6" s="1"/>
  <c r="K345" i="6"/>
  <c r="L345" i="6" s="1"/>
  <c r="K365" i="6"/>
  <c r="L365" i="6" s="1"/>
  <c r="I156" i="6"/>
  <c r="I158" i="6"/>
  <c r="I160" i="6"/>
  <c r="I178" i="6"/>
  <c r="I180" i="6"/>
  <c r="I182" i="6"/>
  <c r="I184" i="6"/>
  <c r="I204" i="6"/>
  <c r="I206" i="6"/>
  <c r="I208" i="6"/>
  <c r="I210" i="6"/>
  <c r="K235" i="6"/>
  <c r="L235" i="6" s="1"/>
  <c r="K228" i="6"/>
  <c r="L228" i="6" s="1"/>
  <c r="K245" i="6"/>
  <c r="L245" i="6" s="1"/>
  <c r="K244" i="6"/>
  <c r="L244" i="6" s="1"/>
  <c r="K254" i="6"/>
  <c r="L254" i="6" s="1"/>
  <c r="I254" i="6"/>
  <c r="K258" i="6"/>
  <c r="L258" i="6" s="1"/>
  <c r="I258" i="6"/>
  <c r="K262" i="6"/>
  <c r="L262" i="6" s="1"/>
  <c r="K266" i="6"/>
  <c r="L266" i="6" s="1"/>
  <c r="K270" i="6"/>
  <c r="L270" i="6" s="1"/>
  <c r="K242" i="6"/>
  <c r="L242" i="6" s="1"/>
  <c r="I253" i="6"/>
  <c r="I257" i="6"/>
  <c r="K272" i="6"/>
  <c r="L272" i="6" s="1"/>
  <c r="I228" i="6"/>
  <c r="I230" i="6"/>
  <c r="K240" i="6"/>
  <c r="L240" i="6" s="1"/>
  <c r="K248" i="6"/>
  <c r="L248" i="6" s="1"/>
  <c r="K256" i="6"/>
  <c r="L256" i="6" s="1"/>
  <c r="I256" i="6"/>
  <c r="K260" i="6"/>
  <c r="L260" i="6" s="1"/>
  <c r="I260" i="6"/>
  <c r="K264" i="6"/>
  <c r="L264" i="6" s="1"/>
  <c r="K268" i="6"/>
  <c r="L268" i="6" s="1"/>
  <c r="K238" i="6"/>
  <c r="L238" i="6" s="1"/>
  <c r="K246" i="6"/>
  <c r="L246" i="6" s="1"/>
  <c r="I255" i="6"/>
  <c r="I259" i="6"/>
  <c r="I233" i="6"/>
  <c r="I235" i="6"/>
  <c r="K279" i="6"/>
  <c r="L279" i="6" s="1"/>
  <c r="K281" i="6"/>
  <c r="L281" i="6" s="1"/>
  <c r="K283" i="6"/>
  <c r="L283" i="6" s="1"/>
  <c r="K285" i="6"/>
  <c r="L285" i="6" s="1"/>
  <c r="K287" i="6"/>
  <c r="L287" i="6" s="1"/>
  <c r="K289" i="6"/>
  <c r="L289" i="6" s="1"/>
  <c r="K291" i="6"/>
  <c r="L291" i="6" s="1"/>
  <c r="K293" i="6"/>
  <c r="L293" i="6" s="1"/>
  <c r="K295" i="6"/>
  <c r="L295" i="6" s="1"/>
  <c r="K297" i="6"/>
  <c r="L297" i="6" s="1"/>
  <c r="K303" i="6"/>
  <c r="L303" i="6" s="1"/>
  <c r="K305" i="6"/>
  <c r="L305" i="6" s="1"/>
  <c r="K307" i="6"/>
  <c r="L307" i="6" s="1"/>
  <c r="K321" i="6"/>
  <c r="L321" i="6" s="1"/>
  <c r="I279" i="6"/>
  <c r="I281" i="6"/>
  <c r="I283" i="6"/>
  <c r="I285" i="6"/>
  <c r="I303" i="6"/>
  <c r="I305" i="6"/>
  <c r="I307" i="6"/>
  <c r="K347" i="6"/>
  <c r="L347" i="6" s="1"/>
  <c r="K367" i="6"/>
  <c r="L367" i="6" s="1"/>
  <c r="K369" i="6"/>
  <c r="L369" i="6" s="1"/>
  <c r="K371" i="6"/>
  <c r="L371" i="6" s="1"/>
  <c r="K373" i="6"/>
  <c r="L373" i="6" s="1"/>
  <c r="K317" i="6"/>
  <c r="L317" i="6" s="1"/>
  <c r="K323" i="6"/>
  <c r="L323" i="6" s="1"/>
  <c r="K333" i="6"/>
  <c r="L333" i="6" s="1"/>
  <c r="I333" i="6"/>
  <c r="K353" i="6"/>
  <c r="L353" i="6" s="1"/>
  <c r="I353" i="6"/>
  <c r="K335" i="6"/>
  <c r="L335" i="6" s="1"/>
  <c r="I335" i="6"/>
  <c r="K355" i="6"/>
  <c r="L355" i="6" s="1"/>
  <c r="I355" i="6"/>
  <c r="K315" i="6"/>
  <c r="L315" i="6" s="1"/>
  <c r="K329" i="6"/>
  <c r="L329" i="6" s="1"/>
  <c r="I329" i="6"/>
  <c r="K337" i="6"/>
  <c r="L337" i="6" s="1"/>
  <c r="K357" i="6"/>
  <c r="L357" i="6" s="1"/>
  <c r="I357" i="6"/>
  <c r="K339" i="6"/>
  <c r="L339" i="6" s="1"/>
  <c r="K359" i="6"/>
  <c r="L359" i="6" s="1"/>
  <c r="I359" i="6"/>
  <c r="K309" i="6"/>
  <c r="L309" i="6" s="1"/>
  <c r="I309" i="6"/>
  <c r="K311" i="6"/>
  <c r="L311" i="6" s="1"/>
  <c r="K313" i="6"/>
  <c r="L313" i="6" s="1"/>
  <c r="K319" i="6"/>
  <c r="L319" i="6" s="1"/>
  <c r="K341" i="6"/>
  <c r="L341" i="6" s="1"/>
  <c r="K361" i="6"/>
  <c r="L361" i="6" s="1"/>
  <c r="K331" i="6"/>
  <c r="L331" i="6" s="1"/>
  <c r="I331" i="6"/>
  <c r="K343" i="6"/>
  <c r="L343" i="6" s="1"/>
  <c r="K363" i="6"/>
  <c r="L363" i="6" s="1"/>
  <c r="O4" i="4"/>
  <c r="O29" i="4" s="1"/>
  <c r="P4" i="4"/>
  <c r="O5" i="4"/>
  <c r="O30" i="4" s="1"/>
  <c r="P5" i="4"/>
  <c r="O6" i="4"/>
  <c r="O31" i="4" s="1"/>
  <c r="P6" i="4"/>
  <c r="P31" i="4" s="1"/>
  <c r="O7" i="4"/>
  <c r="O32" i="4" s="1"/>
  <c r="P7" i="4"/>
  <c r="O8" i="4"/>
  <c r="O33" i="4" s="1"/>
  <c r="P8" i="4"/>
  <c r="O9" i="4"/>
  <c r="O34" i="4" s="1"/>
  <c r="P9" i="4"/>
  <c r="O10" i="4"/>
  <c r="O35" i="4" s="1"/>
  <c r="P10" i="4"/>
  <c r="O11" i="4"/>
  <c r="O36" i="4" s="1"/>
  <c r="P11" i="4"/>
  <c r="O12" i="4"/>
  <c r="O37" i="4" s="1"/>
  <c r="P12" i="4"/>
  <c r="O13" i="4"/>
  <c r="O38" i="4" s="1"/>
  <c r="P13" i="4"/>
  <c r="O14" i="4"/>
  <c r="O39" i="4" s="1"/>
  <c r="P14" i="4"/>
  <c r="O15" i="4"/>
  <c r="O40" i="4" s="1"/>
  <c r="P15" i="4"/>
  <c r="O16" i="4"/>
  <c r="O41" i="4" s="1"/>
  <c r="P16" i="4"/>
  <c r="O17" i="4"/>
  <c r="O42" i="4" s="1"/>
  <c r="P17" i="4"/>
  <c r="O18" i="4"/>
  <c r="O43" i="4" s="1"/>
  <c r="P18" i="4"/>
  <c r="O19" i="4"/>
  <c r="O44" i="4" s="1"/>
  <c r="P19" i="4"/>
  <c r="O20" i="4"/>
  <c r="O45" i="4" s="1"/>
  <c r="P20" i="4"/>
  <c r="O21" i="4"/>
  <c r="O46" i="4" s="1"/>
  <c r="P21" i="4"/>
  <c r="O22" i="4"/>
  <c r="O47" i="4" s="1"/>
  <c r="P22" i="4"/>
  <c r="O48" i="4"/>
  <c r="P23" i="4"/>
  <c r="P3" i="4"/>
  <c r="O3" i="4"/>
  <c r="O28" i="4" s="1"/>
  <c r="O54" i="4"/>
  <c r="P54" i="4"/>
  <c r="O55" i="4"/>
  <c r="P55" i="4"/>
  <c r="O56" i="4"/>
  <c r="P56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P53" i="4"/>
  <c r="O53" i="4"/>
  <c r="P40" i="4" l="1"/>
  <c r="P34" i="4"/>
  <c r="P48" i="4"/>
  <c r="P46" i="4"/>
  <c r="P42" i="4"/>
  <c r="P38" i="4"/>
  <c r="P30" i="4"/>
  <c r="P41" i="4"/>
  <c r="P29" i="4"/>
  <c r="P32" i="4"/>
  <c r="P47" i="4"/>
  <c r="P45" i="4"/>
  <c r="P43" i="4"/>
  <c r="P39" i="4"/>
  <c r="P37" i="4"/>
  <c r="P35" i="4"/>
  <c r="P33" i="4"/>
  <c r="P28" i="4"/>
  <c r="P44" i="4"/>
  <c r="P36" i="4"/>
  <c r="I34" i="6"/>
  <c r="K54" i="6"/>
  <c r="L54" i="6" s="1"/>
  <c r="K33" i="6"/>
  <c r="L33" i="6" s="1"/>
  <c r="I58" i="6"/>
  <c r="K30" i="6"/>
  <c r="L30" i="6" s="1"/>
  <c r="K59" i="6"/>
  <c r="L59" i="6" s="1"/>
  <c r="K56" i="6"/>
  <c r="L56" i="6" s="1"/>
  <c r="K28" i="6"/>
  <c r="L28" i="6" s="1"/>
  <c r="K35" i="6"/>
  <c r="L35" i="6" s="1"/>
  <c r="K47" i="6"/>
  <c r="L47" i="6" s="1"/>
  <c r="I53" i="6"/>
  <c r="I54" i="6"/>
  <c r="K39" i="6"/>
  <c r="L39" i="6" s="1"/>
  <c r="K106" i="6"/>
  <c r="L106" i="6" s="1"/>
  <c r="K94" i="6"/>
  <c r="L94" i="6" s="1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03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78" i="4"/>
  <c r="F4" i="4"/>
  <c r="H4" i="4" s="1"/>
  <c r="F5" i="4"/>
  <c r="F6" i="4"/>
  <c r="F31" i="4" s="1"/>
  <c r="F7" i="4"/>
  <c r="F32" i="4" s="1"/>
  <c r="F8" i="4"/>
  <c r="F33" i="4" s="1"/>
  <c r="F9" i="4"/>
  <c r="F34" i="4" s="1"/>
  <c r="F10" i="4"/>
  <c r="F11" i="4"/>
  <c r="F36" i="4" s="1"/>
  <c r="F12" i="4"/>
  <c r="F37" i="4" s="1"/>
  <c r="F13" i="4"/>
  <c r="F38" i="4" s="1"/>
  <c r="F14" i="4"/>
  <c r="F39" i="4" s="1"/>
  <c r="F40" i="4"/>
  <c r="F16" i="4"/>
  <c r="F17" i="4"/>
  <c r="F42" i="4" s="1"/>
  <c r="F18" i="4"/>
  <c r="F43" i="4" s="1"/>
  <c r="F19" i="4"/>
  <c r="F44" i="4" s="1"/>
  <c r="F20" i="4"/>
  <c r="F45" i="4" s="1"/>
  <c r="F21" i="4"/>
  <c r="F46" i="4" s="1"/>
  <c r="F22" i="4"/>
  <c r="F47" i="4" s="1"/>
  <c r="F4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28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78" i="4"/>
  <c r="F35" i="4"/>
  <c r="F41" i="4" l="1"/>
  <c r="H16" i="4"/>
  <c r="F29" i="4"/>
  <c r="I163" i="4"/>
  <c r="G13" i="4"/>
  <c r="I13" i="4" s="1"/>
  <c r="I171" i="4"/>
  <c r="G21" i="4"/>
  <c r="I21" i="4" s="1"/>
  <c r="I155" i="4"/>
  <c r="G5" i="4"/>
  <c r="I5" i="4" s="1"/>
  <c r="I170" i="4"/>
  <c r="G20" i="4"/>
  <c r="G45" i="4" s="1"/>
  <c r="I45" i="4" s="1"/>
  <c r="I166" i="4"/>
  <c r="G16" i="4"/>
  <c r="I16" i="4" s="1"/>
  <c r="I162" i="4"/>
  <c r="G12" i="4"/>
  <c r="I12" i="4" s="1"/>
  <c r="I158" i="4"/>
  <c r="G8" i="4"/>
  <c r="I8" i="4" s="1"/>
  <c r="I154" i="4"/>
  <c r="G4" i="4"/>
  <c r="I4" i="4" s="1"/>
  <c r="I159" i="4"/>
  <c r="G9" i="4"/>
  <c r="I9" i="4" s="1"/>
  <c r="I153" i="4"/>
  <c r="G3" i="4"/>
  <c r="I3" i="4" s="1"/>
  <c r="I173" i="4"/>
  <c r="I169" i="4"/>
  <c r="G19" i="4"/>
  <c r="I19" i="4" s="1"/>
  <c r="I165" i="4"/>
  <c r="G15" i="4"/>
  <c r="G40" i="4" s="1"/>
  <c r="I40" i="4" s="1"/>
  <c r="I161" i="4"/>
  <c r="G11" i="4"/>
  <c r="I11" i="4" s="1"/>
  <c r="I157" i="4"/>
  <c r="G7" i="4"/>
  <c r="I7" i="4" s="1"/>
  <c r="I167" i="4"/>
  <c r="G17" i="4"/>
  <c r="I17" i="4" s="1"/>
  <c r="I172" i="4"/>
  <c r="G22" i="4"/>
  <c r="G47" i="4" s="1"/>
  <c r="I47" i="4" s="1"/>
  <c r="I168" i="4"/>
  <c r="G18" i="4"/>
  <c r="I18" i="4" s="1"/>
  <c r="I164" i="4"/>
  <c r="G14" i="4"/>
  <c r="I14" i="4" s="1"/>
  <c r="I160" i="4"/>
  <c r="G10" i="4"/>
  <c r="I10" i="4" s="1"/>
  <c r="I156" i="4"/>
  <c r="G6" i="4"/>
  <c r="I6" i="4" s="1"/>
  <c r="H5" i="4"/>
  <c r="F30" i="4"/>
  <c r="F28" i="4"/>
  <c r="I103" i="4"/>
  <c r="F53" i="4"/>
  <c r="G54" i="4"/>
  <c r="I54" i="4" s="1"/>
  <c r="G58" i="4"/>
  <c r="I58" i="4" s="1"/>
  <c r="F54" i="4"/>
  <c r="G73" i="4"/>
  <c r="I73" i="4" s="1"/>
  <c r="G57" i="4"/>
  <c r="I57" i="4" s="1"/>
  <c r="F69" i="4"/>
  <c r="F65" i="4"/>
  <c r="F61" i="4"/>
  <c r="F57" i="4"/>
  <c r="G66" i="4"/>
  <c r="I66" i="4" s="1"/>
  <c r="G53" i="4"/>
  <c r="I53" i="4" s="1"/>
  <c r="F58" i="4"/>
  <c r="G65" i="4"/>
  <c r="I65" i="4" s="1"/>
  <c r="F73" i="4"/>
  <c r="G72" i="4"/>
  <c r="I72" i="4" s="1"/>
  <c r="G68" i="4"/>
  <c r="I68" i="4" s="1"/>
  <c r="G64" i="4"/>
  <c r="I64" i="4" s="1"/>
  <c r="G60" i="4"/>
  <c r="I60" i="4" s="1"/>
  <c r="G56" i="4"/>
  <c r="I56" i="4" s="1"/>
  <c r="G62" i="4"/>
  <c r="I62" i="4" s="1"/>
  <c r="F70" i="4"/>
  <c r="G61" i="4"/>
  <c r="I61" i="4" s="1"/>
  <c r="F68" i="4"/>
  <c r="F64" i="4"/>
  <c r="F60" i="4"/>
  <c r="F56" i="4"/>
  <c r="F66" i="4"/>
  <c r="G67" i="4"/>
  <c r="I67" i="4" s="1"/>
  <c r="G63" i="4"/>
  <c r="I63" i="4" s="1"/>
  <c r="G59" i="4"/>
  <c r="I59" i="4" s="1"/>
  <c r="G55" i="4"/>
  <c r="I55" i="4" s="1"/>
  <c r="G70" i="4"/>
  <c r="I70" i="4" s="1"/>
  <c r="F62" i="4"/>
  <c r="G69" i="4"/>
  <c r="I69" i="4" s="1"/>
  <c r="G71" i="4"/>
  <c r="I71" i="4" s="1"/>
  <c r="F71" i="4"/>
  <c r="F67" i="4"/>
  <c r="F63" i="4"/>
  <c r="F59" i="4"/>
  <c r="F55" i="4"/>
  <c r="G34" i="4" l="1"/>
  <c r="I34" i="4" s="1"/>
  <c r="J34" i="4" s="1"/>
  <c r="G38" i="4"/>
  <c r="I38" i="4" s="1"/>
  <c r="J38" i="4" s="1"/>
  <c r="I15" i="4"/>
  <c r="J15" i="4" s="1"/>
  <c r="G46" i="4"/>
  <c r="I46" i="4" s="1"/>
  <c r="J46" i="4" s="1"/>
  <c r="G31" i="4"/>
  <c r="I31" i="4" s="1"/>
  <c r="J31" i="4" s="1"/>
  <c r="I22" i="4"/>
  <c r="J22" i="4" s="1"/>
  <c r="G41" i="4"/>
  <c r="I41" i="4" s="1"/>
  <c r="J41" i="4" s="1"/>
  <c r="G36" i="4"/>
  <c r="I36" i="4" s="1"/>
  <c r="J36" i="4" s="1"/>
  <c r="G28" i="4"/>
  <c r="I28" i="4" s="1"/>
  <c r="J28" i="4" s="1"/>
  <c r="G33" i="4"/>
  <c r="I33" i="4" s="1"/>
  <c r="J33" i="4" s="1"/>
  <c r="G43" i="4"/>
  <c r="I43" i="4" s="1"/>
  <c r="J43" i="4" s="1"/>
  <c r="G39" i="4"/>
  <c r="I39" i="4" s="1"/>
  <c r="J39" i="4" s="1"/>
  <c r="G48" i="4"/>
  <c r="I48" i="4" s="1"/>
  <c r="J48" i="4" s="1"/>
  <c r="G42" i="4"/>
  <c r="I42" i="4" s="1"/>
  <c r="J42" i="4" s="1"/>
  <c r="G32" i="4"/>
  <c r="I32" i="4" s="1"/>
  <c r="J32" i="4" s="1"/>
  <c r="I20" i="4"/>
  <c r="J20" i="4" s="1"/>
  <c r="G30" i="4"/>
  <c r="I30" i="4" s="1"/>
  <c r="J30" i="4" s="1"/>
  <c r="G35" i="4"/>
  <c r="I35" i="4" s="1"/>
  <c r="J35" i="4" s="1"/>
  <c r="G29" i="4"/>
  <c r="I29" i="4" s="1"/>
  <c r="J29" i="4" s="1"/>
  <c r="G44" i="4"/>
  <c r="I44" i="4" s="1"/>
  <c r="J44" i="4" s="1"/>
  <c r="G37" i="4"/>
  <c r="I37" i="4" s="1"/>
  <c r="J37" i="4" s="1"/>
  <c r="H339" i="4"/>
  <c r="J339" i="4"/>
  <c r="H196" i="4"/>
  <c r="J196" i="4"/>
  <c r="H132" i="4"/>
  <c r="J132" i="4"/>
  <c r="H89" i="4"/>
  <c r="J89" i="4"/>
  <c r="H18" i="4"/>
  <c r="J18" i="4"/>
  <c r="H357" i="4"/>
  <c r="J357" i="4"/>
  <c r="H309" i="4"/>
  <c r="J309" i="4"/>
  <c r="H194" i="4"/>
  <c r="J194" i="4"/>
  <c r="H368" i="4"/>
  <c r="J368" i="4"/>
  <c r="H360" i="4"/>
  <c r="J360" i="4"/>
  <c r="H348" i="4"/>
  <c r="J348" i="4"/>
  <c r="H340" i="4"/>
  <c r="J340" i="4"/>
  <c r="H332" i="4"/>
  <c r="J332" i="4"/>
  <c r="H320" i="4"/>
  <c r="J320" i="4"/>
  <c r="H312" i="4"/>
  <c r="J312" i="4"/>
  <c r="H304" i="4"/>
  <c r="J304" i="4"/>
  <c r="H292" i="4"/>
  <c r="J292" i="4"/>
  <c r="H284" i="4"/>
  <c r="J284" i="4"/>
  <c r="H269" i="4"/>
  <c r="J269" i="4"/>
  <c r="H261" i="4"/>
  <c r="J261" i="4"/>
  <c r="H253" i="4"/>
  <c r="J253" i="4"/>
  <c r="H241" i="4"/>
  <c r="J241" i="4"/>
  <c r="H233" i="4"/>
  <c r="J233" i="4"/>
  <c r="H217" i="4"/>
  <c r="J217" i="4"/>
  <c r="H209" i="4"/>
  <c r="J209" i="4"/>
  <c r="H197" i="4"/>
  <c r="J197" i="4"/>
  <c r="H189" i="4"/>
  <c r="J189" i="4"/>
  <c r="H181" i="4"/>
  <c r="J181" i="4"/>
  <c r="H169" i="4"/>
  <c r="J169" i="4"/>
  <c r="H161" i="4"/>
  <c r="J161" i="4"/>
  <c r="H153" i="4"/>
  <c r="J153" i="4"/>
  <c r="H141" i="4"/>
  <c r="J141" i="4"/>
  <c r="H133" i="4"/>
  <c r="J133" i="4"/>
  <c r="H118" i="4"/>
  <c r="J118" i="4"/>
  <c r="H110" i="4"/>
  <c r="J110" i="4"/>
  <c r="H98" i="4"/>
  <c r="J98" i="4"/>
  <c r="H90" i="4"/>
  <c r="J90" i="4"/>
  <c r="H82" i="4"/>
  <c r="J82" i="4"/>
  <c r="H70" i="4"/>
  <c r="J70" i="4"/>
  <c r="H62" i="4"/>
  <c r="J62" i="4"/>
  <c r="H54" i="4"/>
  <c r="J54" i="4"/>
  <c r="H42" i="4"/>
  <c r="H34" i="4"/>
  <c r="H19" i="4"/>
  <c r="J19" i="4"/>
  <c r="H11" i="4"/>
  <c r="J11" i="4"/>
  <c r="H359" i="4"/>
  <c r="J359" i="4"/>
  <c r="H303" i="4"/>
  <c r="J303" i="4"/>
  <c r="H268" i="4"/>
  <c r="J268" i="4"/>
  <c r="H208" i="4"/>
  <c r="J208" i="4"/>
  <c r="H160" i="4"/>
  <c r="J160" i="4"/>
  <c r="H109" i="4"/>
  <c r="J109" i="4"/>
  <c r="H53" i="4"/>
  <c r="J53" i="4"/>
  <c r="H33" i="4"/>
  <c r="J3" i="4"/>
  <c r="H366" i="4"/>
  <c r="J366" i="4"/>
  <c r="H358" i="4"/>
  <c r="J358" i="4"/>
  <c r="H346" i="4"/>
  <c r="J346" i="4"/>
  <c r="H338" i="4"/>
  <c r="J338" i="4"/>
  <c r="H330" i="4"/>
  <c r="J330" i="4"/>
  <c r="H318" i="4"/>
  <c r="J318" i="4"/>
  <c r="H310" i="4"/>
  <c r="J310" i="4"/>
  <c r="H298" i="4"/>
  <c r="J298" i="4"/>
  <c r="H290" i="4"/>
  <c r="J290" i="4"/>
  <c r="H282" i="4"/>
  <c r="J282" i="4"/>
  <c r="H267" i="4"/>
  <c r="J267" i="4"/>
  <c r="H259" i="4"/>
  <c r="J259" i="4"/>
  <c r="H247" i="4"/>
  <c r="J247" i="4"/>
  <c r="H239" i="4"/>
  <c r="J239" i="4"/>
  <c r="H231" i="4"/>
  <c r="J231" i="4"/>
  <c r="H223" i="4"/>
  <c r="J223" i="4"/>
  <c r="H215" i="4"/>
  <c r="J215" i="4"/>
  <c r="H207" i="4"/>
  <c r="J207" i="4"/>
  <c r="H195" i="4"/>
  <c r="J195" i="4"/>
  <c r="H187" i="4"/>
  <c r="J187" i="4"/>
  <c r="H179" i="4"/>
  <c r="J179" i="4"/>
  <c r="H167" i="4"/>
  <c r="J167" i="4"/>
  <c r="H159" i="4"/>
  <c r="J159" i="4"/>
  <c r="H147" i="4"/>
  <c r="J147" i="4"/>
  <c r="H139" i="4"/>
  <c r="J139" i="4"/>
  <c r="H131" i="4"/>
  <c r="J131" i="4"/>
  <c r="H116" i="4"/>
  <c r="J116" i="4"/>
  <c r="H108" i="4"/>
  <c r="J108" i="4"/>
  <c r="H96" i="4"/>
  <c r="J96" i="4"/>
  <c r="H88" i="4"/>
  <c r="J88" i="4"/>
  <c r="H80" i="4"/>
  <c r="J80" i="4"/>
  <c r="H68" i="4"/>
  <c r="J68" i="4"/>
  <c r="H60" i="4"/>
  <c r="J60" i="4"/>
  <c r="H48" i="4"/>
  <c r="H40" i="4"/>
  <c r="J40" i="4"/>
  <c r="H32" i="4"/>
  <c r="H17" i="4"/>
  <c r="J17" i="4"/>
  <c r="H9" i="4"/>
  <c r="J9" i="4"/>
  <c r="H311" i="4"/>
  <c r="J311" i="4"/>
  <c r="H117" i="4"/>
  <c r="J117" i="4"/>
  <c r="H365" i="4"/>
  <c r="J365" i="4"/>
  <c r="H238" i="4"/>
  <c r="J238" i="4"/>
  <c r="H222" i="4"/>
  <c r="J222" i="4"/>
  <c r="H206" i="4"/>
  <c r="J206" i="4"/>
  <c r="H158" i="4"/>
  <c r="J158" i="4"/>
  <c r="H146" i="4"/>
  <c r="J146" i="4"/>
  <c r="H138" i="4"/>
  <c r="J138" i="4"/>
  <c r="H130" i="4"/>
  <c r="J130" i="4"/>
  <c r="H123" i="4"/>
  <c r="J123" i="4"/>
  <c r="H115" i="4"/>
  <c r="J115" i="4"/>
  <c r="H107" i="4"/>
  <c r="J107" i="4"/>
  <c r="H95" i="4"/>
  <c r="J95" i="4"/>
  <c r="H87" i="4"/>
  <c r="J87" i="4"/>
  <c r="H79" i="4"/>
  <c r="J79" i="4"/>
  <c r="H67" i="4"/>
  <c r="J67" i="4"/>
  <c r="H59" i="4"/>
  <c r="J59" i="4"/>
  <c r="H47" i="4"/>
  <c r="J47" i="4"/>
  <c r="H39" i="4"/>
  <c r="H31" i="4"/>
  <c r="J16" i="4"/>
  <c r="H8" i="4"/>
  <c r="J8" i="4"/>
  <c r="H319" i="4"/>
  <c r="J319" i="4"/>
  <c r="H248" i="4"/>
  <c r="J248" i="4"/>
  <c r="H168" i="4"/>
  <c r="J168" i="4"/>
  <c r="H69" i="4"/>
  <c r="J69" i="4"/>
  <c r="H337" i="4"/>
  <c r="J337" i="4"/>
  <c r="H297" i="4"/>
  <c r="J297" i="4"/>
  <c r="H230" i="4"/>
  <c r="J230" i="4"/>
  <c r="H186" i="4"/>
  <c r="J186" i="4"/>
  <c r="H364" i="4"/>
  <c r="J364" i="4"/>
  <c r="H356" i="4"/>
  <c r="J356" i="4"/>
  <c r="H344" i="4"/>
  <c r="J344" i="4"/>
  <c r="H336" i="4"/>
  <c r="J336" i="4"/>
  <c r="H328" i="4"/>
  <c r="J328" i="4"/>
  <c r="H316" i="4"/>
  <c r="J316" i="4"/>
  <c r="H308" i="4"/>
  <c r="J308" i="4"/>
  <c r="H296" i="4"/>
  <c r="J296" i="4"/>
  <c r="H288" i="4"/>
  <c r="J288" i="4"/>
  <c r="H280" i="4"/>
  <c r="J280" i="4"/>
  <c r="H273" i="4"/>
  <c r="J273" i="4"/>
  <c r="H265" i="4"/>
  <c r="J265" i="4"/>
  <c r="H257" i="4"/>
  <c r="J257" i="4"/>
  <c r="H245" i="4"/>
  <c r="J245" i="4"/>
  <c r="H237" i="4"/>
  <c r="J237" i="4"/>
  <c r="H229" i="4"/>
  <c r="J229" i="4"/>
  <c r="H221" i="4"/>
  <c r="J221" i="4"/>
  <c r="H213" i="4"/>
  <c r="J213" i="4"/>
  <c r="H205" i="4"/>
  <c r="J205" i="4"/>
  <c r="H193" i="4"/>
  <c r="J193" i="4"/>
  <c r="H185" i="4"/>
  <c r="J185" i="4"/>
  <c r="H173" i="4"/>
  <c r="J173" i="4"/>
  <c r="H165" i="4"/>
  <c r="J165" i="4"/>
  <c r="H157" i="4"/>
  <c r="J157" i="4"/>
  <c r="H145" i="4"/>
  <c r="J145" i="4"/>
  <c r="H137" i="4"/>
  <c r="J137" i="4"/>
  <c r="H129" i="4"/>
  <c r="J129" i="4"/>
  <c r="H122" i="4"/>
  <c r="J122" i="4"/>
  <c r="H114" i="4"/>
  <c r="J114" i="4"/>
  <c r="H106" i="4"/>
  <c r="J106" i="4"/>
  <c r="H94" i="4"/>
  <c r="J94" i="4"/>
  <c r="H86" i="4"/>
  <c r="J86" i="4"/>
  <c r="H78" i="4"/>
  <c r="J78" i="4"/>
  <c r="H66" i="4"/>
  <c r="J66" i="4"/>
  <c r="H58" i="4"/>
  <c r="J58" i="4"/>
  <c r="H46" i="4"/>
  <c r="H38" i="4"/>
  <c r="H30" i="4"/>
  <c r="J23" i="4"/>
  <c r="K23" i="4" s="1"/>
  <c r="H15" i="4"/>
  <c r="H7" i="4"/>
  <c r="J7" i="4"/>
  <c r="H367" i="4"/>
  <c r="J367" i="4"/>
  <c r="H283" i="4"/>
  <c r="J283" i="4"/>
  <c r="H232" i="4"/>
  <c r="J232" i="4"/>
  <c r="H216" i="4"/>
  <c r="J216" i="4"/>
  <c r="H148" i="4"/>
  <c r="J148" i="4"/>
  <c r="H81" i="4"/>
  <c r="J81" i="4"/>
  <c r="H10" i="4"/>
  <c r="J10" i="4"/>
  <c r="H345" i="4"/>
  <c r="J345" i="4"/>
  <c r="H289" i="4"/>
  <c r="J289" i="4"/>
  <c r="H266" i="4"/>
  <c r="J266" i="4"/>
  <c r="H178" i="4"/>
  <c r="J178" i="4"/>
  <c r="H363" i="4"/>
  <c r="J363" i="4"/>
  <c r="H343" i="4"/>
  <c r="J343" i="4"/>
  <c r="H335" i="4"/>
  <c r="J335" i="4"/>
  <c r="H323" i="4"/>
  <c r="J323" i="4"/>
  <c r="H315" i="4"/>
  <c r="J315" i="4"/>
  <c r="H307" i="4"/>
  <c r="J307" i="4"/>
  <c r="H295" i="4"/>
  <c r="J295" i="4"/>
  <c r="H287" i="4"/>
  <c r="J287" i="4"/>
  <c r="H279" i="4"/>
  <c r="J279" i="4"/>
  <c r="H272" i="4"/>
  <c r="J272" i="4"/>
  <c r="H264" i="4"/>
  <c r="J264" i="4"/>
  <c r="H256" i="4"/>
  <c r="J256" i="4"/>
  <c r="H244" i="4"/>
  <c r="J244" i="4"/>
  <c r="H236" i="4"/>
  <c r="J236" i="4"/>
  <c r="H228" i="4"/>
  <c r="J228" i="4"/>
  <c r="H220" i="4"/>
  <c r="J220" i="4"/>
  <c r="H212" i="4"/>
  <c r="J212" i="4"/>
  <c r="H204" i="4"/>
  <c r="J204" i="4"/>
  <c r="H192" i="4"/>
  <c r="J192" i="4"/>
  <c r="H184" i="4"/>
  <c r="J184" i="4"/>
  <c r="H172" i="4"/>
  <c r="J172" i="4"/>
  <c r="H164" i="4"/>
  <c r="J164" i="4"/>
  <c r="H156" i="4"/>
  <c r="J156" i="4"/>
  <c r="H144" i="4"/>
  <c r="J144" i="4"/>
  <c r="H136" i="4"/>
  <c r="J136" i="4"/>
  <c r="H128" i="4"/>
  <c r="J128" i="4"/>
  <c r="H121" i="4"/>
  <c r="J121" i="4"/>
  <c r="H113" i="4"/>
  <c r="J113" i="4"/>
  <c r="H105" i="4"/>
  <c r="J105" i="4"/>
  <c r="H93" i="4"/>
  <c r="J93" i="4"/>
  <c r="H85" i="4"/>
  <c r="J85" i="4"/>
  <c r="H73" i="4"/>
  <c r="J73" i="4"/>
  <c r="H65" i="4"/>
  <c r="J65" i="4"/>
  <c r="H57" i="4"/>
  <c r="J57" i="4"/>
  <c r="H45" i="4"/>
  <c r="J45" i="4"/>
  <c r="H37" i="4"/>
  <c r="H29" i="4"/>
  <c r="H22" i="4"/>
  <c r="H14" i="4"/>
  <c r="J14" i="4"/>
  <c r="H6" i="4"/>
  <c r="J6" i="4"/>
  <c r="H347" i="4"/>
  <c r="J347" i="4"/>
  <c r="H291" i="4"/>
  <c r="J291" i="4"/>
  <c r="H260" i="4"/>
  <c r="J260" i="4"/>
  <c r="H188" i="4"/>
  <c r="J188" i="4"/>
  <c r="H140" i="4"/>
  <c r="J140" i="4"/>
  <c r="H97" i="4"/>
  <c r="J97" i="4"/>
  <c r="H41" i="4"/>
  <c r="H329" i="4"/>
  <c r="J329" i="4"/>
  <c r="H281" i="4"/>
  <c r="J281" i="4"/>
  <c r="H258" i="4"/>
  <c r="J258" i="4"/>
  <c r="H166" i="4"/>
  <c r="J166" i="4"/>
  <c r="H372" i="4"/>
  <c r="J372" i="4"/>
  <c r="H371" i="4"/>
  <c r="J371" i="4"/>
  <c r="H355" i="4"/>
  <c r="J355" i="4"/>
  <c r="H370" i="4"/>
  <c r="J370" i="4"/>
  <c r="H362" i="4"/>
  <c r="J362" i="4"/>
  <c r="H354" i="4"/>
  <c r="J354" i="4"/>
  <c r="H342" i="4"/>
  <c r="J342" i="4"/>
  <c r="H334" i="4"/>
  <c r="J334" i="4"/>
  <c r="H322" i="4"/>
  <c r="J322" i="4"/>
  <c r="H314" i="4"/>
  <c r="J314" i="4"/>
  <c r="H306" i="4"/>
  <c r="J306" i="4"/>
  <c r="H294" i="4"/>
  <c r="J294" i="4"/>
  <c r="H286" i="4"/>
  <c r="J286" i="4"/>
  <c r="H278" i="4"/>
  <c r="J278" i="4"/>
  <c r="H271" i="4"/>
  <c r="J271" i="4"/>
  <c r="H263" i="4"/>
  <c r="J263" i="4"/>
  <c r="H255" i="4"/>
  <c r="J255" i="4"/>
  <c r="H243" i="4"/>
  <c r="J243" i="4"/>
  <c r="H235" i="4"/>
  <c r="J235" i="4"/>
  <c r="H219" i="4"/>
  <c r="J219" i="4"/>
  <c r="H211" i="4"/>
  <c r="J211" i="4"/>
  <c r="H203" i="4"/>
  <c r="J203" i="4"/>
  <c r="H191" i="4"/>
  <c r="J191" i="4"/>
  <c r="H183" i="4"/>
  <c r="J183" i="4"/>
  <c r="H171" i="4"/>
  <c r="J171" i="4"/>
  <c r="H163" i="4"/>
  <c r="J163" i="4"/>
  <c r="H155" i="4"/>
  <c r="J155" i="4"/>
  <c r="H143" i="4"/>
  <c r="J143" i="4"/>
  <c r="H135" i="4"/>
  <c r="J135" i="4"/>
  <c r="H120" i="4"/>
  <c r="J120" i="4"/>
  <c r="H112" i="4"/>
  <c r="J112" i="4"/>
  <c r="H104" i="4"/>
  <c r="J104" i="4"/>
  <c r="H92" i="4"/>
  <c r="J92" i="4"/>
  <c r="H84" i="4"/>
  <c r="J84" i="4"/>
  <c r="H72" i="4"/>
  <c r="J72" i="4"/>
  <c r="H64" i="4"/>
  <c r="J64" i="4"/>
  <c r="H56" i="4"/>
  <c r="J56" i="4"/>
  <c r="H44" i="4"/>
  <c r="H36" i="4"/>
  <c r="H28" i="4"/>
  <c r="H21" i="4"/>
  <c r="J21" i="4"/>
  <c r="H13" i="4"/>
  <c r="J13" i="4"/>
  <c r="J5" i="4"/>
  <c r="H331" i="4"/>
  <c r="J331" i="4"/>
  <c r="H240" i="4"/>
  <c r="J240" i="4"/>
  <c r="H180" i="4"/>
  <c r="J180" i="4"/>
  <c r="H61" i="4"/>
  <c r="J61" i="4"/>
  <c r="H373" i="4"/>
  <c r="J373" i="4"/>
  <c r="H317" i="4"/>
  <c r="J317" i="4"/>
  <c r="H246" i="4"/>
  <c r="J246" i="4"/>
  <c r="H214" i="4"/>
  <c r="J214" i="4"/>
  <c r="H369" i="4"/>
  <c r="J369" i="4"/>
  <c r="H361" i="4"/>
  <c r="J361" i="4"/>
  <c r="H353" i="4"/>
  <c r="J353" i="4"/>
  <c r="H341" i="4"/>
  <c r="J341" i="4"/>
  <c r="H333" i="4"/>
  <c r="J333" i="4"/>
  <c r="H321" i="4"/>
  <c r="J321" i="4"/>
  <c r="H313" i="4"/>
  <c r="J313" i="4"/>
  <c r="H305" i="4"/>
  <c r="J305" i="4"/>
  <c r="H293" i="4"/>
  <c r="J293" i="4"/>
  <c r="H285" i="4"/>
  <c r="J285" i="4"/>
  <c r="H270" i="4"/>
  <c r="J270" i="4"/>
  <c r="H262" i="4"/>
  <c r="J262" i="4"/>
  <c r="J254" i="4"/>
  <c r="H242" i="4"/>
  <c r="J242" i="4"/>
  <c r="H234" i="4"/>
  <c r="J234" i="4"/>
  <c r="H218" i="4"/>
  <c r="J218" i="4"/>
  <c r="H210" i="4"/>
  <c r="J210" i="4"/>
  <c r="H198" i="4"/>
  <c r="J198" i="4"/>
  <c r="H190" i="4"/>
  <c r="J190" i="4"/>
  <c r="H182" i="4"/>
  <c r="J182" i="4"/>
  <c r="H170" i="4"/>
  <c r="J170" i="4"/>
  <c r="H162" i="4"/>
  <c r="J162" i="4"/>
  <c r="H154" i="4"/>
  <c r="J154" i="4"/>
  <c r="H142" i="4"/>
  <c r="J142" i="4"/>
  <c r="H134" i="4"/>
  <c r="J134" i="4"/>
  <c r="H119" i="4"/>
  <c r="J119" i="4"/>
  <c r="H111" i="4"/>
  <c r="J111" i="4"/>
  <c r="H103" i="4"/>
  <c r="J103" i="4"/>
  <c r="H91" i="4"/>
  <c r="J91" i="4"/>
  <c r="H83" i="4"/>
  <c r="J83" i="4"/>
  <c r="H71" i="4"/>
  <c r="J71" i="4"/>
  <c r="H63" i="4"/>
  <c r="J63" i="4"/>
  <c r="H55" i="4"/>
  <c r="J55" i="4"/>
  <c r="H43" i="4"/>
  <c r="H35" i="4"/>
  <c r="H20" i="4"/>
  <c r="H12" i="4"/>
  <c r="J12" i="4"/>
  <c r="J4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C1" i="4"/>
  <c r="B1" i="4"/>
  <c r="A1" i="4"/>
  <c r="K20" i="4" l="1"/>
  <c r="K35" i="4"/>
  <c r="K71" i="4"/>
  <c r="K111" i="4"/>
  <c r="K162" i="4"/>
  <c r="K198" i="4"/>
  <c r="K254" i="4"/>
  <c r="K305" i="4"/>
  <c r="K341" i="4"/>
  <c r="K214" i="4"/>
  <c r="K317" i="4"/>
  <c r="K240" i="4"/>
  <c r="K13" i="4"/>
  <c r="K28" i="4"/>
  <c r="K64" i="4"/>
  <c r="K104" i="4"/>
  <c r="K155" i="4"/>
  <c r="K191" i="4"/>
  <c r="K243" i="4"/>
  <c r="K294" i="4"/>
  <c r="K334" i="4"/>
  <c r="K370" i="4"/>
  <c r="K166" i="4"/>
  <c r="K281" i="4"/>
  <c r="K97" i="4"/>
  <c r="K6" i="4"/>
  <c r="K57" i="4"/>
  <c r="K93" i="4"/>
  <c r="K144" i="4"/>
  <c r="K184" i="4"/>
  <c r="K220" i="4"/>
  <c r="K236" i="4"/>
  <c r="K272" i="4"/>
  <c r="K287" i="4"/>
  <c r="K323" i="4"/>
  <c r="K178" i="4"/>
  <c r="K345" i="4"/>
  <c r="K216" i="4"/>
  <c r="K367" i="4"/>
  <c r="K46" i="4"/>
  <c r="K86" i="4"/>
  <c r="K122" i="4"/>
  <c r="K137" i="4"/>
  <c r="K173" i="4"/>
  <c r="K213" i="4"/>
  <c r="K229" i="4"/>
  <c r="K265" i="4"/>
  <c r="K280" i="4"/>
  <c r="K316" i="4"/>
  <c r="K356" i="4"/>
  <c r="K69" i="4"/>
  <c r="K8" i="4"/>
  <c r="K31" i="4"/>
  <c r="K67" i="4"/>
  <c r="K107" i="4"/>
  <c r="K158" i="4"/>
  <c r="K238" i="4"/>
  <c r="K9" i="4"/>
  <c r="K60" i="4"/>
  <c r="K96" i="4"/>
  <c r="K147" i="4"/>
  <c r="K187" i="4"/>
  <c r="K223" i="4"/>
  <c r="K239" i="4"/>
  <c r="K290" i="4"/>
  <c r="K330" i="4"/>
  <c r="K366" i="4"/>
  <c r="K109" i="4"/>
  <c r="K359" i="4"/>
  <c r="K54" i="4"/>
  <c r="K90" i="4"/>
  <c r="K141" i="4"/>
  <c r="K181" i="4"/>
  <c r="K217" i="4"/>
  <c r="K233" i="4"/>
  <c r="K269" i="4"/>
  <c r="K284" i="4"/>
  <c r="K320" i="4"/>
  <c r="K360" i="4"/>
  <c r="K89" i="4"/>
  <c r="K43" i="4"/>
  <c r="K83" i="4"/>
  <c r="K119" i="4"/>
  <c r="K134" i="4"/>
  <c r="K170" i="4"/>
  <c r="K210" i="4"/>
  <c r="K262" i="4"/>
  <c r="K313" i="4"/>
  <c r="K353" i="4"/>
  <c r="K373" i="4"/>
  <c r="K180" i="4"/>
  <c r="K21" i="4"/>
  <c r="K36" i="4"/>
  <c r="K72" i="4"/>
  <c r="K112" i="4"/>
  <c r="K163" i="4"/>
  <c r="K203" i="4"/>
  <c r="K255" i="4"/>
  <c r="K306" i="4"/>
  <c r="K342" i="4"/>
  <c r="K355" i="4"/>
  <c r="K329" i="4"/>
  <c r="K140" i="4"/>
  <c r="K260" i="4"/>
  <c r="K14" i="4"/>
  <c r="K29" i="4"/>
  <c r="K65" i="4"/>
  <c r="K105" i="4"/>
  <c r="K156" i="4"/>
  <c r="K192" i="4"/>
  <c r="K244" i="4"/>
  <c r="K295" i="4"/>
  <c r="K335" i="4"/>
  <c r="K10" i="4"/>
  <c r="K7" i="4"/>
  <c r="K58" i="4"/>
  <c r="K94" i="4"/>
  <c r="K145" i="4"/>
  <c r="K185" i="4"/>
  <c r="K221" i="4"/>
  <c r="K237" i="4"/>
  <c r="K273" i="4"/>
  <c r="K288" i="4"/>
  <c r="K328" i="4"/>
  <c r="K364" i="4"/>
  <c r="K297" i="4"/>
  <c r="K248" i="4"/>
  <c r="K16" i="4"/>
  <c r="K39" i="4"/>
  <c r="K79" i="4"/>
  <c r="K115" i="4"/>
  <c r="K130" i="4"/>
  <c r="K206" i="4"/>
  <c r="K365" i="4"/>
  <c r="K17" i="4"/>
  <c r="K32" i="4"/>
  <c r="K68" i="4"/>
  <c r="K108" i="4"/>
  <c r="K159" i="4"/>
  <c r="K195" i="4"/>
  <c r="K247" i="4"/>
  <c r="K298" i="4"/>
  <c r="K338" i="4"/>
  <c r="K3" i="4"/>
  <c r="K11" i="4"/>
  <c r="K62" i="4"/>
  <c r="K98" i="4"/>
  <c r="K153" i="4"/>
  <c r="K189" i="4"/>
  <c r="K241" i="4"/>
  <c r="K292" i="4"/>
  <c r="K332" i="4"/>
  <c r="K368" i="4"/>
  <c r="K309" i="4"/>
  <c r="K132" i="4"/>
  <c r="K4" i="4"/>
  <c r="K55" i="4"/>
  <c r="K91" i="4"/>
  <c r="K142" i="4"/>
  <c r="K182" i="4"/>
  <c r="K218" i="4"/>
  <c r="K234" i="4"/>
  <c r="K270" i="4"/>
  <c r="K285" i="4"/>
  <c r="K321" i="4"/>
  <c r="K361" i="4"/>
  <c r="K246" i="4"/>
  <c r="K331" i="4"/>
  <c r="K44" i="4"/>
  <c r="K84" i="4"/>
  <c r="K120" i="4"/>
  <c r="K135" i="4"/>
  <c r="K171" i="4"/>
  <c r="K211" i="4"/>
  <c r="K263" i="4"/>
  <c r="K278" i="4"/>
  <c r="K314" i="4"/>
  <c r="K354" i="4"/>
  <c r="K371" i="4"/>
  <c r="K188" i="4"/>
  <c r="K291" i="4"/>
  <c r="K22" i="4"/>
  <c r="K37" i="4"/>
  <c r="K73" i="4"/>
  <c r="K113" i="4"/>
  <c r="K128" i="4"/>
  <c r="K164" i="4"/>
  <c r="K204" i="4"/>
  <c r="K256" i="4"/>
  <c r="K307" i="4"/>
  <c r="K343" i="4"/>
  <c r="K266" i="4"/>
  <c r="K81" i="4"/>
  <c r="K232" i="4"/>
  <c r="K15" i="4"/>
  <c r="K30" i="4"/>
  <c r="K66" i="4"/>
  <c r="K106" i="4"/>
  <c r="K157" i="4"/>
  <c r="K193" i="4"/>
  <c r="K245" i="4"/>
  <c r="K296" i="4"/>
  <c r="K336" i="4"/>
  <c r="K186" i="4"/>
  <c r="K337" i="4"/>
  <c r="K168" i="4"/>
  <c r="K47" i="4"/>
  <c r="K87" i="4"/>
  <c r="K123" i="4"/>
  <c r="K138" i="4"/>
  <c r="K222" i="4"/>
  <c r="K117" i="4"/>
  <c r="K40" i="4"/>
  <c r="K80" i="4"/>
  <c r="K116" i="4"/>
  <c r="K131" i="4"/>
  <c r="K167" i="4"/>
  <c r="K207" i="4"/>
  <c r="K259" i="4"/>
  <c r="K310" i="4"/>
  <c r="K346" i="4"/>
  <c r="K33" i="4"/>
  <c r="K160" i="4"/>
  <c r="K268" i="4"/>
  <c r="K19" i="4"/>
  <c r="K34" i="4"/>
  <c r="K70" i="4"/>
  <c r="K110" i="4"/>
  <c r="K161" i="4"/>
  <c r="K197" i="4"/>
  <c r="K253" i="4"/>
  <c r="K304" i="4"/>
  <c r="K340" i="4"/>
  <c r="K194" i="4"/>
  <c r="K357" i="4"/>
  <c r="K196" i="4"/>
  <c r="K339" i="4"/>
  <c r="K12" i="4"/>
  <c r="K63" i="4"/>
  <c r="K103" i="4"/>
  <c r="K154" i="4"/>
  <c r="K190" i="4"/>
  <c r="K242" i="4"/>
  <c r="K293" i="4"/>
  <c r="K333" i="4"/>
  <c r="K369" i="4"/>
  <c r="K61" i="4"/>
  <c r="K5" i="4"/>
  <c r="K56" i="4"/>
  <c r="K92" i="4"/>
  <c r="K143" i="4"/>
  <c r="K183" i="4"/>
  <c r="K219" i="4"/>
  <c r="K235" i="4"/>
  <c r="K271" i="4"/>
  <c r="K286" i="4"/>
  <c r="K322" i="4"/>
  <c r="K362" i="4"/>
  <c r="K372" i="4"/>
  <c r="K258" i="4"/>
  <c r="K41" i="4"/>
  <c r="K347" i="4"/>
  <c r="K45" i="4"/>
  <c r="K85" i="4"/>
  <c r="K121" i="4"/>
  <c r="K136" i="4"/>
  <c r="K172" i="4"/>
  <c r="K212" i="4"/>
  <c r="K228" i="4"/>
  <c r="K264" i="4"/>
  <c r="K279" i="4"/>
  <c r="K315" i="4"/>
  <c r="K363" i="4"/>
  <c r="K289" i="4"/>
  <c r="K148" i="4"/>
  <c r="K283" i="4"/>
  <c r="K38" i="4"/>
  <c r="K78" i="4"/>
  <c r="K114" i="4"/>
  <c r="K129" i="4"/>
  <c r="K165" i="4"/>
  <c r="K205" i="4"/>
  <c r="K257" i="4"/>
  <c r="K308" i="4"/>
  <c r="K344" i="4"/>
  <c r="K230" i="4"/>
  <c r="K319" i="4"/>
  <c r="K59" i="4"/>
  <c r="K95" i="4"/>
  <c r="K146" i="4"/>
  <c r="K311" i="4"/>
  <c r="K48" i="4"/>
  <c r="K88" i="4"/>
  <c r="K139" i="4"/>
  <c r="K179" i="4"/>
  <c r="K215" i="4"/>
  <c r="K231" i="4"/>
  <c r="K267" i="4"/>
  <c r="K282" i="4"/>
  <c r="K318" i="4"/>
  <c r="K358" i="4"/>
  <c r="K53" i="4"/>
  <c r="K208" i="4"/>
  <c r="K303" i="4"/>
  <c r="K42" i="4"/>
  <c r="K82" i="4"/>
  <c r="K118" i="4"/>
  <c r="K133" i="4"/>
  <c r="K169" i="4"/>
  <c r="K209" i="4"/>
  <c r="K261" i="4"/>
  <c r="K312" i="4"/>
  <c r="K348" i="4"/>
  <c r="K18" i="4"/>
  <c r="M2" i="2" l="1"/>
  <c r="N2" i="2" s="1"/>
  <c r="K15" i="2" l="1"/>
  <c r="B17" i="11" s="1"/>
  <c r="M15" i="2"/>
  <c r="N15" i="2" s="1"/>
  <c r="B4" i="11"/>
  <c r="D10" i="4"/>
  <c r="D10" i="6"/>
  <c r="D69" i="4"/>
  <c r="D69" i="6"/>
  <c r="D132" i="4"/>
  <c r="D132" i="6"/>
  <c r="D180" i="4"/>
  <c r="D180" i="6"/>
  <c r="D248" i="4"/>
  <c r="D248" i="6"/>
  <c r="D311" i="4"/>
  <c r="D311" i="6"/>
  <c r="D331" i="4"/>
  <c r="D331" i="6"/>
  <c r="D70" i="4"/>
  <c r="D70" i="6"/>
  <c r="D197" i="4"/>
  <c r="D197" i="6"/>
  <c r="D368" i="4"/>
  <c r="D368" i="6"/>
  <c r="D12" i="4"/>
  <c r="D12" i="6"/>
  <c r="D20" i="4"/>
  <c r="D20" i="6"/>
  <c r="D35" i="4"/>
  <c r="D35" i="6"/>
  <c r="D43" i="4"/>
  <c r="D43" i="6"/>
  <c r="D55" i="4"/>
  <c r="D55" i="6"/>
  <c r="D63" i="4"/>
  <c r="D63" i="6"/>
  <c r="D71" i="4"/>
  <c r="D71" i="6"/>
  <c r="D83" i="4"/>
  <c r="D83" i="6"/>
  <c r="D91" i="4"/>
  <c r="D91" i="6"/>
  <c r="D103" i="4"/>
  <c r="D103" i="6"/>
  <c r="D111" i="4"/>
  <c r="D111" i="6"/>
  <c r="D119" i="4"/>
  <c r="D119" i="6"/>
  <c r="D134" i="4"/>
  <c r="D134" i="6"/>
  <c r="D142" i="4"/>
  <c r="D142" i="6"/>
  <c r="D154" i="4"/>
  <c r="D154" i="6"/>
  <c r="D162" i="4"/>
  <c r="D162" i="6"/>
  <c r="D170" i="4"/>
  <c r="D170" i="6"/>
  <c r="D182" i="4"/>
  <c r="D182" i="6"/>
  <c r="D190" i="4"/>
  <c r="D190" i="6"/>
  <c r="D198" i="4"/>
  <c r="D198" i="6"/>
  <c r="D210" i="4"/>
  <c r="D210" i="6"/>
  <c r="D218" i="4"/>
  <c r="D218" i="6"/>
  <c r="D234" i="4"/>
  <c r="D234" i="6"/>
  <c r="D242" i="4"/>
  <c r="D242" i="6"/>
  <c r="D254" i="4"/>
  <c r="D254" i="6"/>
  <c r="D262" i="4"/>
  <c r="D262" i="6"/>
  <c r="D270" i="4"/>
  <c r="D270" i="6"/>
  <c r="D285" i="4"/>
  <c r="D285" i="6"/>
  <c r="D293" i="4"/>
  <c r="D293" i="6"/>
  <c r="D305" i="4"/>
  <c r="D305" i="6"/>
  <c r="D313" i="4"/>
  <c r="D313" i="6"/>
  <c r="D321" i="4"/>
  <c r="D321" i="6"/>
  <c r="D333" i="4"/>
  <c r="D333" i="6"/>
  <c r="D341" i="4"/>
  <c r="D341" i="6"/>
  <c r="D353" i="4"/>
  <c r="D353" i="6"/>
  <c r="D361" i="4"/>
  <c r="D361" i="6"/>
  <c r="D369" i="4"/>
  <c r="D369" i="6"/>
  <c r="D61" i="4"/>
  <c r="D61" i="6"/>
  <c r="D97" i="4"/>
  <c r="D97" i="6"/>
  <c r="D168" i="4"/>
  <c r="D168" i="6"/>
  <c r="D196" i="4"/>
  <c r="D196" i="6"/>
  <c r="D240" i="4"/>
  <c r="D240" i="6"/>
  <c r="D283" i="4"/>
  <c r="D283" i="6"/>
  <c r="D303" i="4"/>
  <c r="D303" i="6"/>
  <c r="D319" i="4"/>
  <c r="D319" i="6"/>
  <c r="D19" i="4"/>
  <c r="D19" i="6"/>
  <c r="D62" i="4"/>
  <c r="D62" i="6"/>
  <c r="D189" i="4"/>
  <c r="D189" i="6"/>
  <c r="D360" i="4"/>
  <c r="D360" i="6"/>
  <c r="D13" i="4"/>
  <c r="D13" i="6"/>
  <c r="D21" i="4"/>
  <c r="D21" i="6"/>
  <c r="D28" i="4"/>
  <c r="D28" i="6"/>
  <c r="D36" i="4"/>
  <c r="D36" i="6"/>
  <c r="D44" i="4"/>
  <c r="D44" i="6"/>
  <c r="D56" i="4"/>
  <c r="D56" i="6"/>
  <c r="D64" i="4"/>
  <c r="D64" i="6"/>
  <c r="D72" i="4"/>
  <c r="D72" i="6"/>
  <c r="D84" i="4"/>
  <c r="D84" i="6"/>
  <c r="D92" i="4"/>
  <c r="D92" i="6"/>
  <c r="D104" i="4"/>
  <c r="D104" i="6"/>
  <c r="D112" i="4"/>
  <c r="D112" i="6"/>
  <c r="D120" i="4"/>
  <c r="D120" i="6"/>
  <c r="D135" i="4"/>
  <c r="D135" i="6"/>
  <c r="D143" i="4"/>
  <c r="D143" i="6"/>
  <c r="D155" i="4"/>
  <c r="D155" i="6"/>
  <c r="D163" i="4"/>
  <c r="D163" i="6"/>
  <c r="D171" i="4"/>
  <c r="D171" i="6"/>
  <c r="D183" i="4"/>
  <c r="D183" i="6"/>
  <c r="D191" i="4"/>
  <c r="D191" i="6"/>
  <c r="D203" i="4"/>
  <c r="D203" i="6"/>
  <c r="D211" i="4"/>
  <c r="D211" i="6"/>
  <c r="D219" i="4"/>
  <c r="D219" i="6"/>
  <c r="D235" i="4"/>
  <c r="D235" i="6"/>
  <c r="D243" i="4"/>
  <c r="D243" i="6"/>
  <c r="D255" i="4"/>
  <c r="D255" i="6"/>
  <c r="D263" i="4"/>
  <c r="D263" i="6"/>
  <c r="D271" i="4"/>
  <c r="D271" i="6"/>
  <c r="D278" i="4"/>
  <c r="D278" i="6"/>
  <c r="D286" i="4"/>
  <c r="D286" i="6"/>
  <c r="D294" i="4"/>
  <c r="D294" i="6"/>
  <c r="D306" i="4"/>
  <c r="D306" i="6"/>
  <c r="D314" i="4"/>
  <c r="D314" i="6"/>
  <c r="D322" i="4"/>
  <c r="D322" i="6"/>
  <c r="D334" i="4"/>
  <c r="D334" i="6"/>
  <c r="D342" i="4"/>
  <c r="D342" i="6"/>
  <c r="D354" i="4"/>
  <c r="D354" i="6"/>
  <c r="D362" i="4"/>
  <c r="D362" i="6"/>
  <c r="D370" i="4"/>
  <c r="D370" i="6"/>
  <c r="D89" i="4"/>
  <c r="D89" i="6"/>
  <c r="D160" i="4"/>
  <c r="D160" i="6"/>
  <c r="D347" i="4"/>
  <c r="D347" i="6"/>
  <c r="D42" i="4"/>
  <c r="D42" i="6"/>
  <c r="D110" i="4"/>
  <c r="D110" i="6"/>
  <c r="D141" i="4"/>
  <c r="D141" i="6"/>
  <c r="D169" i="4"/>
  <c r="D169" i="6"/>
  <c r="D217" i="4"/>
  <c r="D217" i="6"/>
  <c r="D233" i="4"/>
  <c r="D233" i="6"/>
  <c r="D241" i="4"/>
  <c r="D241" i="6"/>
  <c r="D253" i="4"/>
  <c r="D253" i="6"/>
  <c r="D261" i="4"/>
  <c r="D261" i="6"/>
  <c r="D269" i="4"/>
  <c r="D269" i="6"/>
  <c r="D284" i="4"/>
  <c r="D284" i="6"/>
  <c r="D292" i="4"/>
  <c r="D292" i="6"/>
  <c r="D304" i="4"/>
  <c r="D304" i="6"/>
  <c r="D312" i="4"/>
  <c r="D312" i="6"/>
  <c r="D348" i="4"/>
  <c r="D348" i="6"/>
  <c r="D14" i="4"/>
  <c r="D14" i="6"/>
  <c r="D29" i="4"/>
  <c r="D29" i="6"/>
  <c r="D37" i="4"/>
  <c r="D37" i="6"/>
  <c r="D45" i="4"/>
  <c r="D45" i="6"/>
  <c r="D57" i="4"/>
  <c r="D57" i="6"/>
  <c r="D65" i="4"/>
  <c r="D65" i="6"/>
  <c r="D73" i="4"/>
  <c r="D73" i="6"/>
  <c r="D85" i="4"/>
  <c r="D85" i="6"/>
  <c r="D93" i="4"/>
  <c r="D93" i="6"/>
  <c r="D105" i="4"/>
  <c r="D105" i="6"/>
  <c r="D113" i="4"/>
  <c r="D113" i="6"/>
  <c r="D121" i="4"/>
  <c r="D121" i="6"/>
  <c r="D128" i="4"/>
  <c r="D128" i="6"/>
  <c r="D136" i="4"/>
  <c r="D136" i="6"/>
  <c r="D144" i="4"/>
  <c r="D144" i="6"/>
  <c r="D156" i="4"/>
  <c r="D156" i="6"/>
  <c r="D164" i="4"/>
  <c r="D164" i="6"/>
  <c r="D172" i="4"/>
  <c r="D172" i="6"/>
  <c r="D184" i="4"/>
  <c r="D184" i="6"/>
  <c r="D192" i="4"/>
  <c r="D192" i="6"/>
  <c r="D204" i="4"/>
  <c r="D204" i="6"/>
  <c r="D212" i="4"/>
  <c r="D212" i="6"/>
  <c r="D220" i="4"/>
  <c r="D220" i="6"/>
  <c r="D228" i="4"/>
  <c r="D228" i="6"/>
  <c r="D236" i="4"/>
  <c r="D236" i="6"/>
  <c r="D244" i="4"/>
  <c r="D244" i="6"/>
  <c r="D256" i="4"/>
  <c r="D256" i="6"/>
  <c r="D264" i="4"/>
  <c r="D264" i="6"/>
  <c r="D272" i="4"/>
  <c r="D272" i="6"/>
  <c r="D279" i="4"/>
  <c r="D279" i="6"/>
  <c r="D287" i="4"/>
  <c r="D287" i="6"/>
  <c r="D295" i="4"/>
  <c r="D295" i="6"/>
  <c r="D307" i="4"/>
  <c r="D307" i="6"/>
  <c r="D315" i="4"/>
  <c r="D315" i="6"/>
  <c r="D323" i="4"/>
  <c r="D323" i="6"/>
  <c r="D335" i="4"/>
  <c r="D335" i="6"/>
  <c r="D343" i="4"/>
  <c r="D343" i="6"/>
  <c r="D355" i="4"/>
  <c r="D355" i="6"/>
  <c r="D363" i="4"/>
  <c r="D363" i="6"/>
  <c r="D371" i="4"/>
  <c r="D371" i="6"/>
  <c r="D18" i="4"/>
  <c r="D18" i="6"/>
  <c r="D41" i="4"/>
  <c r="D41" i="6"/>
  <c r="D81" i="4"/>
  <c r="D81" i="6"/>
  <c r="D188" i="4"/>
  <c r="D188" i="6"/>
  <c r="D260" i="4"/>
  <c r="D260" i="6"/>
  <c r="D359" i="4"/>
  <c r="D359" i="6"/>
  <c r="D34" i="4"/>
  <c r="D34" i="6"/>
  <c r="D98" i="4"/>
  <c r="D98" i="6"/>
  <c r="D153" i="4"/>
  <c r="D153" i="6"/>
  <c r="D209" i="4"/>
  <c r="D209" i="6"/>
  <c r="D320" i="4"/>
  <c r="D320" i="6"/>
  <c r="D5" i="4"/>
  <c r="D5" i="6"/>
  <c r="D7" i="4"/>
  <c r="D7" i="6"/>
  <c r="D46" i="4"/>
  <c r="D46" i="6"/>
  <c r="D58" i="4"/>
  <c r="D58" i="6"/>
  <c r="D66" i="4"/>
  <c r="D66" i="6"/>
  <c r="D78" i="4"/>
  <c r="D78" i="6"/>
  <c r="D86" i="4"/>
  <c r="D86" i="6"/>
  <c r="D94" i="4"/>
  <c r="D94" i="6"/>
  <c r="D106" i="4"/>
  <c r="D106" i="6"/>
  <c r="D114" i="4"/>
  <c r="D114" i="6"/>
  <c r="D122" i="4"/>
  <c r="D122" i="6"/>
  <c r="D129" i="4"/>
  <c r="D129" i="6"/>
  <c r="D137" i="4"/>
  <c r="D137" i="6"/>
  <c r="D145" i="4"/>
  <c r="D145" i="6"/>
  <c r="D157" i="4"/>
  <c r="D157" i="6"/>
  <c r="D165" i="4"/>
  <c r="D165" i="6"/>
  <c r="D173" i="4"/>
  <c r="D173" i="6"/>
  <c r="D185" i="4"/>
  <c r="D185" i="6"/>
  <c r="D193" i="4"/>
  <c r="D193" i="6"/>
  <c r="D205" i="4"/>
  <c r="D205" i="6"/>
  <c r="D213" i="4"/>
  <c r="D213" i="6"/>
  <c r="D221" i="4"/>
  <c r="D221" i="6"/>
  <c r="D229" i="4"/>
  <c r="D229" i="6"/>
  <c r="D237" i="4"/>
  <c r="D237" i="6"/>
  <c r="D245" i="4"/>
  <c r="D245" i="6"/>
  <c r="D257" i="4"/>
  <c r="D257" i="6"/>
  <c r="D265" i="4"/>
  <c r="D265" i="6"/>
  <c r="D273" i="4"/>
  <c r="D273" i="6"/>
  <c r="D280" i="4"/>
  <c r="D280" i="6"/>
  <c r="D288" i="4"/>
  <c r="D288" i="6"/>
  <c r="D296" i="4"/>
  <c r="D296" i="6"/>
  <c r="D308" i="4"/>
  <c r="D308" i="6"/>
  <c r="D316" i="4"/>
  <c r="D316" i="6"/>
  <c r="D328" i="4"/>
  <c r="D328" i="6"/>
  <c r="D336" i="4"/>
  <c r="D336" i="6"/>
  <c r="D344" i="4"/>
  <c r="D344" i="6"/>
  <c r="D356" i="4"/>
  <c r="D356" i="6"/>
  <c r="D364" i="4"/>
  <c r="D364" i="6"/>
  <c r="D372" i="4"/>
  <c r="D372" i="6"/>
  <c r="D53" i="6"/>
  <c r="D117" i="4"/>
  <c r="D117" i="6"/>
  <c r="D148" i="4"/>
  <c r="D148" i="6"/>
  <c r="D216" i="4"/>
  <c r="D216" i="6"/>
  <c r="D232" i="4"/>
  <c r="D232" i="6"/>
  <c r="D367" i="4"/>
  <c r="D367" i="6"/>
  <c r="D82" i="4"/>
  <c r="D82" i="6"/>
  <c r="D118" i="4"/>
  <c r="D118" i="6"/>
  <c r="D133" i="4"/>
  <c r="D133" i="6"/>
  <c r="D161" i="4"/>
  <c r="D161" i="6"/>
  <c r="D340" i="4"/>
  <c r="D340" i="6"/>
  <c r="D6" i="4"/>
  <c r="D6" i="6"/>
  <c r="D23" i="4"/>
  <c r="D23" i="6"/>
  <c r="D38" i="4"/>
  <c r="D38" i="6"/>
  <c r="D8" i="4"/>
  <c r="D8" i="6"/>
  <c r="D16" i="4"/>
  <c r="D16" i="6"/>
  <c r="D31" i="4"/>
  <c r="D31" i="6"/>
  <c r="D39" i="4"/>
  <c r="D39" i="6"/>
  <c r="D47" i="4"/>
  <c r="D47" i="6"/>
  <c r="D59" i="4"/>
  <c r="D59" i="6"/>
  <c r="D67" i="4"/>
  <c r="D67" i="6"/>
  <c r="D79" i="4"/>
  <c r="D79" i="6"/>
  <c r="D87" i="4"/>
  <c r="D87" i="6"/>
  <c r="D95" i="4"/>
  <c r="D95" i="6"/>
  <c r="D107" i="4"/>
  <c r="D107" i="6"/>
  <c r="D115" i="4"/>
  <c r="D115" i="6"/>
  <c r="D123" i="4"/>
  <c r="D123" i="6"/>
  <c r="D130" i="4"/>
  <c r="D130" i="6"/>
  <c r="D138" i="4"/>
  <c r="D138" i="6"/>
  <c r="D146" i="4"/>
  <c r="D146" i="6"/>
  <c r="D158" i="4"/>
  <c r="D158" i="6"/>
  <c r="D166" i="4"/>
  <c r="D166" i="6"/>
  <c r="D178" i="4"/>
  <c r="D178" i="6"/>
  <c r="D186" i="4"/>
  <c r="D186" i="6"/>
  <c r="D194" i="4"/>
  <c r="D194" i="6"/>
  <c r="D206" i="4"/>
  <c r="D206" i="6"/>
  <c r="D214" i="4"/>
  <c r="D214" i="6"/>
  <c r="D222" i="4"/>
  <c r="D222" i="6"/>
  <c r="D230" i="4"/>
  <c r="D230" i="6"/>
  <c r="D238" i="4"/>
  <c r="D238" i="6"/>
  <c r="D246" i="4"/>
  <c r="D246" i="6"/>
  <c r="D258" i="4"/>
  <c r="D258" i="6"/>
  <c r="D266" i="4"/>
  <c r="D266" i="6"/>
  <c r="D281" i="4"/>
  <c r="D281" i="6"/>
  <c r="D289" i="4"/>
  <c r="D289" i="6"/>
  <c r="D297" i="4"/>
  <c r="D297" i="6"/>
  <c r="D309" i="4"/>
  <c r="D309" i="6"/>
  <c r="D317" i="4"/>
  <c r="D317" i="6"/>
  <c r="D329" i="4"/>
  <c r="D329" i="6"/>
  <c r="D337" i="4"/>
  <c r="D337" i="6"/>
  <c r="D345" i="4"/>
  <c r="D345" i="6"/>
  <c r="D357" i="4"/>
  <c r="D357" i="6"/>
  <c r="D365" i="4"/>
  <c r="D365" i="6"/>
  <c r="D373" i="4"/>
  <c r="D373" i="6"/>
  <c r="D33" i="4"/>
  <c r="D33" i="6"/>
  <c r="D109" i="4"/>
  <c r="D109" i="6"/>
  <c r="D140" i="4"/>
  <c r="D140" i="6"/>
  <c r="D208" i="4"/>
  <c r="D208" i="6"/>
  <c r="D268" i="4"/>
  <c r="D268" i="6"/>
  <c r="D291" i="4"/>
  <c r="D291" i="6"/>
  <c r="D339" i="4"/>
  <c r="D339" i="6"/>
  <c r="D11" i="4"/>
  <c r="D11" i="6"/>
  <c r="D54" i="4"/>
  <c r="D54" i="6"/>
  <c r="D90" i="4"/>
  <c r="D90" i="6"/>
  <c r="D181" i="4"/>
  <c r="D181" i="6"/>
  <c r="D332" i="4"/>
  <c r="D332" i="6"/>
  <c r="D4" i="4"/>
  <c r="D4" i="6"/>
  <c r="D22" i="4"/>
  <c r="D22" i="6"/>
  <c r="D15" i="4"/>
  <c r="D15" i="6"/>
  <c r="D30" i="4"/>
  <c r="D30" i="6"/>
  <c r="D9" i="4"/>
  <c r="D9" i="6"/>
  <c r="D17" i="4"/>
  <c r="D17" i="6"/>
  <c r="D32" i="4"/>
  <c r="D32" i="6"/>
  <c r="D40" i="4"/>
  <c r="D40" i="6"/>
  <c r="D48" i="4"/>
  <c r="D48" i="6"/>
  <c r="D60" i="4"/>
  <c r="D60" i="6"/>
  <c r="D68" i="4"/>
  <c r="D68" i="6"/>
  <c r="D80" i="4"/>
  <c r="D80" i="6"/>
  <c r="D88" i="4"/>
  <c r="D88" i="6"/>
  <c r="D96" i="4"/>
  <c r="D96" i="6"/>
  <c r="D108" i="4"/>
  <c r="D108" i="6"/>
  <c r="D116" i="4"/>
  <c r="D116" i="6"/>
  <c r="D131" i="4"/>
  <c r="D131" i="6"/>
  <c r="D139" i="4"/>
  <c r="D139" i="6"/>
  <c r="D147" i="4"/>
  <c r="D147" i="6"/>
  <c r="D159" i="4"/>
  <c r="D159" i="6"/>
  <c r="D167" i="4"/>
  <c r="D167" i="6"/>
  <c r="D179" i="4"/>
  <c r="D179" i="6"/>
  <c r="D187" i="4"/>
  <c r="D187" i="6"/>
  <c r="D195" i="4"/>
  <c r="D195" i="6"/>
  <c r="D207" i="4"/>
  <c r="D207" i="6"/>
  <c r="D215" i="4"/>
  <c r="D215" i="6"/>
  <c r="D223" i="4"/>
  <c r="D223" i="6"/>
  <c r="D231" i="4"/>
  <c r="D231" i="6"/>
  <c r="D239" i="4"/>
  <c r="D239" i="6"/>
  <c r="D247" i="4"/>
  <c r="D247" i="6"/>
  <c r="D259" i="4"/>
  <c r="D259" i="6"/>
  <c r="D267" i="4"/>
  <c r="D267" i="6"/>
  <c r="D282" i="4"/>
  <c r="D282" i="6"/>
  <c r="D290" i="4"/>
  <c r="D290" i="6"/>
  <c r="D298" i="4"/>
  <c r="D298" i="6"/>
  <c r="D310" i="4"/>
  <c r="D310" i="6"/>
  <c r="D318" i="4"/>
  <c r="D318" i="6"/>
  <c r="D330" i="4"/>
  <c r="D330" i="6"/>
  <c r="D338" i="4"/>
  <c r="D338" i="6"/>
  <c r="D346" i="4"/>
  <c r="D346" i="6"/>
  <c r="D358" i="4"/>
  <c r="D358" i="6"/>
  <c r="D366" i="4"/>
  <c r="D366" i="6"/>
  <c r="D3" i="4"/>
  <c r="D3" i="6"/>
  <c r="K3" i="2" l="1"/>
  <c r="K5" i="2"/>
  <c r="K6" i="2"/>
  <c r="K13" i="2"/>
  <c r="O15" i="2"/>
  <c r="K19" i="2"/>
  <c r="K21" i="2"/>
  <c r="K22" i="2"/>
  <c r="K28" i="2"/>
  <c r="K29" i="2"/>
  <c r="K30" i="2"/>
  <c r="K34" i="2"/>
  <c r="K36" i="2"/>
  <c r="K37" i="2"/>
  <c r="K44" i="2"/>
  <c r="K45" i="2"/>
  <c r="K46" i="2"/>
  <c r="K54" i="2"/>
  <c r="K56" i="2"/>
  <c r="K57" i="2"/>
  <c r="K64" i="2"/>
  <c r="K65" i="2"/>
  <c r="K66" i="2"/>
  <c r="K70" i="2"/>
  <c r="K72" i="2"/>
  <c r="K77" i="2"/>
  <c r="K84" i="2"/>
  <c r="K85" i="2"/>
  <c r="K86" i="2"/>
  <c r="K90" i="2"/>
  <c r="K92" i="2"/>
  <c r="K93" i="2"/>
  <c r="K104" i="2"/>
  <c r="K105" i="2"/>
  <c r="K106" i="2"/>
  <c r="K110" i="2"/>
  <c r="K112" i="2"/>
  <c r="K113" i="2"/>
  <c r="K120" i="2"/>
  <c r="K121" i="2"/>
  <c r="K122" i="2"/>
  <c r="K127" i="2"/>
  <c r="K128" i="2"/>
  <c r="K129" i="2"/>
  <c r="K131" i="2"/>
  <c r="K134" i="2"/>
  <c r="K135" i="2"/>
  <c r="K136" i="2"/>
  <c r="K137" i="2"/>
  <c r="K138" i="2"/>
  <c r="K139" i="2"/>
  <c r="K142" i="2"/>
  <c r="K143" i="2"/>
  <c r="K144" i="2"/>
  <c r="K145" i="2"/>
  <c r="K146" i="2"/>
  <c r="K147" i="2"/>
  <c r="K154" i="2"/>
  <c r="K155" i="2"/>
  <c r="K156" i="2"/>
  <c r="K157" i="2"/>
  <c r="K158" i="2"/>
  <c r="K159" i="2"/>
  <c r="K162" i="2"/>
  <c r="K163" i="2"/>
  <c r="K164" i="2"/>
  <c r="K165" i="2"/>
  <c r="K166" i="2"/>
  <c r="K167" i="2"/>
  <c r="K170" i="2"/>
  <c r="K171" i="2"/>
  <c r="K172" i="2"/>
  <c r="K177" i="2"/>
  <c r="K178" i="2"/>
  <c r="K179" i="2"/>
  <c r="K182" i="2"/>
  <c r="K183" i="2"/>
  <c r="K184" i="2"/>
  <c r="K185" i="2"/>
  <c r="K186" i="2"/>
  <c r="K187" i="2"/>
  <c r="O190" i="2"/>
  <c r="K191" i="2"/>
  <c r="K192" i="2"/>
  <c r="K193" i="2"/>
  <c r="K194" i="2"/>
  <c r="K195" i="2"/>
  <c r="K202" i="2"/>
  <c r="K203" i="2"/>
  <c r="K204" i="2"/>
  <c r="K205" i="2"/>
  <c r="K206" i="2"/>
  <c r="K207" i="2"/>
  <c r="K210" i="2"/>
  <c r="K211" i="2"/>
  <c r="K212" i="2"/>
  <c r="K213" i="2"/>
  <c r="K214" i="2"/>
  <c r="K215" i="2"/>
  <c r="K218" i="2"/>
  <c r="K219" i="2"/>
  <c r="K220" i="2"/>
  <c r="K221" i="2"/>
  <c r="K222" i="2"/>
  <c r="K227" i="2"/>
  <c r="K228" i="2"/>
  <c r="K229" i="2"/>
  <c r="K230" i="2"/>
  <c r="K231" i="2"/>
  <c r="K234" i="2"/>
  <c r="K235" i="2"/>
  <c r="K236" i="2"/>
  <c r="K237" i="2"/>
  <c r="K238" i="2"/>
  <c r="K239" i="2"/>
  <c r="K242" i="2"/>
  <c r="B19" i="19" s="1"/>
  <c r="K243" i="2"/>
  <c r="B20" i="19" s="1"/>
  <c r="K244" i="2"/>
  <c r="B21" i="19" s="1"/>
  <c r="K245" i="2"/>
  <c r="B22" i="19" s="1"/>
  <c r="K246" i="2"/>
  <c r="B23" i="19" s="1"/>
  <c r="K247" i="2"/>
  <c r="B24" i="19" s="1"/>
  <c r="K254" i="2"/>
  <c r="K255" i="2"/>
  <c r="K256" i="2"/>
  <c r="K257" i="2"/>
  <c r="K258" i="2"/>
  <c r="K259" i="2"/>
  <c r="K262" i="2"/>
  <c r="K263" i="2"/>
  <c r="K264" i="2"/>
  <c r="K265" i="2"/>
  <c r="D17" i="19" s="1"/>
  <c r="K266" i="2"/>
  <c r="D18" i="19" s="1"/>
  <c r="K267" i="2"/>
  <c r="D19" i="19" s="1"/>
  <c r="K270" i="2"/>
  <c r="D22" i="19" s="1"/>
  <c r="K271" i="2"/>
  <c r="D23" i="19" s="1"/>
  <c r="K272" i="2"/>
  <c r="D24" i="19" s="1"/>
  <c r="K277" i="2"/>
  <c r="K278" i="2"/>
  <c r="K279" i="2"/>
  <c r="K280" i="2"/>
  <c r="K281" i="2"/>
  <c r="K282" i="2"/>
  <c r="K285" i="2"/>
  <c r="K286" i="2"/>
  <c r="K287" i="2"/>
  <c r="K288" i="2"/>
  <c r="K289" i="2"/>
  <c r="K290" i="2"/>
  <c r="F17" i="19" s="1"/>
  <c r="K293" i="2"/>
  <c r="F20" i="19" s="1"/>
  <c r="K294" i="2"/>
  <c r="F21" i="19" s="1"/>
  <c r="K295" i="2"/>
  <c r="F22" i="19" s="1"/>
  <c r="K296" i="2"/>
  <c r="F23" i="19" s="1"/>
  <c r="K297" i="2"/>
  <c r="F24" i="19" s="1"/>
  <c r="K302" i="2"/>
  <c r="K305" i="2"/>
  <c r="K306" i="2"/>
  <c r="K307" i="2"/>
  <c r="K308" i="2"/>
  <c r="K309" i="2"/>
  <c r="K310" i="2"/>
  <c r="K313" i="2"/>
  <c r="K314" i="2"/>
  <c r="K315" i="2"/>
  <c r="H17" i="19" s="1"/>
  <c r="K316" i="2"/>
  <c r="H18" i="19" s="1"/>
  <c r="K317" i="2"/>
  <c r="H19" i="19" s="1"/>
  <c r="K318" i="2"/>
  <c r="H20" i="19" s="1"/>
  <c r="K321" i="2"/>
  <c r="H23" i="19" s="1"/>
  <c r="K322" i="2"/>
  <c r="H24" i="19" s="1"/>
  <c r="K327" i="2"/>
  <c r="K328" i="2"/>
  <c r="K329" i="2"/>
  <c r="K330" i="2"/>
  <c r="K333" i="2"/>
  <c r="K334" i="2"/>
  <c r="K335" i="2"/>
  <c r="K336" i="2"/>
  <c r="K337" i="2"/>
  <c r="K338" i="2"/>
  <c r="K341" i="2"/>
  <c r="J18" i="19" s="1"/>
  <c r="K342" i="2"/>
  <c r="J19" i="19" s="1"/>
  <c r="K343" i="2"/>
  <c r="J20" i="19" s="1"/>
  <c r="K344" i="2"/>
  <c r="J21" i="19" s="1"/>
  <c r="K345" i="2"/>
  <c r="J22" i="19" s="1"/>
  <c r="K346" i="2"/>
  <c r="J23" i="19" s="1"/>
  <c r="K353" i="2"/>
  <c r="K354" i="2"/>
  <c r="K355" i="2"/>
  <c r="K356" i="2"/>
  <c r="K357" i="2"/>
  <c r="K358" i="2"/>
  <c r="K361" i="2"/>
  <c r="K362" i="2"/>
  <c r="K363" i="2"/>
  <c r="K364" i="2"/>
  <c r="K365" i="2"/>
  <c r="L17" i="19" s="1"/>
  <c r="K366" i="2"/>
  <c r="L18" i="19" s="1"/>
  <c r="K369" i="2"/>
  <c r="L21" i="19" s="1"/>
  <c r="K370" i="2"/>
  <c r="L22" i="19" s="1"/>
  <c r="K371" i="2"/>
  <c r="L23" i="19" s="1"/>
  <c r="K372" i="2"/>
  <c r="L24" i="19" s="1"/>
  <c r="O2" i="2"/>
  <c r="N23" i="19" l="1"/>
  <c r="Q23" i="19" s="1"/>
  <c r="M16" i="22"/>
  <c r="M16" i="20"/>
  <c r="M184" i="22"/>
  <c r="M185" i="20"/>
  <c r="M3" i="22"/>
  <c r="Q3" i="22" s="1"/>
  <c r="V3" i="22" s="1"/>
  <c r="M3" i="20"/>
  <c r="O358" i="2"/>
  <c r="M359" i="4" s="1"/>
  <c r="L10" i="19"/>
  <c r="O308" i="2"/>
  <c r="N309" i="6" s="1"/>
  <c r="H10" i="19"/>
  <c r="O210" i="2"/>
  <c r="N211" i="6" s="1"/>
  <c r="H12" i="18"/>
  <c r="O144" i="2"/>
  <c r="D21" i="18"/>
  <c r="O333" i="2"/>
  <c r="N334" i="6" s="1"/>
  <c r="J10" i="19"/>
  <c r="O183" i="2"/>
  <c r="M184" i="4" s="1"/>
  <c r="F10" i="18"/>
  <c r="O361" i="2"/>
  <c r="L13" i="19"/>
  <c r="O335" i="2"/>
  <c r="J12" i="19"/>
  <c r="O309" i="2"/>
  <c r="M310" i="4" s="1"/>
  <c r="H11" i="19"/>
  <c r="O285" i="2"/>
  <c r="N286" i="6" s="1"/>
  <c r="F12" i="19"/>
  <c r="O259" i="2"/>
  <c r="D11" i="19"/>
  <c r="O235" i="2"/>
  <c r="B12" i="19"/>
  <c r="O221" i="2"/>
  <c r="M222" i="4" s="1"/>
  <c r="H23" i="18"/>
  <c r="O211" i="2"/>
  <c r="M212" i="4" s="1"/>
  <c r="H13" i="18"/>
  <c r="O195" i="2"/>
  <c r="M196" i="4" s="1"/>
  <c r="F22" i="18"/>
  <c r="O185" i="2"/>
  <c r="F12" i="18"/>
  <c r="O145" i="2"/>
  <c r="N146" i="6" s="1"/>
  <c r="D22" i="18"/>
  <c r="O135" i="2"/>
  <c r="M136" i="4" s="1"/>
  <c r="D12" i="18"/>
  <c r="O92" i="2"/>
  <c r="B19" i="18"/>
  <c r="O234" i="2"/>
  <c r="B11" i="19"/>
  <c r="O134" i="2"/>
  <c r="M135" i="4" s="1"/>
  <c r="D11" i="18"/>
  <c r="O231" i="2"/>
  <c r="M232" i="4" s="1"/>
  <c r="B8" i="19"/>
  <c r="O86" i="2"/>
  <c r="B13" i="18"/>
  <c r="O280" i="2"/>
  <c r="F7" i="19"/>
  <c r="O256" i="2"/>
  <c r="M257" i="4" s="1"/>
  <c r="D8" i="19"/>
  <c r="O230" i="2"/>
  <c r="M231" i="4" s="1"/>
  <c r="B7" i="19"/>
  <c r="O218" i="2"/>
  <c r="H20" i="18"/>
  <c r="O206" i="2"/>
  <c r="H8" i="18"/>
  <c r="O192" i="2"/>
  <c r="M193" i="4" s="1"/>
  <c r="F19" i="18"/>
  <c r="O182" i="2"/>
  <c r="M183" i="4" s="1"/>
  <c r="F9" i="18"/>
  <c r="O142" i="2"/>
  <c r="D19" i="18"/>
  <c r="O129" i="2"/>
  <c r="D6" i="18"/>
  <c r="O85" i="2"/>
  <c r="M86" i="4" s="1"/>
  <c r="B12" i="18"/>
  <c r="O334" i="2"/>
  <c r="M335" i="4" s="1"/>
  <c r="J11" i="19"/>
  <c r="O194" i="2"/>
  <c r="F21" i="18"/>
  <c r="O356" i="2"/>
  <c r="L8" i="19"/>
  <c r="O330" i="2"/>
  <c r="N331" i="6" s="1"/>
  <c r="J7" i="19"/>
  <c r="O306" i="2"/>
  <c r="M307" i="4" s="1"/>
  <c r="H8" i="19"/>
  <c r="O355" i="2"/>
  <c r="M356" i="4" s="1"/>
  <c r="L7" i="19"/>
  <c r="O329" i="2"/>
  <c r="J6" i="19"/>
  <c r="O305" i="2"/>
  <c r="N306" i="6" s="1"/>
  <c r="H7" i="19"/>
  <c r="O255" i="2"/>
  <c r="D7" i="19"/>
  <c r="O239" i="2"/>
  <c r="M240" i="4" s="1"/>
  <c r="B16" i="19"/>
  <c r="O229" i="2"/>
  <c r="B6" i="19"/>
  <c r="O215" i="2"/>
  <c r="M216" i="4" s="1"/>
  <c r="H17" i="18"/>
  <c r="O205" i="2"/>
  <c r="H7" i="18"/>
  <c r="O191" i="2"/>
  <c r="N192" i="6" s="1"/>
  <c r="F18" i="18"/>
  <c r="O179" i="2"/>
  <c r="F6" i="18"/>
  <c r="O139" i="2"/>
  <c r="M140" i="4" s="1"/>
  <c r="D16" i="18"/>
  <c r="O128" i="2"/>
  <c r="D5" i="18"/>
  <c r="O84" i="2"/>
  <c r="M85" i="4" s="1"/>
  <c r="B11" i="18"/>
  <c r="O90" i="2"/>
  <c r="B17" i="18"/>
  <c r="O281" i="2"/>
  <c r="N282" i="6" s="1"/>
  <c r="F8" i="19"/>
  <c r="O207" i="2"/>
  <c r="H9" i="18"/>
  <c r="O143" i="2"/>
  <c r="M144" i="4" s="1"/>
  <c r="D20" i="18"/>
  <c r="O289" i="2"/>
  <c r="F16" i="19"/>
  <c r="O279" i="2"/>
  <c r="M280" i="4" s="1"/>
  <c r="F6" i="19"/>
  <c r="O364" i="2"/>
  <c r="L16" i="19"/>
  <c r="O354" i="2"/>
  <c r="N355" i="6" s="1"/>
  <c r="L6" i="19"/>
  <c r="O338" i="2"/>
  <c r="J15" i="19"/>
  <c r="O328" i="2"/>
  <c r="M329" i="4" s="1"/>
  <c r="J5" i="19"/>
  <c r="O314" i="2"/>
  <c r="H16" i="19"/>
  <c r="O302" i="2"/>
  <c r="M303" i="4" s="1"/>
  <c r="H4" i="19"/>
  <c r="O288" i="2"/>
  <c r="F15" i="19"/>
  <c r="O278" i="2"/>
  <c r="M279" i="4" s="1"/>
  <c r="F5" i="19"/>
  <c r="O264" i="2"/>
  <c r="D16" i="19"/>
  <c r="O254" i="2"/>
  <c r="N255" i="6" s="1"/>
  <c r="D6" i="19"/>
  <c r="O238" i="2"/>
  <c r="B15" i="19"/>
  <c r="O228" i="2"/>
  <c r="M229" i="4" s="1"/>
  <c r="B5" i="19"/>
  <c r="O214" i="2"/>
  <c r="H16" i="18"/>
  <c r="O204" i="2"/>
  <c r="M205" i="4" s="1"/>
  <c r="H6" i="18"/>
  <c r="O178" i="2"/>
  <c r="F5" i="18"/>
  <c r="O138" i="2"/>
  <c r="M139" i="4" s="1"/>
  <c r="D15" i="18"/>
  <c r="O127" i="2"/>
  <c r="D4" i="18"/>
  <c r="O77" i="2"/>
  <c r="B4" i="18"/>
  <c r="O282" i="2"/>
  <c r="F9" i="19"/>
  <c r="O220" i="2"/>
  <c r="M221" i="4" s="1"/>
  <c r="H22" i="18"/>
  <c r="O357" i="2"/>
  <c r="L9" i="19"/>
  <c r="O307" i="2"/>
  <c r="M308" i="4" s="1"/>
  <c r="H9" i="19"/>
  <c r="O257" i="2"/>
  <c r="D9" i="19"/>
  <c r="O193" i="2"/>
  <c r="M194" i="4" s="1"/>
  <c r="F20" i="18"/>
  <c r="O131" i="2"/>
  <c r="D8" i="18"/>
  <c r="O363" i="2"/>
  <c r="M364" i="4" s="1"/>
  <c r="L15" i="19"/>
  <c r="O353" i="2"/>
  <c r="L5" i="19"/>
  <c r="O337" i="2"/>
  <c r="N338" i="6" s="1"/>
  <c r="J14" i="19"/>
  <c r="O327" i="2"/>
  <c r="J4" i="19"/>
  <c r="O313" i="2"/>
  <c r="M314" i="4" s="1"/>
  <c r="H15" i="19"/>
  <c r="O287" i="2"/>
  <c r="F14" i="19"/>
  <c r="O277" i="2"/>
  <c r="M278" i="4" s="1"/>
  <c r="F4" i="19"/>
  <c r="O263" i="2"/>
  <c r="D15" i="19"/>
  <c r="O237" i="2"/>
  <c r="N238" i="6" s="1"/>
  <c r="B14" i="19"/>
  <c r="O227" i="2"/>
  <c r="B4" i="19"/>
  <c r="O213" i="2"/>
  <c r="H15" i="18"/>
  <c r="O203" i="2"/>
  <c r="M204" i="4" s="1"/>
  <c r="H5" i="18"/>
  <c r="O187" i="2"/>
  <c r="M188" i="4" s="1"/>
  <c r="F14" i="18"/>
  <c r="O177" i="2"/>
  <c r="F4" i="18"/>
  <c r="O147" i="2"/>
  <c r="D24" i="18"/>
  <c r="O137" i="2"/>
  <c r="M138" i="4" s="1"/>
  <c r="D14" i="18"/>
  <c r="O258" i="2"/>
  <c r="N259" i="6" s="1"/>
  <c r="D10" i="19"/>
  <c r="O184" i="2"/>
  <c r="F11" i="18"/>
  <c r="O219" i="2"/>
  <c r="H21" i="18"/>
  <c r="O362" i="2"/>
  <c r="M363" i="4" s="1"/>
  <c r="L14" i="19"/>
  <c r="O336" i="2"/>
  <c r="N337" i="6" s="1"/>
  <c r="J13" i="19"/>
  <c r="O310" i="2"/>
  <c r="H12" i="19"/>
  <c r="O286" i="2"/>
  <c r="F13" i="19"/>
  <c r="O262" i="2"/>
  <c r="M263" i="4" s="1"/>
  <c r="D14" i="19"/>
  <c r="O236" i="2"/>
  <c r="B13" i="19"/>
  <c r="O222" i="2"/>
  <c r="N223" i="6" s="1"/>
  <c r="H24" i="18"/>
  <c r="O212" i="2"/>
  <c r="H14" i="18"/>
  <c r="O202" i="2"/>
  <c r="H4" i="18"/>
  <c r="O186" i="2"/>
  <c r="F13" i="18"/>
  <c r="O146" i="2"/>
  <c r="N147" i="6" s="1"/>
  <c r="D23" i="18"/>
  <c r="O136" i="2"/>
  <c r="D13" i="18"/>
  <c r="O93" i="2"/>
  <c r="M94" i="4" s="1"/>
  <c r="B20" i="18"/>
  <c r="O369" i="2"/>
  <c r="C61" i="12"/>
  <c r="E61" i="12" s="1"/>
  <c r="O317" i="2"/>
  <c r="C37" i="12"/>
  <c r="E37" i="12" s="1"/>
  <c r="O267" i="2"/>
  <c r="C15" i="12"/>
  <c r="E15" i="12" s="1"/>
  <c r="O167" i="2"/>
  <c r="F19" i="11"/>
  <c r="O242" i="2"/>
  <c r="C4" i="12"/>
  <c r="E4" i="12" s="1"/>
  <c r="O166" i="2"/>
  <c r="M167" i="4" s="1"/>
  <c r="F18" i="11"/>
  <c r="O110" i="2"/>
  <c r="D12" i="11"/>
  <c r="O57" i="2"/>
  <c r="M57" i="20" s="1"/>
  <c r="J9" i="11"/>
  <c r="O34" i="2"/>
  <c r="M35" i="20" s="1"/>
  <c r="H11" i="11"/>
  <c r="O14" i="2"/>
  <c r="N15" i="6" s="1"/>
  <c r="B16" i="11"/>
  <c r="O365" i="2"/>
  <c r="C57" i="12"/>
  <c r="E57" i="12" s="1"/>
  <c r="O341" i="2"/>
  <c r="C47" i="12"/>
  <c r="E47" i="12" s="1"/>
  <c r="O315" i="2"/>
  <c r="C35" i="12"/>
  <c r="E35" i="12" s="1"/>
  <c r="O265" i="2"/>
  <c r="C13" i="12"/>
  <c r="E13" i="12" s="1"/>
  <c r="O165" i="2"/>
  <c r="F17" i="11"/>
  <c r="O155" i="2"/>
  <c r="F7" i="11"/>
  <c r="O106" i="2"/>
  <c r="D8" i="11"/>
  <c r="O56" i="2"/>
  <c r="J8" i="11"/>
  <c r="O30" i="2"/>
  <c r="M31" i="20" s="1"/>
  <c r="H7" i="11"/>
  <c r="O13" i="2"/>
  <c r="B15" i="11"/>
  <c r="O293" i="2"/>
  <c r="C27" i="12"/>
  <c r="E27" i="12" s="1"/>
  <c r="O243" i="2"/>
  <c r="M244" i="4" s="1"/>
  <c r="C5" i="12"/>
  <c r="E5" i="12" s="1"/>
  <c r="O36" i="2"/>
  <c r="M37" i="20" s="1"/>
  <c r="H13" i="11"/>
  <c r="O164" i="2"/>
  <c r="F16" i="11"/>
  <c r="O154" i="2"/>
  <c r="F6" i="11"/>
  <c r="O105" i="2"/>
  <c r="D7" i="11"/>
  <c r="O54" i="2"/>
  <c r="M54" i="20" s="1"/>
  <c r="J6" i="11"/>
  <c r="O29" i="2"/>
  <c r="M30" i="20" s="1"/>
  <c r="H6" i="11"/>
  <c r="O6" i="2"/>
  <c r="M7" i="4" s="1"/>
  <c r="B8" i="11"/>
  <c r="O157" i="2"/>
  <c r="N158" i="6" s="1"/>
  <c r="F9" i="11"/>
  <c r="O64" i="2"/>
  <c r="J16" i="11"/>
  <c r="O342" i="2"/>
  <c r="C48" i="12"/>
  <c r="E48" i="12" s="1"/>
  <c r="O290" i="2"/>
  <c r="C24" i="12"/>
  <c r="E24" i="12" s="1"/>
  <c r="O297" i="2"/>
  <c r="M298" i="4" s="1"/>
  <c r="C31" i="12"/>
  <c r="E31" i="12" s="1"/>
  <c r="O247" i="2"/>
  <c r="C9" i="12"/>
  <c r="E9" i="12" s="1"/>
  <c r="O163" i="2"/>
  <c r="F15" i="11"/>
  <c r="O122" i="2"/>
  <c r="D24" i="11"/>
  <c r="O104" i="2"/>
  <c r="M105" i="4" s="1"/>
  <c r="D6" i="11"/>
  <c r="O72" i="2"/>
  <c r="J24" i="11"/>
  <c r="O46" i="2"/>
  <c r="M47" i="20" s="1"/>
  <c r="H23" i="11"/>
  <c r="O28" i="2"/>
  <c r="M29" i="20" s="1"/>
  <c r="H5" i="11"/>
  <c r="O5" i="2"/>
  <c r="M6" i="4" s="1"/>
  <c r="B7" i="11"/>
  <c r="O172" i="2"/>
  <c r="F24" i="11"/>
  <c r="O162" i="2"/>
  <c r="F14" i="11"/>
  <c r="O121" i="2"/>
  <c r="N122" i="6" s="1"/>
  <c r="D23" i="11"/>
  <c r="O70" i="2"/>
  <c r="J22" i="11"/>
  <c r="O45" i="2"/>
  <c r="M46" i="20" s="1"/>
  <c r="H22" i="11"/>
  <c r="O22" i="2"/>
  <c r="B24" i="11"/>
  <c r="O3" i="2"/>
  <c r="B5" i="11"/>
  <c r="O112" i="2"/>
  <c r="D14" i="11"/>
  <c r="O366" i="2"/>
  <c r="C58" i="12"/>
  <c r="E58" i="12" s="1"/>
  <c r="O316" i="2"/>
  <c r="C36" i="12"/>
  <c r="E36" i="12" s="1"/>
  <c r="O322" i="2"/>
  <c r="C42" i="12"/>
  <c r="E42" i="12" s="1"/>
  <c r="O296" i="2"/>
  <c r="M297" i="4" s="1"/>
  <c r="C30" i="12"/>
  <c r="E30" i="12" s="1"/>
  <c r="O271" i="2"/>
  <c r="C19" i="12"/>
  <c r="E19" i="12" s="1"/>
  <c r="O245" i="2"/>
  <c r="C7" i="12"/>
  <c r="E7" i="12" s="1"/>
  <c r="O171" i="2"/>
  <c r="F23" i="11"/>
  <c r="O159" i="2"/>
  <c r="M160" i="4" s="1"/>
  <c r="F11" i="11"/>
  <c r="O120" i="2"/>
  <c r="D22" i="11"/>
  <c r="O66" i="2"/>
  <c r="J18" i="11"/>
  <c r="O44" i="2"/>
  <c r="M45" i="20" s="1"/>
  <c r="H21" i="11"/>
  <c r="O21" i="2"/>
  <c r="B23" i="11"/>
  <c r="O343" i="2"/>
  <c r="C49" i="12"/>
  <c r="E49" i="12" s="1"/>
  <c r="O266" i="2"/>
  <c r="C14" i="12"/>
  <c r="E14" i="12" s="1"/>
  <c r="O156" i="2"/>
  <c r="F8" i="11"/>
  <c r="O372" i="2"/>
  <c r="C64" i="12"/>
  <c r="E64" i="12" s="1"/>
  <c r="O346" i="2"/>
  <c r="C52" i="12"/>
  <c r="E52" i="12" s="1"/>
  <c r="O272" i="2"/>
  <c r="C20" i="12"/>
  <c r="E20" i="12" s="1"/>
  <c r="O246" i="2"/>
  <c r="M247" i="4" s="1"/>
  <c r="C8" i="12"/>
  <c r="E8" i="12" s="1"/>
  <c r="O371" i="2"/>
  <c r="C63" i="12"/>
  <c r="E63" i="12" s="1"/>
  <c r="O345" i="2"/>
  <c r="C51" i="12"/>
  <c r="E51" i="12" s="1"/>
  <c r="O321" i="2"/>
  <c r="C41" i="12"/>
  <c r="E41" i="12" s="1"/>
  <c r="O295" i="2"/>
  <c r="C29" i="12"/>
  <c r="E29" i="12" s="1"/>
  <c r="O370" i="2"/>
  <c r="M371" i="4" s="1"/>
  <c r="C62" i="12"/>
  <c r="E62" i="12" s="1"/>
  <c r="O344" i="2"/>
  <c r="C50" i="12"/>
  <c r="E50" i="12" s="1"/>
  <c r="O318" i="2"/>
  <c r="C38" i="12"/>
  <c r="E38" i="12" s="1"/>
  <c r="O294" i="2"/>
  <c r="C28" i="12"/>
  <c r="E28" i="12" s="1"/>
  <c r="O270" i="2"/>
  <c r="M271" i="4" s="1"/>
  <c r="C18" i="12"/>
  <c r="E18" i="12" s="1"/>
  <c r="O244" i="2"/>
  <c r="C6" i="12"/>
  <c r="E6" i="12" s="1"/>
  <c r="O170" i="2"/>
  <c r="F22" i="11"/>
  <c r="O158" i="2"/>
  <c r="F10" i="11"/>
  <c r="O113" i="2"/>
  <c r="D15" i="11"/>
  <c r="O65" i="2"/>
  <c r="J17" i="11"/>
  <c r="O37" i="2"/>
  <c r="M38" i="20" s="1"/>
  <c r="H14" i="11"/>
  <c r="O19" i="2"/>
  <c r="B21" i="11"/>
  <c r="M191" i="4"/>
  <c r="N191" i="6"/>
  <c r="M255" i="4"/>
  <c r="N212" i="6"/>
  <c r="M16" i="4"/>
  <c r="N16" i="6"/>
  <c r="M3" i="4"/>
  <c r="N3" i="6"/>
  <c r="M286" i="4"/>
  <c r="P2" i="2"/>
  <c r="K332" i="2"/>
  <c r="K181" i="2"/>
  <c r="K133" i="2"/>
  <c r="K102" i="2"/>
  <c r="K367" i="2"/>
  <c r="L19" i="19" s="1"/>
  <c r="K319" i="2"/>
  <c r="H21" i="19" s="1"/>
  <c r="K240" i="2"/>
  <c r="B17" i="19" s="1"/>
  <c r="K208" i="2"/>
  <c r="K152" i="2"/>
  <c r="K109" i="2"/>
  <c r="K61" i="2"/>
  <c r="K18" i="2"/>
  <c r="K108" i="2"/>
  <c r="K80" i="2"/>
  <c r="K17" i="2"/>
  <c r="K340" i="2"/>
  <c r="J17" i="19" s="1"/>
  <c r="K304" i="2"/>
  <c r="K209" i="2"/>
  <c r="K169" i="2"/>
  <c r="K339" i="2"/>
  <c r="K291" i="2"/>
  <c r="F18" i="19" s="1"/>
  <c r="K232" i="2"/>
  <c r="K188" i="2"/>
  <c r="K160" i="2"/>
  <c r="K69" i="2"/>
  <c r="K116" i="2"/>
  <c r="K96" i="2"/>
  <c r="K88" i="2"/>
  <c r="K68" i="2"/>
  <c r="K60" i="2"/>
  <c r="O52" i="2"/>
  <c r="M52" i="20" s="1"/>
  <c r="K40" i="2"/>
  <c r="K32" i="2"/>
  <c r="K9" i="2"/>
  <c r="K368" i="2"/>
  <c r="L20" i="19" s="1"/>
  <c r="K312" i="2"/>
  <c r="K197" i="2"/>
  <c r="K153" i="2"/>
  <c r="K42" i="2"/>
  <c r="K331" i="2"/>
  <c r="K283" i="2"/>
  <c r="K252" i="2"/>
  <c r="K168" i="2"/>
  <c r="O53" i="2"/>
  <c r="M53" i="20" s="1"/>
  <c r="K114" i="2"/>
  <c r="K78" i="2"/>
  <c r="K58" i="2"/>
  <c r="K38" i="2"/>
  <c r="K7" i="2"/>
  <c r="K352" i="2"/>
  <c r="K284" i="2"/>
  <c r="K261" i="2"/>
  <c r="K241" i="2"/>
  <c r="B18" i="19" s="1"/>
  <c r="K189" i="2"/>
  <c r="K141" i="2"/>
  <c r="K11" i="2"/>
  <c r="K347" i="2"/>
  <c r="J24" i="19" s="1"/>
  <c r="N24" i="19" s="1"/>
  <c r="Q24" i="19" s="1"/>
  <c r="K303" i="2"/>
  <c r="K260" i="2"/>
  <c r="K196" i="2"/>
  <c r="K140" i="2"/>
  <c r="K117" i="2"/>
  <c r="K81" i="2"/>
  <c r="K41" i="2"/>
  <c r="K94" i="2"/>
  <c r="P15" i="2"/>
  <c r="K320" i="2"/>
  <c r="H22" i="19" s="1"/>
  <c r="N22" i="19" s="1"/>
  <c r="Q22" i="19" s="1"/>
  <c r="K253" i="2"/>
  <c r="K359" i="2"/>
  <c r="K132" i="2"/>
  <c r="K360" i="2"/>
  <c r="K292" i="2"/>
  <c r="F19" i="19" s="1"/>
  <c r="K269" i="2"/>
  <c r="D21" i="19" s="1"/>
  <c r="K233" i="2"/>
  <c r="K217" i="2"/>
  <c r="K161" i="2"/>
  <c r="K118" i="2"/>
  <c r="K82" i="2"/>
  <c r="K62" i="2"/>
  <c r="K311" i="2"/>
  <c r="K268" i="2"/>
  <c r="D20" i="19" s="1"/>
  <c r="K216" i="2"/>
  <c r="K180" i="2"/>
  <c r="K97" i="2"/>
  <c r="K89" i="2"/>
  <c r="K33" i="2"/>
  <c r="K10" i="2"/>
  <c r="K130" i="2"/>
  <c r="K115" i="2"/>
  <c r="K107" i="2"/>
  <c r="K95" i="2"/>
  <c r="K87" i="2"/>
  <c r="K79" i="2"/>
  <c r="K67" i="2"/>
  <c r="K59" i="2"/>
  <c r="K47" i="2"/>
  <c r="K39" i="2"/>
  <c r="K31" i="2"/>
  <c r="K16" i="2"/>
  <c r="K8" i="2"/>
  <c r="K119" i="2"/>
  <c r="K111" i="2"/>
  <c r="K103" i="2"/>
  <c r="K91" i="2"/>
  <c r="K83" i="2"/>
  <c r="K71" i="2"/>
  <c r="K63" i="2"/>
  <c r="K55" i="2"/>
  <c r="K43" i="2"/>
  <c r="K35" i="2"/>
  <c r="K27" i="2"/>
  <c r="K20" i="2"/>
  <c r="K12" i="2"/>
  <c r="K4" i="2"/>
  <c r="N307" i="6" l="1"/>
  <c r="N196" i="6"/>
  <c r="N20" i="19"/>
  <c r="Q20" i="19" s="1"/>
  <c r="M15" i="4"/>
  <c r="Q15" i="4" s="1"/>
  <c r="V15" i="4" s="1"/>
  <c r="B45" i="11" s="1"/>
  <c r="S45" i="11" s="1"/>
  <c r="M147" i="4"/>
  <c r="Q147" i="4" s="1"/>
  <c r="V147" i="4" s="1"/>
  <c r="D51" i="18" s="1"/>
  <c r="S51" i="18" s="1"/>
  <c r="N21" i="19"/>
  <c r="Q21" i="19" s="1"/>
  <c r="N18" i="19"/>
  <c r="Q18" i="19" s="1"/>
  <c r="N17" i="19"/>
  <c r="Q17" i="19" s="1"/>
  <c r="N19" i="19"/>
  <c r="Q19" i="19" s="1"/>
  <c r="N15" i="19"/>
  <c r="Q15" i="19" s="1"/>
  <c r="N7" i="19"/>
  <c r="Q7" i="19" s="1"/>
  <c r="N78" i="6"/>
  <c r="T78" i="6" s="1"/>
  <c r="Y78" i="6" s="1"/>
  <c r="B61" i="18" s="1"/>
  <c r="Q61" i="18" s="1"/>
  <c r="M76" i="20"/>
  <c r="N57" i="6"/>
  <c r="M56" i="20"/>
  <c r="N314" i="6"/>
  <c r="T314" i="6" s="1"/>
  <c r="Y314" i="6" s="1"/>
  <c r="H71" i="19" s="1"/>
  <c r="M337" i="4"/>
  <c r="Q337" i="4" s="1"/>
  <c r="V337" i="4" s="1"/>
  <c r="J41" i="19" s="1"/>
  <c r="N240" i="6"/>
  <c r="T240" i="6" s="1"/>
  <c r="Y240" i="6" s="1"/>
  <c r="B72" i="19" s="1"/>
  <c r="N329" i="6"/>
  <c r="M282" i="4"/>
  <c r="Q282" i="4" s="1"/>
  <c r="V282" i="4" s="1"/>
  <c r="F36" i="19" s="1"/>
  <c r="N279" i="6"/>
  <c r="T279" i="6" s="1"/>
  <c r="Y279" i="6" s="1"/>
  <c r="F61" i="19" s="1"/>
  <c r="N86" i="6"/>
  <c r="T86" i="6" s="1"/>
  <c r="Y86" i="6" s="1"/>
  <c r="B69" i="18" s="1"/>
  <c r="Q69" i="18" s="1"/>
  <c r="N216" i="6"/>
  <c r="T216" i="6" s="1"/>
  <c r="Y216" i="6" s="1"/>
  <c r="H74" i="18" s="1"/>
  <c r="W74" i="18" s="1"/>
  <c r="M192" i="4"/>
  <c r="Q192" i="4" s="1"/>
  <c r="V192" i="4" s="1"/>
  <c r="F46" i="18" s="1"/>
  <c r="U46" i="18" s="1"/>
  <c r="M338" i="4"/>
  <c r="Q338" i="4" s="1"/>
  <c r="V338" i="4" s="1"/>
  <c r="J42" i="19" s="1"/>
  <c r="N359" i="6"/>
  <c r="T359" i="6" s="1"/>
  <c r="Y359" i="6" s="1"/>
  <c r="L66" i="19" s="1"/>
  <c r="M334" i="4"/>
  <c r="Q334" i="4" s="1"/>
  <c r="V334" i="4" s="1"/>
  <c r="J38" i="19" s="1"/>
  <c r="M331" i="4"/>
  <c r="Q331" i="4" s="1"/>
  <c r="V331" i="4" s="1"/>
  <c r="J35" i="19" s="1"/>
  <c r="N193" i="6"/>
  <c r="T193" i="6" s="1"/>
  <c r="Y193" i="6" s="1"/>
  <c r="F76" i="18" s="1"/>
  <c r="U76" i="18" s="1"/>
  <c r="M306" i="4"/>
  <c r="Q306" i="4" s="1"/>
  <c r="V306" i="4" s="1"/>
  <c r="H35" i="19" s="1"/>
  <c r="N222" i="6"/>
  <c r="T222" i="6" s="1"/>
  <c r="Y222" i="6" s="1"/>
  <c r="H80" i="18" s="1"/>
  <c r="W80" i="18" s="1"/>
  <c r="N144" i="6"/>
  <c r="T144" i="6" s="1"/>
  <c r="Y144" i="6" s="1"/>
  <c r="D77" i="18" s="1"/>
  <c r="S77" i="18" s="1"/>
  <c r="N363" i="6"/>
  <c r="T363" i="6" s="1"/>
  <c r="Y363" i="6" s="1"/>
  <c r="L70" i="19" s="1"/>
  <c r="N232" i="6"/>
  <c r="T232" i="6" s="1"/>
  <c r="Y232" i="6" s="1"/>
  <c r="B64" i="19" s="1"/>
  <c r="M309" i="4"/>
  <c r="Q309" i="4" s="1"/>
  <c r="V309" i="4" s="1"/>
  <c r="H38" i="19" s="1"/>
  <c r="N138" i="6"/>
  <c r="T138" i="6" s="1"/>
  <c r="Y138" i="6" s="1"/>
  <c r="D71" i="18" s="1"/>
  <c r="S71" i="18" s="1"/>
  <c r="N335" i="6"/>
  <c r="T335" i="6" s="1"/>
  <c r="Y335" i="6" s="1"/>
  <c r="J67" i="19" s="1"/>
  <c r="N183" i="6"/>
  <c r="T183" i="6" s="1"/>
  <c r="Y183" i="6" s="1"/>
  <c r="F66" i="18" s="1"/>
  <c r="U66" i="18" s="1"/>
  <c r="M158" i="4"/>
  <c r="Q158" i="4" s="1"/>
  <c r="V158" i="4" s="1"/>
  <c r="F38" i="11" s="1"/>
  <c r="W38" i="11" s="1"/>
  <c r="N263" i="6"/>
  <c r="T263" i="6" s="1"/>
  <c r="Y263" i="6" s="1"/>
  <c r="D70" i="19" s="1"/>
  <c r="N136" i="6"/>
  <c r="T136" i="6" s="1"/>
  <c r="Y136" i="6" s="1"/>
  <c r="D69" i="18" s="1"/>
  <c r="S69" i="18" s="1"/>
  <c r="N184" i="6"/>
  <c r="T184" i="6" s="1"/>
  <c r="Y184" i="6" s="1"/>
  <c r="F67" i="18" s="1"/>
  <c r="U67" i="18" s="1"/>
  <c r="N204" i="6"/>
  <c r="T204" i="6" s="1"/>
  <c r="Y204" i="6" s="1"/>
  <c r="H62" i="18" s="1"/>
  <c r="W62" i="18" s="1"/>
  <c r="N231" i="6"/>
  <c r="T231" i="6" s="1"/>
  <c r="Y231" i="6" s="1"/>
  <c r="B63" i="19" s="1"/>
  <c r="M78" i="4"/>
  <c r="Q78" i="4" s="1"/>
  <c r="V78" i="4" s="1"/>
  <c r="B32" i="18" s="1"/>
  <c r="Q32" i="18" s="1"/>
  <c r="M259" i="4"/>
  <c r="Q259" i="4" s="1"/>
  <c r="V259" i="4" s="1"/>
  <c r="D38" i="19" s="1"/>
  <c r="M146" i="4"/>
  <c r="Q146" i="4" s="1"/>
  <c r="V146" i="4" s="1"/>
  <c r="D50" i="18" s="1"/>
  <c r="S50" i="18" s="1"/>
  <c r="M238" i="4"/>
  <c r="Q238" i="4" s="1"/>
  <c r="V238" i="4" s="1"/>
  <c r="B42" i="19" s="1"/>
  <c r="M355" i="4"/>
  <c r="Q355" i="4" s="1"/>
  <c r="V355" i="4" s="1"/>
  <c r="L34" i="19" s="1"/>
  <c r="N280" i="6"/>
  <c r="T280" i="6" s="1"/>
  <c r="Y280" i="6" s="1"/>
  <c r="F62" i="19" s="1"/>
  <c r="N188" i="6"/>
  <c r="T188" i="6" s="1"/>
  <c r="Y188" i="6" s="1"/>
  <c r="F71" i="18" s="1"/>
  <c r="U71" i="18" s="1"/>
  <c r="N205" i="6"/>
  <c r="T205" i="6" s="1"/>
  <c r="Y205" i="6" s="1"/>
  <c r="H63" i="18" s="1"/>
  <c r="W63" i="18" s="1"/>
  <c r="N308" i="6"/>
  <c r="T308" i="6" s="1"/>
  <c r="Y308" i="6" s="1"/>
  <c r="H65" i="19" s="1"/>
  <c r="N310" i="6"/>
  <c r="T310" i="6" s="1"/>
  <c r="Y310" i="6" s="1"/>
  <c r="H67" i="19" s="1"/>
  <c r="N135" i="6"/>
  <c r="T135" i="6" s="1"/>
  <c r="Y135" i="6" s="1"/>
  <c r="D68" i="18" s="1"/>
  <c r="S68" i="18" s="1"/>
  <c r="N278" i="6"/>
  <c r="T278" i="6" s="1"/>
  <c r="Y278" i="6" s="1"/>
  <c r="F60" i="19" s="1"/>
  <c r="N303" i="6"/>
  <c r="T303" i="6" s="1"/>
  <c r="Y303" i="6" s="1"/>
  <c r="H60" i="19" s="1"/>
  <c r="N194" i="6"/>
  <c r="T194" i="6" s="1"/>
  <c r="Y194" i="6" s="1"/>
  <c r="F77" i="18" s="1"/>
  <c r="U77" i="18" s="1"/>
  <c r="N364" i="6"/>
  <c r="T364" i="6" s="1"/>
  <c r="Y364" i="6" s="1"/>
  <c r="L71" i="19" s="1"/>
  <c r="N140" i="6"/>
  <c r="T140" i="6" s="1"/>
  <c r="Y140" i="6" s="1"/>
  <c r="D73" i="18" s="1"/>
  <c r="S73" i="18" s="1"/>
  <c r="N221" i="6"/>
  <c r="T221" i="6" s="1"/>
  <c r="Y221" i="6" s="1"/>
  <c r="H79" i="18" s="1"/>
  <c r="W79" i="18" s="1"/>
  <c r="N229" i="6"/>
  <c r="T229" i="6" s="1"/>
  <c r="Y229" i="6" s="1"/>
  <c r="B61" i="19" s="1"/>
  <c r="N356" i="6"/>
  <c r="T356" i="6" s="1"/>
  <c r="Y356" i="6" s="1"/>
  <c r="L63" i="19" s="1"/>
  <c r="N139" i="6"/>
  <c r="T139" i="6" s="1"/>
  <c r="Y139" i="6" s="1"/>
  <c r="D72" i="18" s="1"/>
  <c r="S72" i="18" s="1"/>
  <c r="N257" i="6"/>
  <c r="T257" i="6" s="1"/>
  <c r="Y257" i="6" s="1"/>
  <c r="D64" i="19" s="1"/>
  <c r="N85" i="6"/>
  <c r="T85" i="6" s="1"/>
  <c r="Y85" i="6" s="1"/>
  <c r="B68" i="18" s="1"/>
  <c r="Q68" i="18" s="1"/>
  <c r="T15" i="6"/>
  <c r="Y15" i="6" s="1"/>
  <c r="B74" i="11" s="1"/>
  <c r="S74" i="11" s="1"/>
  <c r="Q6" i="4"/>
  <c r="V6" i="4" s="1"/>
  <c r="B36" i="11" s="1"/>
  <c r="S36" i="11" s="1"/>
  <c r="M110" i="22"/>
  <c r="Q110" i="22" s="1"/>
  <c r="V110" i="22" s="1"/>
  <c r="M111" i="20"/>
  <c r="M52" i="22"/>
  <c r="N297" i="6"/>
  <c r="T297" i="6" s="1"/>
  <c r="Y297" i="6" s="1"/>
  <c r="F79" i="19" s="1"/>
  <c r="N105" i="6"/>
  <c r="T105" i="6" s="1"/>
  <c r="Y105" i="6" s="1"/>
  <c r="D64" i="11" s="1"/>
  <c r="U64" i="11" s="1"/>
  <c r="N298" i="6"/>
  <c r="M363" i="22"/>
  <c r="M364" i="20"/>
  <c r="N167" i="6"/>
  <c r="T167" i="6" s="1"/>
  <c r="Y167" i="6" s="1"/>
  <c r="F76" i="11" s="1"/>
  <c r="W76" i="11" s="1"/>
  <c r="N160" i="6"/>
  <c r="T160" i="6" s="1"/>
  <c r="Y160" i="6" s="1"/>
  <c r="F69" i="11" s="1"/>
  <c r="W69" i="11" s="1"/>
  <c r="M66" i="4"/>
  <c r="Q66" i="4" s="1"/>
  <c r="V66" i="4" s="1"/>
  <c r="J46" i="11" s="1"/>
  <c r="AA46" i="11" s="1"/>
  <c r="M64" i="22"/>
  <c r="M65" i="20"/>
  <c r="M245" i="4"/>
  <c r="Q245" i="4" s="1"/>
  <c r="V245" i="4" s="1"/>
  <c r="B49" i="19" s="1"/>
  <c r="M236" i="22"/>
  <c r="M237" i="20"/>
  <c r="M345" i="4"/>
  <c r="Q345" i="4" s="1"/>
  <c r="V345" i="4" s="1"/>
  <c r="J49" i="19" s="1"/>
  <c r="M336" i="22"/>
  <c r="M337" i="20"/>
  <c r="M346" i="4"/>
  <c r="Q346" i="4" s="1"/>
  <c r="V346" i="4" s="1"/>
  <c r="J50" i="19" s="1"/>
  <c r="M337" i="22"/>
  <c r="M338" i="20"/>
  <c r="N347" i="6"/>
  <c r="T347" i="6" s="1"/>
  <c r="Y347" i="6" s="1"/>
  <c r="J79" i="19" s="1"/>
  <c r="M338" i="22"/>
  <c r="M339" i="20"/>
  <c r="M344" i="4"/>
  <c r="Q344" i="4" s="1"/>
  <c r="V344" i="4" s="1"/>
  <c r="J48" i="19" s="1"/>
  <c r="M335" i="22"/>
  <c r="M336" i="20"/>
  <c r="M121" i="4"/>
  <c r="Q121" i="4" s="1"/>
  <c r="V121" i="4" s="1"/>
  <c r="D51" i="11" s="1"/>
  <c r="U51" i="11" s="1"/>
  <c r="M117" i="22"/>
  <c r="M118" i="20"/>
  <c r="M272" i="4"/>
  <c r="Q272" i="4" s="1"/>
  <c r="V272" i="4" s="1"/>
  <c r="D51" i="19" s="1"/>
  <c r="M263" i="22"/>
  <c r="M264" i="20"/>
  <c r="N367" i="6"/>
  <c r="T367" i="6" s="1"/>
  <c r="Y367" i="6" s="1"/>
  <c r="L74" i="19" s="1"/>
  <c r="M358" i="22"/>
  <c r="M359" i="20"/>
  <c r="N46" i="6"/>
  <c r="M45" i="22"/>
  <c r="M173" i="4"/>
  <c r="Q173" i="4" s="1"/>
  <c r="V173" i="4" s="1"/>
  <c r="F53" i="11" s="1"/>
  <c r="W53" i="11" s="1"/>
  <c r="M167" i="22"/>
  <c r="M168" i="20"/>
  <c r="M73" i="4"/>
  <c r="Q73" i="4" s="1"/>
  <c r="V73" i="4" s="1"/>
  <c r="J53" i="11" s="1"/>
  <c r="AA53" i="11" s="1"/>
  <c r="M71" i="22"/>
  <c r="M72" i="20"/>
  <c r="M248" i="4"/>
  <c r="Q248" i="4" s="1"/>
  <c r="V248" i="4" s="1"/>
  <c r="B52" i="19" s="1"/>
  <c r="M239" i="22"/>
  <c r="M240" i="20"/>
  <c r="N65" i="6"/>
  <c r="T65" i="6" s="1"/>
  <c r="M63" i="22"/>
  <c r="M64" i="20"/>
  <c r="M55" i="4"/>
  <c r="Q55" i="4" s="1"/>
  <c r="V55" i="4" s="1"/>
  <c r="J35" i="11" s="1"/>
  <c r="AA35" i="11" s="1"/>
  <c r="M53" i="22"/>
  <c r="M37" i="4"/>
  <c r="Q37" i="4" s="1"/>
  <c r="V37" i="4" s="1"/>
  <c r="H42" i="11" s="1"/>
  <c r="Y42" i="11" s="1"/>
  <c r="M36" i="22"/>
  <c r="M31" i="4"/>
  <c r="Q31" i="4" s="1"/>
  <c r="V31" i="4" s="1"/>
  <c r="H36" i="11" s="1"/>
  <c r="Y36" i="11" s="1"/>
  <c r="M30" i="22"/>
  <c r="M166" i="4"/>
  <c r="Q166" i="4" s="1"/>
  <c r="V166" i="4" s="1"/>
  <c r="F46" i="11" s="1"/>
  <c r="W46" i="11" s="1"/>
  <c r="M160" i="22"/>
  <c r="M161" i="20"/>
  <c r="M366" i="4"/>
  <c r="Q366" i="4" s="1"/>
  <c r="V366" i="4" s="1"/>
  <c r="L45" i="19" s="1"/>
  <c r="M357" i="22"/>
  <c r="M358" i="20"/>
  <c r="N111" i="6"/>
  <c r="T111" i="6" s="1"/>
  <c r="Y111" i="6" s="1"/>
  <c r="D70" i="11" s="1"/>
  <c r="U70" i="11" s="1"/>
  <c r="M107" i="22"/>
  <c r="M108" i="20"/>
  <c r="M268" i="4"/>
  <c r="Q268" i="4" s="1"/>
  <c r="V268" i="4" s="1"/>
  <c r="D47" i="19" s="1"/>
  <c r="M259" i="22"/>
  <c r="M260" i="20"/>
  <c r="M137" i="4"/>
  <c r="Q137" i="4" s="1"/>
  <c r="V137" i="4" s="1"/>
  <c r="D41" i="18" s="1"/>
  <c r="S41" i="18" s="1"/>
  <c r="M132" i="22"/>
  <c r="M133" i="20"/>
  <c r="M213" i="4"/>
  <c r="Q213" i="4" s="1"/>
  <c r="V213" i="4" s="1"/>
  <c r="H42" i="18" s="1"/>
  <c r="W42" i="18" s="1"/>
  <c r="M205" i="22"/>
  <c r="M206" i="20"/>
  <c r="M287" i="4"/>
  <c r="Q287" i="4" s="1"/>
  <c r="V287" i="4" s="1"/>
  <c r="F41" i="19" s="1"/>
  <c r="M278" i="22"/>
  <c r="M279" i="20"/>
  <c r="N220" i="6"/>
  <c r="T220" i="6" s="1"/>
  <c r="Y220" i="6" s="1"/>
  <c r="H78" i="18" s="1"/>
  <c r="W78" i="18" s="1"/>
  <c r="M212" i="22"/>
  <c r="M213" i="20"/>
  <c r="M148" i="4"/>
  <c r="Q148" i="4" s="1"/>
  <c r="V148" i="4" s="1"/>
  <c r="D52" i="18" s="1"/>
  <c r="S52" i="18" s="1"/>
  <c r="M143" i="22"/>
  <c r="M144" i="20"/>
  <c r="M214" i="4"/>
  <c r="Q214" i="4" s="1"/>
  <c r="V214" i="4" s="1"/>
  <c r="H43" i="18" s="1"/>
  <c r="W43" i="18" s="1"/>
  <c r="M206" i="22"/>
  <c r="Q206" i="22" s="1"/>
  <c r="V206" i="22" s="1"/>
  <c r="M207" i="20"/>
  <c r="M269" i="22"/>
  <c r="M270" i="20"/>
  <c r="M329" i="22"/>
  <c r="M330" i="20"/>
  <c r="M187" i="22"/>
  <c r="M188" i="20"/>
  <c r="M213" i="22"/>
  <c r="M214" i="20"/>
  <c r="M134" i="22"/>
  <c r="M135" i="20"/>
  <c r="M220" i="22"/>
  <c r="M221" i="20"/>
  <c r="M270" i="22"/>
  <c r="M271" i="20"/>
  <c r="M320" i="22"/>
  <c r="M321" i="20"/>
  <c r="M271" i="22"/>
  <c r="M272" i="20"/>
  <c r="M273" i="22"/>
  <c r="M274" i="20"/>
  <c r="M135" i="22"/>
  <c r="M136" i="20"/>
  <c r="M208" i="22"/>
  <c r="Q208" i="22" s="1"/>
  <c r="V208" i="22" s="1"/>
  <c r="M209" i="20"/>
  <c r="M297" i="22"/>
  <c r="M298" i="20"/>
  <c r="M322" i="22"/>
  <c r="M323" i="20"/>
  <c r="M83" i="22"/>
  <c r="Q83" i="22" s="1"/>
  <c r="V83" i="22" s="1"/>
  <c r="M84" i="20"/>
  <c r="M186" i="22"/>
  <c r="M187" i="20"/>
  <c r="M248" i="22"/>
  <c r="M249" i="20"/>
  <c r="M130" i="22"/>
  <c r="M131" i="20"/>
  <c r="M141" i="22"/>
  <c r="M142" i="20"/>
  <c r="M214" i="22"/>
  <c r="Q214" i="22" s="1"/>
  <c r="V214" i="22" s="1"/>
  <c r="M215" i="20"/>
  <c r="M301" i="22"/>
  <c r="M302" i="20"/>
  <c r="M325" i="22"/>
  <c r="M326" i="20"/>
  <c r="M350" i="22"/>
  <c r="M351" i="20"/>
  <c r="Q16" i="4"/>
  <c r="V16" i="4" s="1"/>
  <c r="B46" i="11" s="1"/>
  <c r="S46" i="11" s="1"/>
  <c r="M262" i="22"/>
  <c r="M263" i="20"/>
  <c r="N271" i="6"/>
  <c r="T271" i="6" s="1"/>
  <c r="Y271" i="6" s="1"/>
  <c r="D78" i="19" s="1"/>
  <c r="Q15" i="2"/>
  <c r="R15" i="2" s="1"/>
  <c r="N16" i="22"/>
  <c r="R16" i="22" s="1"/>
  <c r="N16" i="20"/>
  <c r="R16" i="20" s="1"/>
  <c r="N6" i="6"/>
  <c r="Q3" i="20"/>
  <c r="V3" i="20" s="1"/>
  <c r="M336" i="4"/>
  <c r="Q336" i="4" s="1"/>
  <c r="V336" i="4" s="1"/>
  <c r="J40" i="19" s="1"/>
  <c r="M327" i="22"/>
  <c r="M328" i="20"/>
  <c r="M145" i="4"/>
  <c r="Q145" i="4" s="1"/>
  <c r="V145" i="4" s="1"/>
  <c r="D49" i="18" s="1"/>
  <c r="S49" i="18" s="1"/>
  <c r="M140" i="22"/>
  <c r="M141" i="20"/>
  <c r="M364" i="22"/>
  <c r="M365" i="20"/>
  <c r="M288" i="22"/>
  <c r="M289" i="20"/>
  <c r="M101" i="22"/>
  <c r="M102" i="20"/>
  <c r="M102" i="22"/>
  <c r="Q102" i="22" s="1"/>
  <c r="V102" i="22" s="1"/>
  <c r="M103" i="20"/>
  <c r="M257" i="22"/>
  <c r="M258" i="20"/>
  <c r="M309" i="22"/>
  <c r="M310" i="20"/>
  <c r="N185" i="6"/>
  <c r="T185" i="6" s="1"/>
  <c r="Y185" i="6" s="1"/>
  <c r="F68" i="18" s="1"/>
  <c r="U68" i="18" s="1"/>
  <c r="M178" i="22"/>
  <c r="M179" i="20"/>
  <c r="M288" i="4"/>
  <c r="Q288" i="4" s="1"/>
  <c r="V288" i="4" s="1"/>
  <c r="F42" i="19" s="1"/>
  <c r="M279" i="22"/>
  <c r="M280" i="20"/>
  <c r="M283" i="4"/>
  <c r="Q283" i="4" s="1"/>
  <c r="V283" i="4" s="1"/>
  <c r="F37" i="19" s="1"/>
  <c r="M274" i="22"/>
  <c r="M275" i="20"/>
  <c r="M290" i="4"/>
  <c r="Q290" i="4" s="1"/>
  <c r="V290" i="4" s="1"/>
  <c r="F44" i="19" s="1"/>
  <c r="M281" i="22"/>
  <c r="M282" i="20"/>
  <c r="M236" i="4"/>
  <c r="Q236" i="4" s="1"/>
  <c r="V236" i="4" s="1"/>
  <c r="B40" i="19" s="1"/>
  <c r="M227" i="22"/>
  <c r="M228" i="20"/>
  <c r="Q2" i="2"/>
  <c r="R2" i="2" s="1"/>
  <c r="N3" i="22"/>
  <c r="R3" i="22" s="1"/>
  <c r="N3" i="20"/>
  <c r="R3" i="20" s="1"/>
  <c r="N371" i="6"/>
  <c r="T371" i="6" s="1"/>
  <c r="Y371" i="6" s="1"/>
  <c r="L78" i="19" s="1"/>
  <c r="T3" i="6"/>
  <c r="Y3" i="6" s="1"/>
  <c r="B62" i="11" s="1"/>
  <c r="S62" i="11" s="1"/>
  <c r="N114" i="6"/>
  <c r="T114" i="6" s="1"/>
  <c r="Y114" i="6" s="1"/>
  <c r="D73" i="11" s="1"/>
  <c r="U73" i="11" s="1"/>
  <c r="N266" i="6"/>
  <c r="T266" i="6" s="1"/>
  <c r="Y266" i="6" s="1"/>
  <c r="D73" i="19" s="1"/>
  <c r="N244" i="6"/>
  <c r="Q185" i="20"/>
  <c r="V185" i="20" s="1"/>
  <c r="M22" i="22"/>
  <c r="M22" i="20"/>
  <c r="M109" i="22"/>
  <c r="M110" i="20"/>
  <c r="M152" i="22"/>
  <c r="M153" i="20"/>
  <c r="M55" i="22"/>
  <c r="M161" i="22"/>
  <c r="Q161" i="22" s="1"/>
  <c r="V161" i="22" s="1"/>
  <c r="M162" i="20"/>
  <c r="M215" i="22"/>
  <c r="M216" i="20"/>
  <c r="M178" i="4"/>
  <c r="Q178" i="4" s="1"/>
  <c r="V178" i="4" s="1"/>
  <c r="F32" i="18" s="1"/>
  <c r="U32" i="18" s="1"/>
  <c r="M171" i="22"/>
  <c r="M172" i="20"/>
  <c r="M354" i="4"/>
  <c r="Q354" i="4" s="1"/>
  <c r="V354" i="4" s="1"/>
  <c r="L33" i="19" s="1"/>
  <c r="M345" i="22"/>
  <c r="M346" i="20"/>
  <c r="N179" i="6"/>
  <c r="T179" i="6" s="1"/>
  <c r="Y179" i="6" s="1"/>
  <c r="F62" i="18" s="1"/>
  <c r="U62" i="18" s="1"/>
  <c r="M172" i="22"/>
  <c r="Q172" i="22" s="1"/>
  <c r="V172" i="22" s="1"/>
  <c r="M173" i="20"/>
  <c r="M289" i="4"/>
  <c r="Q289" i="4" s="1"/>
  <c r="V289" i="4" s="1"/>
  <c r="F43" i="19" s="1"/>
  <c r="M280" i="22"/>
  <c r="M281" i="20"/>
  <c r="M91" i="4"/>
  <c r="Q91" i="4" s="1"/>
  <c r="V91" i="4" s="1"/>
  <c r="B45" i="18" s="1"/>
  <c r="Q45" i="18" s="1"/>
  <c r="M88" i="22"/>
  <c r="M89" i="20"/>
  <c r="M230" i="4"/>
  <c r="Q230" i="4" s="1"/>
  <c r="V230" i="4" s="1"/>
  <c r="B34" i="19" s="1"/>
  <c r="M221" i="22"/>
  <c r="M222" i="20"/>
  <c r="N357" i="6"/>
  <c r="T357" i="6" s="1"/>
  <c r="Y357" i="6" s="1"/>
  <c r="L64" i="19" s="1"/>
  <c r="M348" i="22"/>
  <c r="M349" i="20"/>
  <c r="M130" i="4"/>
  <c r="Q130" i="4" s="1"/>
  <c r="V130" i="4" s="1"/>
  <c r="D34" i="18" s="1"/>
  <c r="S34" i="18" s="1"/>
  <c r="M125" i="22"/>
  <c r="M126" i="20"/>
  <c r="M207" i="4"/>
  <c r="Q207" i="4" s="1"/>
  <c r="V207" i="4" s="1"/>
  <c r="H36" i="18" s="1"/>
  <c r="W36" i="18" s="1"/>
  <c r="M199" i="22"/>
  <c r="M200" i="20"/>
  <c r="M235" i="4"/>
  <c r="Q235" i="4" s="1"/>
  <c r="V235" i="4" s="1"/>
  <c r="B39" i="19" s="1"/>
  <c r="M226" i="22"/>
  <c r="M227" i="20"/>
  <c r="Q7" i="4"/>
  <c r="V7" i="4" s="1"/>
  <c r="B37" i="11" s="1"/>
  <c r="S37" i="11" s="1"/>
  <c r="Q3" i="4"/>
  <c r="V3" i="4" s="1"/>
  <c r="B33" i="11" s="1"/>
  <c r="S33" i="11" s="1"/>
  <c r="M114" i="4"/>
  <c r="Q114" i="4" s="1"/>
  <c r="V114" i="4" s="1"/>
  <c r="D44" i="11" s="1"/>
  <c r="U44" i="11" s="1"/>
  <c r="M266" i="4"/>
  <c r="M223" i="4"/>
  <c r="Q223" i="4" s="1"/>
  <c r="V223" i="4" s="1"/>
  <c r="H52" i="18" s="1"/>
  <c r="W52" i="18" s="1"/>
  <c r="M57" i="4"/>
  <c r="Q57" i="4" s="1"/>
  <c r="V57" i="4" s="1"/>
  <c r="J37" i="11" s="1"/>
  <c r="AA37" i="11" s="1"/>
  <c r="N20" i="6"/>
  <c r="T20" i="6" s="1"/>
  <c r="Y20" i="6" s="1"/>
  <c r="B79" i="11" s="1"/>
  <c r="S79" i="11" s="1"/>
  <c r="M20" i="22"/>
  <c r="M20" i="20"/>
  <c r="M159" i="4"/>
  <c r="Q159" i="4" s="1"/>
  <c r="V159" i="4" s="1"/>
  <c r="F39" i="11" s="1"/>
  <c r="W39" i="11" s="1"/>
  <c r="M153" i="22"/>
  <c r="Q153" i="22" s="1"/>
  <c r="V153" i="22" s="1"/>
  <c r="M154" i="20"/>
  <c r="M295" i="4"/>
  <c r="Q295" i="4" s="1"/>
  <c r="V295" i="4" s="1"/>
  <c r="F49" i="19" s="1"/>
  <c r="M286" i="22"/>
  <c r="M287" i="20"/>
  <c r="M296" i="4"/>
  <c r="Q296" i="4" s="1"/>
  <c r="V296" i="4" s="1"/>
  <c r="F50" i="19" s="1"/>
  <c r="M287" i="22"/>
  <c r="M288" i="20"/>
  <c r="N247" i="6"/>
  <c r="T247" i="6" s="1"/>
  <c r="Y247" i="6" s="1"/>
  <c r="B79" i="19" s="1"/>
  <c r="M238" i="22"/>
  <c r="M239" i="20"/>
  <c r="N157" i="6"/>
  <c r="T157" i="6" s="1"/>
  <c r="Y157" i="6" s="1"/>
  <c r="F66" i="11" s="1"/>
  <c r="W66" i="11" s="1"/>
  <c r="M151" i="22"/>
  <c r="M152" i="20"/>
  <c r="M45" i="4"/>
  <c r="Q45" i="4" s="1"/>
  <c r="V45" i="4" s="1"/>
  <c r="H50" i="11" s="1"/>
  <c r="Y50" i="11" s="1"/>
  <c r="M44" i="22"/>
  <c r="M172" i="4"/>
  <c r="Q172" i="4" s="1"/>
  <c r="V172" i="4" s="1"/>
  <c r="F52" i="11" s="1"/>
  <c r="W52" i="11" s="1"/>
  <c r="M166" i="22"/>
  <c r="M167" i="20"/>
  <c r="M323" i="4"/>
  <c r="Q323" i="4" s="1"/>
  <c r="V323" i="4" s="1"/>
  <c r="H52" i="19" s="1"/>
  <c r="M314" i="22"/>
  <c r="M315" i="20"/>
  <c r="N4" i="6"/>
  <c r="M4" i="22"/>
  <c r="M4" i="20"/>
  <c r="M122" i="4"/>
  <c r="Q122" i="4" s="1"/>
  <c r="V122" i="4" s="1"/>
  <c r="D52" i="11" s="1"/>
  <c r="U52" i="11" s="1"/>
  <c r="M118" i="22"/>
  <c r="Q118" i="22" s="1"/>
  <c r="V118" i="22" s="1"/>
  <c r="M119" i="20"/>
  <c r="M29" i="4"/>
  <c r="Q29" i="4" s="1"/>
  <c r="V29" i="4" s="1"/>
  <c r="H34" i="11" s="1"/>
  <c r="Y34" i="11" s="1"/>
  <c r="M28" i="22"/>
  <c r="N123" i="6"/>
  <c r="T123" i="6" s="1"/>
  <c r="Y123" i="6" s="1"/>
  <c r="D82" i="11" s="1"/>
  <c r="U82" i="11" s="1"/>
  <c r="M119" i="22"/>
  <c r="M120" i="20"/>
  <c r="M291" i="4"/>
  <c r="Q291" i="4" s="1"/>
  <c r="V291" i="4" s="1"/>
  <c r="F45" i="19" s="1"/>
  <c r="M282" i="22"/>
  <c r="M283" i="20"/>
  <c r="N7" i="6"/>
  <c r="M7" i="22"/>
  <c r="Q7" i="22" s="1"/>
  <c r="V7" i="22" s="1"/>
  <c r="M7" i="20"/>
  <c r="N155" i="6"/>
  <c r="T155" i="6" s="1"/>
  <c r="Y155" i="6" s="1"/>
  <c r="F64" i="11" s="1"/>
  <c r="W64" i="11" s="1"/>
  <c r="M149" i="22"/>
  <c r="Q149" i="22" s="1"/>
  <c r="V149" i="22" s="1"/>
  <c r="M150" i="20"/>
  <c r="M294" i="4"/>
  <c r="Q294" i="4" s="1"/>
  <c r="V294" i="4" s="1"/>
  <c r="F48" i="19" s="1"/>
  <c r="M285" i="22"/>
  <c r="M286" i="20"/>
  <c r="M107" i="4"/>
  <c r="Q107" i="4" s="1"/>
  <c r="V107" i="4" s="1"/>
  <c r="D37" i="11" s="1"/>
  <c r="U37" i="11" s="1"/>
  <c r="M103" i="22"/>
  <c r="M104" i="20"/>
  <c r="Q104" i="20" s="1"/>
  <c r="V104" i="20" s="1"/>
  <c r="N316" i="6"/>
  <c r="T316" i="6" s="1"/>
  <c r="Y316" i="6" s="1"/>
  <c r="H73" i="19" s="1"/>
  <c r="M307" i="22"/>
  <c r="M308" i="20"/>
  <c r="M35" i="4"/>
  <c r="Q35" i="4" s="1"/>
  <c r="V35" i="4" s="1"/>
  <c r="H40" i="11" s="1"/>
  <c r="Y40" i="11" s="1"/>
  <c r="M34" i="22"/>
  <c r="M243" i="4"/>
  <c r="Q243" i="4" s="1"/>
  <c r="V243" i="4" s="1"/>
  <c r="B47" i="19" s="1"/>
  <c r="M234" i="22"/>
  <c r="M235" i="20"/>
  <c r="M370" i="4"/>
  <c r="Q370" i="4" s="1"/>
  <c r="V370" i="4" s="1"/>
  <c r="L49" i="19" s="1"/>
  <c r="M361" i="22"/>
  <c r="M362" i="20"/>
  <c r="M187" i="4"/>
  <c r="Q187" i="4" s="1"/>
  <c r="V187" i="4" s="1"/>
  <c r="F41" i="18" s="1"/>
  <c r="U41" i="18" s="1"/>
  <c r="M180" i="22"/>
  <c r="M181" i="20"/>
  <c r="M237" i="4"/>
  <c r="Q237" i="4" s="1"/>
  <c r="V237" i="4" s="1"/>
  <c r="B41" i="19" s="1"/>
  <c r="M228" i="22"/>
  <c r="M229" i="20"/>
  <c r="M328" i="22"/>
  <c r="M329" i="20"/>
  <c r="M250" i="22"/>
  <c r="M251" i="20"/>
  <c r="M181" i="22"/>
  <c r="M182" i="20"/>
  <c r="M229" i="22"/>
  <c r="M230" i="20"/>
  <c r="M305" i="22"/>
  <c r="M306" i="20"/>
  <c r="M355" i="22"/>
  <c r="M356" i="20"/>
  <c r="M299" i="22"/>
  <c r="M300" i="20"/>
  <c r="M75" i="22"/>
  <c r="Q75" i="22" s="1"/>
  <c r="V75" i="22" s="1"/>
  <c r="M197" i="22"/>
  <c r="M198" i="20"/>
  <c r="M246" i="22"/>
  <c r="M247" i="20"/>
  <c r="M294" i="22"/>
  <c r="M295" i="20"/>
  <c r="M346" i="22"/>
  <c r="M347" i="20"/>
  <c r="M139" i="22"/>
  <c r="M140" i="20"/>
  <c r="M82" i="22"/>
  <c r="M83" i="20"/>
  <c r="M185" i="22"/>
  <c r="Q185" i="22" s="1"/>
  <c r="V185" i="22" s="1"/>
  <c r="M186" i="20"/>
  <c r="M231" i="22"/>
  <c r="M232" i="20"/>
  <c r="M347" i="22"/>
  <c r="M348" i="20"/>
  <c r="N195" i="6"/>
  <c r="T195" i="6" s="1"/>
  <c r="Y195" i="6" s="1"/>
  <c r="F78" i="18" s="1"/>
  <c r="U78" i="18" s="1"/>
  <c r="M188" i="22"/>
  <c r="M189" i="20"/>
  <c r="M143" i="4"/>
  <c r="Q143" i="4" s="1"/>
  <c r="V143" i="4" s="1"/>
  <c r="D47" i="18" s="1"/>
  <c r="S47" i="18" s="1"/>
  <c r="M138" i="22"/>
  <c r="M139" i="20"/>
  <c r="N219" i="6"/>
  <c r="T219" i="6" s="1"/>
  <c r="Y219" i="6" s="1"/>
  <c r="H77" i="18" s="1"/>
  <c r="W77" i="18" s="1"/>
  <c r="M211" i="22"/>
  <c r="M212" i="20"/>
  <c r="N87" i="6"/>
  <c r="T87" i="6" s="1"/>
  <c r="Y87" i="6" s="1"/>
  <c r="B70" i="18" s="1"/>
  <c r="Q70" i="18" s="1"/>
  <c r="M84" i="22"/>
  <c r="M85" i="20"/>
  <c r="M93" i="4"/>
  <c r="Q93" i="4" s="1"/>
  <c r="V93" i="4" s="1"/>
  <c r="B47" i="18" s="1"/>
  <c r="Q47" i="18" s="1"/>
  <c r="M90" i="22"/>
  <c r="M91" i="20"/>
  <c r="M189" i="22"/>
  <c r="Q189" i="22" s="1"/>
  <c r="V189" i="22" s="1"/>
  <c r="M190" i="20"/>
  <c r="M260" i="4"/>
  <c r="Q260" i="4" s="1"/>
  <c r="V260" i="4" s="1"/>
  <c r="D39" i="19" s="1"/>
  <c r="M251" i="22"/>
  <c r="M252" i="20"/>
  <c r="M362" i="4"/>
  <c r="Q362" i="4" s="1"/>
  <c r="V362" i="4" s="1"/>
  <c r="L41" i="19" s="1"/>
  <c r="M353" i="22"/>
  <c r="M354" i="20"/>
  <c r="M211" i="4"/>
  <c r="Q211" i="4" s="1"/>
  <c r="V211" i="4" s="1"/>
  <c r="H40" i="18" s="1"/>
  <c r="W40" i="18" s="1"/>
  <c r="M203" i="22"/>
  <c r="M204" i="20"/>
  <c r="Q184" i="22"/>
  <c r="V184" i="22" s="1"/>
  <c r="M362" i="22"/>
  <c r="M363" i="20"/>
  <c r="M154" i="22"/>
  <c r="M155" i="20"/>
  <c r="M69" i="22"/>
  <c r="M70" i="20"/>
  <c r="M289" i="22"/>
  <c r="M290" i="20"/>
  <c r="M235" i="22"/>
  <c r="M236" i="20"/>
  <c r="M15" i="22"/>
  <c r="M15" i="20"/>
  <c r="M142" i="22"/>
  <c r="Q142" i="22" s="1"/>
  <c r="V142" i="22" s="1"/>
  <c r="M143" i="20"/>
  <c r="M311" i="4"/>
  <c r="Q311" i="4" s="1"/>
  <c r="V311" i="4" s="1"/>
  <c r="H40" i="19" s="1"/>
  <c r="M302" i="22"/>
  <c r="M303" i="20"/>
  <c r="N228" i="6"/>
  <c r="T228" i="6" s="1"/>
  <c r="Y228" i="6" s="1"/>
  <c r="B60" i="19" s="1"/>
  <c r="M219" i="22"/>
  <c r="M220" i="20"/>
  <c r="M258" i="4"/>
  <c r="Q258" i="4" s="1"/>
  <c r="V258" i="4" s="1"/>
  <c r="D37" i="19" s="1"/>
  <c r="M249" i="22"/>
  <c r="M250" i="20"/>
  <c r="M239" i="4"/>
  <c r="Q239" i="4" s="1"/>
  <c r="V239" i="4" s="1"/>
  <c r="B43" i="19" s="1"/>
  <c r="M230" i="22"/>
  <c r="M231" i="20"/>
  <c r="M339" i="4"/>
  <c r="Q339" i="4" s="1"/>
  <c r="V339" i="4" s="1"/>
  <c r="J43" i="19" s="1"/>
  <c r="M330" i="22"/>
  <c r="M331" i="20"/>
  <c r="M180" i="4"/>
  <c r="Q180" i="4" s="1"/>
  <c r="V180" i="4" s="1"/>
  <c r="F34" i="18" s="1"/>
  <c r="U34" i="18" s="1"/>
  <c r="M173" i="22"/>
  <c r="M174" i="20"/>
  <c r="N330" i="6"/>
  <c r="T330" i="6" s="1"/>
  <c r="Y330" i="6" s="1"/>
  <c r="J62" i="19" s="1"/>
  <c r="M321" i="22"/>
  <c r="M322" i="20"/>
  <c r="N186" i="6"/>
  <c r="T186" i="6" s="1"/>
  <c r="Y186" i="6" s="1"/>
  <c r="F69" i="18" s="1"/>
  <c r="U69" i="18" s="1"/>
  <c r="M179" i="22"/>
  <c r="M180" i="20"/>
  <c r="M51" i="22"/>
  <c r="N372" i="6"/>
  <c r="T372" i="6" s="1"/>
  <c r="Y372" i="6" s="1"/>
  <c r="L79" i="19" s="1"/>
  <c r="N113" i="6"/>
  <c r="T113" i="6" s="1"/>
  <c r="Y113" i="6" s="1"/>
  <c r="D72" i="11" s="1"/>
  <c r="U72" i="11" s="1"/>
  <c r="N373" i="6"/>
  <c r="T373" i="6" s="1"/>
  <c r="Y373" i="6" s="1"/>
  <c r="L80" i="19" s="1"/>
  <c r="N22" i="6"/>
  <c r="T22" i="6" s="1"/>
  <c r="Y22" i="6" s="1"/>
  <c r="B81" i="11" s="1"/>
  <c r="S81" i="11" s="1"/>
  <c r="N71" i="6"/>
  <c r="T71" i="6" s="1"/>
  <c r="N106" i="6"/>
  <c r="T106" i="6" s="1"/>
  <c r="Y106" i="6" s="1"/>
  <c r="D65" i="11" s="1"/>
  <c r="U65" i="11" s="1"/>
  <c r="N318" i="6"/>
  <c r="T318" i="6" s="1"/>
  <c r="Y318" i="6" s="1"/>
  <c r="H75" i="19" s="1"/>
  <c r="Q16" i="20"/>
  <c r="V16" i="20" s="1"/>
  <c r="M6" i="22"/>
  <c r="M6" i="20"/>
  <c r="M281" i="4"/>
  <c r="Q281" i="4" s="1"/>
  <c r="V281" i="4" s="1"/>
  <c r="F35" i="19" s="1"/>
  <c r="M272" i="22"/>
  <c r="M273" i="20"/>
  <c r="M372" i="4"/>
  <c r="Q372" i="4" s="1"/>
  <c r="V372" i="4" s="1"/>
  <c r="L51" i="19" s="1"/>
  <c r="M113" i="4"/>
  <c r="Q113" i="4" s="1"/>
  <c r="V113" i="4" s="1"/>
  <c r="D43" i="11" s="1"/>
  <c r="U43" i="11" s="1"/>
  <c r="M373" i="4"/>
  <c r="Q373" i="4" s="1"/>
  <c r="V373" i="4" s="1"/>
  <c r="L52" i="19" s="1"/>
  <c r="M22" i="4"/>
  <c r="M71" i="4"/>
  <c r="Q71" i="4" s="1"/>
  <c r="V71" i="4" s="1"/>
  <c r="J51" i="11" s="1"/>
  <c r="AA51" i="11" s="1"/>
  <c r="M106" i="4"/>
  <c r="Q106" i="4" s="1"/>
  <c r="V106" i="4" s="1"/>
  <c r="D36" i="11" s="1"/>
  <c r="U36" i="11" s="1"/>
  <c r="M318" i="4"/>
  <c r="Q318" i="4" s="1"/>
  <c r="V318" i="4" s="1"/>
  <c r="H47" i="19" s="1"/>
  <c r="N38" i="6"/>
  <c r="T38" i="6" s="1"/>
  <c r="M37" i="22"/>
  <c r="M171" i="4"/>
  <c r="Q171" i="4" s="1"/>
  <c r="V171" i="4" s="1"/>
  <c r="F51" i="11" s="1"/>
  <c r="W51" i="11" s="1"/>
  <c r="M165" i="22"/>
  <c r="Q165" i="22" s="1"/>
  <c r="V165" i="22" s="1"/>
  <c r="M166" i="20"/>
  <c r="M319" i="4"/>
  <c r="Q319" i="4" s="1"/>
  <c r="V319" i="4" s="1"/>
  <c r="H48" i="19" s="1"/>
  <c r="M310" i="22"/>
  <c r="M311" i="20"/>
  <c r="N322" i="6"/>
  <c r="T322" i="6" s="1"/>
  <c r="Y322" i="6" s="1"/>
  <c r="H79" i="19" s="1"/>
  <c r="M313" i="22"/>
  <c r="M314" i="20"/>
  <c r="M273" i="4"/>
  <c r="Q273" i="4" s="1"/>
  <c r="V273" i="4" s="1"/>
  <c r="D52" i="19" s="1"/>
  <c r="M264" i="22"/>
  <c r="M265" i="20"/>
  <c r="N267" i="6"/>
  <c r="T267" i="6" s="1"/>
  <c r="Y267" i="6" s="1"/>
  <c r="D74" i="19" s="1"/>
  <c r="M258" i="22"/>
  <c r="M259" i="20"/>
  <c r="N67" i="6"/>
  <c r="T67" i="6" s="1"/>
  <c r="M65" i="22"/>
  <c r="M66" i="20"/>
  <c r="M246" i="4"/>
  <c r="Q246" i="4" s="1"/>
  <c r="V246" i="4" s="1"/>
  <c r="B50" i="19" s="1"/>
  <c r="M237" i="22"/>
  <c r="M238" i="20"/>
  <c r="M317" i="4"/>
  <c r="Q317" i="4" s="1"/>
  <c r="V317" i="4" s="1"/>
  <c r="H46" i="19" s="1"/>
  <c r="M308" i="22"/>
  <c r="M309" i="20"/>
  <c r="M23" i="4"/>
  <c r="M23" i="22"/>
  <c r="M23" i="20"/>
  <c r="Q23" i="20" s="1"/>
  <c r="N163" i="6"/>
  <c r="T163" i="6" s="1"/>
  <c r="Y163" i="6" s="1"/>
  <c r="F72" i="11" s="1"/>
  <c r="W72" i="11" s="1"/>
  <c r="M157" i="22"/>
  <c r="Q157" i="22" s="1"/>
  <c r="V157" i="22" s="1"/>
  <c r="M158" i="20"/>
  <c r="M47" i="4"/>
  <c r="M46" i="22"/>
  <c r="M164" i="4"/>
  <c r="Q164" i="4" s="1"/>
  <c r="V164" i="4" s="1"/>
  <c r="F44" i="11" s="1"/>
  <c r="W44" i="11" s="1"/>
  <c r="M158" i="22"/>
  <c r="M159" i="20"/>
  <c r="M343" i="4"/>
  <c r="Q343" i="4" s="1"/>
  <c r="V343" i="4" s="1"/>
  <c r="J47" i="19" s="1"/>
  <c r="M334" i="22"/>
  <c r="M335" i="20"/>
  <c r="M30" i="4"/>
  <c r="Q30" i="4" s="1"/>
  <c r="V30" i="4" s="1"/>
  <c r="H35" i="11" s="1"/>
  <c r="Y35" i="11" s="1"/>
  <c r="M29" i="22"/>
  <c r="N165" i="6"/>
  <c r="T165" i="6" s="1"/>
  <c r="Y165" i="6" s="1"/>
  <c r="F74" i="11" s="1"/>
  <c r="W74" i="11" s="1"/>
  <c r="M159" i="22"/>
  <c r="M160" i="20"/>
  <c r="M14" i="4"/>
  <c r="M14" i="22"/>
  <c r="M14" i="20"/>
  <c r="M156" i="4"/>
  <c r="Q156" i="4" s="1"/>
  <c r="V156" i="4" s="1"/>
  <c r="F36" i="11" s="1"/>
  <c r="W36" i="11" s="1"/>
  <c r="M150" i="22"/>
  <c r="M151" i="20"/>
  <c r="M342" i="4"/>
  <c r="Q342" i="4" s="1"/>
  <c r="V342" i="4" s="1"/>
  <c r="J46" i="19" s="1"/>
  <c r="M333" i="22"/>
  <c r="M334" i="20"/>
  <c r="N58" i="6"/>
  <c r="T58" i="6" s="1"/>
  <c r="M56" i="22"/>
  <c r="M168" i="4"/>
  <c r="Q168" i="4" s="1"/>
  <c r="V168" i="4" s="1"/>
  <c r="F48" i="11" s="1"/>
  <c r="W48" i="11" s="1"/>
  <c r="M162" i="22"/>
  <c r="M163" i="20"/>
  <c r="N94" i="6"/>
  <c r="T94" i="6" s="1"/>
  <c r="Y94" i="6" s="1"/>
  <c r="B77" i="18" s="1"/>
  <c r="Q77" i="18" s="1"/>
  <c r="M91" i="22"/>
  <c r="Q91" i="22" s="1"/>
  <c r="V91" i="22" s="1"/>
  <c r="M92" i="20"/>
  <c r="N203" i="6"/>
  <c r="T203" i="6" s="1"/>
  <c r="Y203" i="6" s="1"/>
  <c r="H61" i="18" s="1"/>
  <c r="W61" i="18" s="1"/>
  <c r="M195" i="22"/>
  <c r="M196" i="20"/>
  <c r="M254" i="22"/>
  <c r="M255" i="20"/>
  <c r="M354" i="22"/>
  <c r="M355" i="20"/>
  <c r="M133" i="22"/>
  <c r="M134" i="20"/>
  <c r="M196" i="22"/>
  <c r="M197" i="20"/>
  <c r="M264" i="4"/>
  <c r="Q264" i="4" s="1"/>
  <c r="V264" i="4" s="1"/>
  <c r="D43" i="19" s="1"/>
  <c r="M255" i="22"/>
  <c r="M256" i="20"/>
  <c r="M328" i="4"/>
  <c r="Q328" i="4" s="1"/>
  <c r="V328" i="4" s="1"/>
  <c r="J32" i="19" s="1"/>
  <c r="M319" i="22"/>
  <c r="M320" i="20"/>
  <c r="M132" i="4"/>
  <c r="Q132" i="4" s="1"/>
  <c r="V132" i="4" s="1"/>
  <c r="D36" i="18" s="1"/>
  <c r="S36" i="18" s="1"/>
  <c r="M127" i="22"/>
  <c r="M128" i="20"/>
  <c r="N358" i="6"/>
  <c r="T358" i="6" s="1"/>
  <c r="Y358" i="6" s="1"/>
  <c r="L65" i="19" s="1"/>
  <c r="M349" i="22"/>
  <c r="Q349" i="22" s="1"/>
  <c r="V349" i="22" s="1"/>
  <c r="M350" i="20"/>
  <c r="M128" i="4"/>
  <c r="Q128" i="4" s="1"/>
  <c r="V128" i="4" s="1"/>
  <c r="D32" i="18" s="1"/>
  <c r="S32" i="18" s="1"/>
  <c r="M123" i="22"/>
  <c r="M124" i="20"/>
  <c r="N215" i="6"/>
  <c r="T215" i="6" s="1"/>
  <c r="Y215" i="6" s="1"/>
  <c r="H73" i="18" s="1"/>
  <c r="W73" i="18" s="1"/>
  <c r="M207" i="22"/>
  <c r="M208" i="20"/>
  <c r="M265" i="4"/>
  <c r="Q265" i="4" s="1"/>
  <c r="V265" i="4" s="1"/>
  <c r="D44" i="19" s="1"/>
  <c r="M256" i="22"/>
  <c r="M257" i="20"/>
  <c r="M315" i="4"/>
  <c r="Q315" i="4" s="1"/>
  <c r="V315" i="4" s="1"/>
  <c r="H44" i="19" s="1"/>
  <c r="M306" i="22"/>
  <c r="M307" i="20"/>
  <c r="M365" i="4"/>
  <c r="Q365" i="4" s="1"/>
  <c r="V365" i="4" s="1"/>
  <c r="L44" i="19" s="1"/>
  <c r="M356" i="22"/>
  <c r="M357" i="20"/>
  <c r="M208" i="4"/>
  <c r="Q208" i="4" s="1"/>
  <c r="V208" i="4" s="1"/>
  <c r="H37" i="18" s="1"/>
  <c r="W37" i="18" s="1"/>
  <c r="M200" i="22"/>
  <c r="M201" i="20"/>
  <c r="M129" i="4"/>
  <c r="Q129" i="4" s="1"/>
  <c r="V129" i="4" s="1"/>
  <c r="D33" i="18" s="1"/>
  <c r="S33" i="18" s="1"/>
  <c r="M124" i="22"/>
  <c r="M125" i="20"/>
  <c r="M206" i="4"/>
  <c r="Q206" i="4" s="1"/>
  <c r="V206" i="4" s="1"/>
  <c r="H35" i="18" s="1"/>
  <c r="W35" i="18" s="1"/>
  <c r="M198" i="22"/>
  <c r="Q198" i="22" s="1"/>
  <c r="V198" i="22" s="1"/>
  <c r="M199" i="20"/>
  <c r="M256" i="4"/>
  <c r="Q256" i="4" s="1"/>
  <c r="V256" i="4" s="1"/>
  <c r="D35" i="19" s="1"/>
  <c r="M247" i="22"/>
  <c r="M248" i="20"/>
  <c r="M298" i="22"/>
  <c r="M299" i="20"/>
  <c r="M326" i="22"/>
  <c r="M327" i="20"/>
  <c r="M176" i="22"/>
  <c r="M177" i="20"/>
  <c r="M222" i="22"/>
  <c r="M223" i="20"/>
  <c r="M223" i="22"/>
  <c r="M224" i="20"/>
  <c r="M131" i="22"/>
  <c r="M132" i="20"/>
  <c r="M204" i="22"/>
  <c r="Q204" i="22" s="1"/>
  <c r="V204" i="22" s="1"/>
  <c r="M205" i="20"/>
  <c r="M277" i="22"/>
  <c r="M278" i="20"/>
  <c r="M177" i="22"/>
  <c r="M178" i="20"/>
  <c r="M300" i="22"/>
  <c r="M301" i="20"/>
  <c r="Q16" i="22"/>
  <c r="V16" i="22" s="1"/>
  <c r="N260" i="6"/>
  <c r="T260" i="6" s="1"/>
  <c r="Y260" i="6" s="1"/>
  <c r="D67" i="19" s="1"/>
  <c r="N362" i="6"/>
  <c r="T362" i="6" s="1"/>
  <c r="Y362" i="6" s="1"/>
  <c r="L69" i="19" s="1"/>
  <c r="M203" i="4"/>
  <c r="Q203" i="4" s="1"/>
  <c r="V203" i="4" s="1"/>
  <c r="H32" i="18" s="1"/>
  <c r="W32" i="18" s="1"/>
  <c r="M123" i="4"/>
  <c r="Q123" i="4" s="1"/>
  <c r="V123" i="4" s="1"/>
  <c r="D53" i="11" s="1"/>
  <c r="U53" i="11" s="1"/>
  <c r="N294" i="6"/>
  <c r="T294" i="6" s="1"/>
  <c r="Y294" i="6" s="1"/>
  <c r="F76" i="19" s="1"/>
  <c r="N370" i="6"/>
  <c r="N107" i="6"/>
  <c r="T107" i="6" s="1"/>
  <c r="Y107" i="6" s="1"/>
  <c r="D66" i="11" s="1"/>
  <c r="U66" i="11" s="1"/>
  <c r="N130" i="6"/>
  <c r="T130" i="6" s="1"/>
  <c r="Y130" i="6" s="1"/>
  <c r="D63" i="18" s="1"/>
  <c r="S63" i="18" s="1"/>
  <c r="N283" i="6"/>
  <c r="M185" i="4"/>
  <c r="M157" i="4"/>
  <c r="Q157" i="4" s="1"/>
  <c r="V157" i="4" s="1"/>
  <c r="F37" i="11" s="1"/>
  <c r="W37" i="11" s="1"/>
  <c r="N243" i="6"/>
  <c r="T243" i="6" s="1"/>
  <c r="Y243" i="6" s="1"/>
  <c r="B75" i="19" s="1"/>
  <c r="N178" i="6"/>
  <c r="N295" i="6"/>
  <c r="M228" i="4"/>
  <c r="Q228" i="4" s="1"/>
  <c r="V228" i="4" s="1"/>
  <c r="B32" i="19" s="1"/>
  <c r="M155" i="4"/>
  <c r="M186" i="4"/>
  <c r="Q186" i="4" s="1"/>
  <c r="V186" i="4" s="1"/>
  <c r="F40" i="18" s="1"/>
  <c r="U40" i="18" s="1"/>
  <c r="M316" i="4"/>
  <c r="Q316" i="4" s="1"/>
  <c r="V316" i="4" s="1"/>
  <c r="H45" i="19" s="1"/>
  <c r="M4" i="4"/>
  <c r="N281" i="6"/>
  <c r="N207" i="6"/>
  <c r="T207" i="6" s="1"/>
  <c r="Y207" i="6" s="1"/>
  <c r="H65" i="18" s="1"/>
  <c r="W65" i="18" s="1"/>
  <c r="M330" i="4"/>
  <c r="M179" i="4"/>
  <c r="Q179" i="4" s="1"/>
  <c r="V179" i="4" s="1"/>
  <c r="F33" i="18" s="1"/>
  <c r="U33" i="18" s="1"/>
  <c r="N354" i="6"/>
  <c r="T354" i="6" s="1"/>
  <c r="Y354" i="6" s="1"/>
  <c r="L61" i="19" s="1"/>
  <c r="N339" i="6"/>
  <c r="N290" i="6"/>
  <c r="N35" i="6"/>
  <c r="T35" i="6" s="1"/>
  <c r="Y35" i="6" s="1"/>
  <c r="H69" i="11" s="1"/>
  <c r="Y69" i="11" s="1"/>
  <c r="N235" i="6"/>
  <c r="T235" i="6" s="1"/>
  <c r="Y235" i="6" s="1"/>
  <c r="B67" i="19" s="1"/>
  <c r="N296" i="6"/>
  <c r="N311" i="6"/>
  <c r="T311" i="6" s="1"/>
  <c r="Y311" i="6" s="1"/>
  <c r="H68" i="19" s="1"/>
  <c r="N230" i="6"/>
  <c r="N145" i="6"/>
  <c r="T145" i="6" s="1"/>
  <c r="Y145" i="6" s="1"/>
  <c r="D78" i="18" s="1"/>
  <c r="S78" i="18" s="1"/>
  <c r="M357" i="4"/>
  <c r="M20" i="4"/>
  <c r="N258" i="6"/>
  <c r="N159" i="6"/>
  <c r="T159" i="6" s="1"/>
  <c r="Y159" i="6" s="1"/>
  <c r="F68" i="11" s="1"/>
  <c r="W68" i="11" s="1"/>
  <c r="N237" i="6"/>
  <c r="N288" i="6"/>
  <c r="T288" i="6" s="1"/>
  <c r="Y288" i="6" s="1"/>
  <c r="F70" i="19" s="1"/>
  <c r="N45" i="6"/>
  <c r="N172" i="6"/>
  <c r="T172" i="6" s="1"/>
  <c r="Y172" i="6" s="1"/>
  <c r="F81" i="11" s="1"/>
  <c r="W81" i="11" s="1"/>
  <c r="N289" i="6"/>
  <c r="T289" i="6" s="1"/>
  <c r="Y289" i="6" s="1"/>
  <c r="F71" i="19" s="1"/>
  <c r="N180" i="6"/>
  <c r="N187" i="6"/>
  <c r="T187" i="6" s="1"/>
  <c r="Y187" i="6" s="1"/>
  <c r="F70" i="18" s="1"/>
  <c r="U70" i="18" s="1"/>
  <c r="N239" i="6"/>
  <c r="T239" i="6" s="1"/>
  <c r="Y239" i="6" s="1"/>
  <c r="B71" i="19" s="1"/>
  <c r="N29" i="6"/>
  <c r="T29" i="6" s="1"/>
  <c r="Y29" i="6" s="1"/>
  <c r="H63" i="11" s="1"/>
  <c r="Y63" i="11" s="1"/>
  <c r="N291" i="6"/>
  <c r="T291" i="6" s="1"/>
  <c r="Y291" i="6" s="1"/>
  <c r="F73" i="19" s="1"/>
  <c r="M267" i="4"/>
  <c r="N236" i="6"/>
  <c r="T236" i="6" s="1"/>
  <c r="Y236" i="6" s="1"/>
  <c r="B68" i="19" s="1"/>
  <c r="N323" i="6"/>
  <c r="T323" i="6" s="1"/>
  <c r="Y323" i="6" s="1"/>
  <c r="H80" i="19" s="1"/>
  <c r="N91" i="6"/>
  <c r="O130" i="2"/>
  <c r="N131" i="6" s="1"/>
  <c r="D7" i="18"/>
  <c r="O95" i="2"/>
  <c r="B22" i="18"/>
  <c r="O284" i="2"/>
  <c r="F11" i="19"/>
  <c r="O133" i="2"/>
  <c r="D10" i="18"/>
  <c r="O216" i="2"/>
  <c r="H18" i="18"/>
  <c r="O233" i="2"/>
  <c r="M234" i="4" s="1"/>
  <c r="B10" i="19"/>
  <c r="O303" i="2"/>
  <c r="H5" i="19"/>
  <c r="O352" i="2"/>
  <c r="L4" i="19"/>
  <c r="O252" i="2"/>
  <c r="N253" i="6" s="1"/>
  <c r="D4" i="19"/>
  <c r="O209" i="2"/>
  <c r="M210" i="4" s="1"/>
  <c r="H11" i="18"/>
  <c r="O181" i="2"/>
  <c r="F8" i="18"/>
  <c r="M219" i="4"/>
  <c r="M87" i="4"/>
  <c r="M220" i="4"/>
  <c r="M195" i="4"/>
  <c r="Q195" i="4" s="1"/>
  <c r="V195" i="4" s="1"/>
  <c r="F49" i="18" s="1"/>
  <c r="U49" i="18" s="1"/>
  <c r="M215" i="4"/>
  <c r="O283" i="2"/>
  <c r="M284" i="4" s="1"/>
  <c r="F10" i="19"/>
  <c r="O332" i="2"/>
  <c r="M333" i="4" s="1"/>
  <c r="J9" i="19"/>
  <c r="O360" i="2"/>
  <c r="L12" i="19"/>
  <c r="O81" i="2"/>
  <c r="M82" i="4" s="1"/>
  <c r="B8" i="18"/>
  <c r="O141" i="2"/>
  <c r="M142" i="4" s="1"/>
  <c r="D18" i="18"/>
  <c r="O188" i="2"/>
  <c r="N189" i="6" s="1"/>
  <c r="F15" i="18"/>
  <c r="N143" i="6"/>
  <c r="N148" i="6"/>
  <c r="T148" i="6" s="1"/>
  <c r="Y148" i="6" s="1"/>
  <c r="D81" i="18" s="1"/>
  <c r="S81" i="18" s="1"/>
  <c r="N132" i="6"/>
  <c r="N328" i="6"/>
  <c r="N129" i="6"/>
  <c r="N264" i="6"/>
  <c r="N315" i="6"/>
  <c r="T315" i="6" s="1"/>
  <c r="Y315" i="6" s="1"/>
  <c r="H72" i="19" s="1"/>
  <c r="N365" i="6"/>
  <c r="N137" i="6"/>
  <c r="N213" i="6"/>
  <c r="T213" i="6" s="1"/>
  <c r="Y213" i="6" s="1"/>
  <c r="H71" i="18" s="1"/>
  <c r="W71" i="18" s="1"/>
  <c r="N128" i="6"/>
  <c r="M358" i="4"/>
  <c r="O331" i="2"/>
  <c r="M332" i="4" s="1"/>
  <c r="J8" i="19"/>
  <c r="N8" i="19" s="1"/>
  <c r="Q8" i="19" s="1"/>
  <c r="O82" i="2"/>
  <c r="N83" i="6" s="1"/>
  <c r="B9" i="18"/>
  <c r="O189" i="2"/>
  <c r="F16" i="18"/>
  <c r="O232" i="2"/>
  <c r="B9" i="19"/>
  <c r="O80" i="2"/>
  <c r="B7" i="18"/>
  <c r="O79" i="2"/>
  <c r="N80" i="6" s="1"/>
  <c r="B6" i="18"/>
  <c r="O89" i="2"/>
  <c r="M90" i="4" s="1"/>
  <c r="B16" i="18"/>
  <c r="O359" i="2"/>
  <c r="N360" i="6" s="1"/>
  <c r="L11" i="19"/>
  <c r="O140" i="2"/>
  <c r="D17" i="18"/>
  <c r="O197" i="2"/>
  <c r="F24" i="18"/>
  <c r="N336" i="6"/>
  <c r="N256" i="6"/>
  <c r="N208" i="6"/>
  <c r="T208" i="6" s="1"/>
  <c r="Y208" i="6" s="1"/>
  <c r="H66" i="18" s="1"/>
  <c r="W66" i="18" s="1"/>
  <c r="N287" i="6"/>
  <c r="N206" i="6"/>
  <c r="N93" i="6"/>
  <c r="T93" i="6" s="1"/>
  <c r="Y93" i="6" s="1"/>
  <c r="B76" i="18" s="1"/>
  <c r="Q76" i="18" s="1"/>
  <c r="N214" i="6"/>
  <c r="T214" i="6" s="1"/>
  <c r="Y214" i="6" s="1"/>
  <c r="H72" i="18" s="1"/>
  <c r="W72" i="18" s="1"/>
  <c r="N265" i="6"/>
  <c r="T265" i="6" s="1"/>
  <c r="Y265" i="6" s="1"/>
  <c r="D72" i="19" s="1"/>
  <c r="O83" i="2"/>
  <c r="B10" i="18"/>
  <c r="O94" i="2"/>
  <c r="M95" i="4" s="1"/>
  <c r="B21" i="18"/>
  <c r="O304" i="2"/>
  <c r="M305" i="4" s="1"/>
  <c r="H6" i="19"/>
  <c r="N6" i="19" s="1"/>
  <c r="Q6" i="19" s="1"/>
  <c r="O91" i="2"/>
  <c r="N92" i="6" s="1"/>
  <c r="B18" i="18"/>
  <c r="O132" i="2"/>
  <c r="D9" i="18"/>
  <c r="O78" i="2"/>
  <c r="M77" i="20" s="1"/>
  <c r="B5" i="18"/>
  <c r="O87" i="2"/>
  <c r="N88" i="6" s="1"/>
  <c r="B14" i="18"/>
  <c r="O97" i="2"/>
  <c r="B24" i="18"/>
  <c r="O253" i="2"/>
  <c r="D5" i="19"/>
  <c r="O196" i="2"/>
  <c r="F23" i="18"/>
  <c r="O261" i="2"/>
  <c r="M262" i="4" s="1"/>
  <c r="D13" i="19"/>
  <c r="O312" i="2"/>
  <c r="N313" i="6" s="1"/>
  <c r="H14" i="19"/>
  <c r="N14" i="19" s="1"/>
  <c r="Q14" i="19" s="1"/>
  <c r="O88" i="2"/>
  <c r="B15" i="18"/>
  <c r="O339" i="2"/>
  <c r="J16" i="19"/>
  <c r="N16" i="19" s="1"/>
  <c r="Q16" i="19" s="1"/>
  <c r="O311" i="2"/>
  <c r="N312" i="6" s="1"/>
  <c r="H13" i="19"/>
  <c r="O208" i="2"/>
  <c r="H10" i="18"/>
  <c r="O180" i="2"/>
  <c r="M181" i="4" s="1"/>
  <c r="F7" i="18"/>
  <c r="O217" i="2"/>
  <c r="H19" i="18"/>
  <c r="O260" i="2"/>
  <c r="D12" i="19"/>
  <c r="O96" i="2"/>
  <c r="B23" i="18"/>
  <c r="M38" i="4"/>
  <c r="Q38" i="4" s="1"/>
  <c r="V38" i="4" s="1"/>
  <c r="H43" i="11" s="1"/>
  <c r="Y43" i="11" s="1"/>
  <c r="M322" i="4"/>
  <c r="M58" i="4"/>
  <c r="M165" i="4"/>
  <c r="N343" i="6"/>
  <c r="M163" i="4"/>
  <c r="N23" i="6"/>
  <c r="T23" i="6" s="1"/>
  <c r="Y23" i="6" s="1"/>
  <c r="B82" i="11" s="1"/>
  <c r="S82" i="11" s="1"/>
  <c r="N168" i="6"/>
  <c r="T168" i="6" s="1"/>
  <c r="Y168" i="6" s="1"/>
  <c r="F77" i="11" s="1"/>
  <c r="W77" i="11" s="1"/>
  <c r="N66" i="6"/>
  <c r="N342" i="6"/>
  <c r="N156" i="6"/>
  <c r="N30" i="6"/>
  <c r="N164" i="6"/>
  <c r="T164" i="6" s="1"/>
  <c r="Y164" i="6" s="1"/>
  <c r="F73" i="11" s="1"/>
  <c r="W73" i="11" s="1"/>
  <c r="N317" i="6"/>
  <c r="M67" i="4"/>
  <c r="N171" i="6"/>
  <c r="T171" i="6" s="1"/>
  <c r="Y171" i="6" s="1"/>
  <c r="F80" i="11" s="1"/>
  <c r="W80" i="11" s="1"/>
  <c r="N273" i="6"/>
  <c r="N319" i="6"/>
  <c r="N14" i="6"/>
  <c r="N246" i="6"/>
  <c r="N47" i="6"/>
  <c r="N268" i="6"/>
  <c r="N345" i="6"/>
  <c r="T345" i="6" s="1"/>
  <c r="Y345" i="6" s="1"/>
  <c r="J77" i="19" s="1"/>
  <c r="N121" i="6"/>
  <c r="T121" i="6" s="1"/>
  <c r="Y121" i="6" s="1"/>
  <c r="D80" i="11" s="1"/>
  <c r="U80" i="11" s="1"/>
  <c r="N272" i="6"/>
  <c r="T272" i="6" s="1"/>
  <c r="Y272" i="6" s="1"/>
  <c r="D79" i="19" s="1"/>
  <c r="M111" i="4"/>
  <c r="O35" i="2"/>
  <c r="M36" i="20" s="1"/>
  <c r="H12" i="11"/>
  <c r="O67" i="2"/>
  <c r="J19" i="11"/>
  <c r="O33" i="2"/>
  <c r="M34" i="20" s="1"/>
  <c r="H10" i="11"/>
  <c r="O153" i="2"/>
  <c r="M154" i="4" s="1"/>
  <c r="F5" i="11"/>
  <c r="O114" i="2"/>
  <c r="D16" i="11"/>
  <c r="O68" i="2"/>
  <c r="J20" i="11"/>
  <c r="O367" i="2"/>
  <c r="C59" i="12"/>
  <c r="E59" i="12" s="1"/>
  <c r="O71" i="2"/>
  <c r="J23" i="11"/>
  <c r="O115" i="2"/>
  <c r="D17" i="11"/>
  <c r="O269" i="2"/>
  <c r="C17" i="12"/>
  <c r="E17" i="12" s="1"/>
  <c r="O347" i="2"/>
  <c r="C53" i="12"/>
  <c r="E53" i="12" s="1"/>
  <c r="O7" i="2"/>
  <c r="B9" i="11"/>
  <c r="O32" i="2"/>
  <c r="M33" i="20" s="1"/>
  <c r="H9" i="11"/>
  <c r="O69" i="2"/>
  <c r="J21" i="11"/>
  <c r="M347" i="4"/>
  <c r="M367" i="4"/>
  <c r="Q367" i="4" s="1"/>
  <c r="V367" i="4" s="1"/>
  <c r="L46" i="19" s="1"/>
  <c r="O20" i="2"/>
  <c r="B22" i="11"/>
  <c r="O47" i="2"/>
  <c r="M48" i="20" s="1"/>
  <c r="H24" i="11"/>
  <c r="O292" i="2"/>
  <c r="C26" i="12"/>
  <c r="E26" i="12" s="1"/>
  <c r="O41" i="2"/>
  <c r="M42" i="20" s="1"/>
  <c r="H18" i="11"/>
  <c r="O11" i="2"/>
  <c r="B13" i="11"/>
  <c r="O38" i="2"/>
  <c r="M39" i="20" s="1"/>
  <c r="H15" i="11"/>
  <c r="O40" i="2"/>
  <c r="M41" i="20" s="1"/>
  <c r="H17" i="11"/>
  <c r="O160" i="2"/>
  <c r="F12" i="11"/>
  <c r="O340" i="2"/>
  <c r="C46" i="12"/>
  <c r="E46" i="12" s="1"/>
  <c r="N248" i="6"/>
  <c r="O111" i="2"/>
  <c r="D13" i="11"/>
  <c r="O319" i="2"/>
  <c r="C39" i="12"/>
  <c r="E39" i="12" s="1"/>
  <c r="O241" i="2"/>
  <c r="N242" i="6" s="1"/>
  <c r="C3" i="12"/>
  <c r="E3" i="12" s="1"/>
  <c r="O108" i="2"/>
  <c r="D10" i="11"/>
  <c r="O4" i="2"/>
  <c r="B6" i="11"/>
  <c r="O31" i="2"/>
  <c r="M32" i="20" s="1"/>
  <c r="H8" i="11"/>
  <c r="O12" i="2"/>
  <c r="N13" i="6" s="1"/>
  <c r="B14" i="11"/>
  <c r="O39" i="2"/>
  <c r="M40" i="20" s="1"/>
  <c r="H16" i="11"/>
  <c r="O268" i="2"/>
  <c r="M269" i="4" s="1"/>
  <c r="C16" i="12"/>
  <c r="E16" i="12" s="1"/>
  <c r="O152" i="2"/>
  <c r="F4" i="11"/>
  <c r="M65" i="4"/>
  <c r="Q65" i="4" s="1"/>
  <c r="V65" i="4" s="1"/>
  <c r="J45" i="11" s="1"/>
  <c r="AA45" i="11" s="1"/>
  <c r="M46" i="4"/>
  <c r="O27" i="2"/>
  <c r="M28" i="20" s="1"/>
  <c r="H4" i="11"/>
  <c r="O103" i="2"/>
  <c r="D5" i="11"/>
  <c r="O59" i="2"/>
  <c r="J11" i="11"/>
  <c r="O10" i="2"/>
  <c r="N11" i="6" s="1"/>
  <c r="B12" i="11"/>
  <c r="O62" i="2"/>
  <c r="J14" i="11"/>
  <c r="O58" i="2"/>
  <c r="J10" i="11"/>
  <c r="O42" i="2"/>
  <c r="M43" i="20" s="1"/>
  <c r="H19" i="11"/>
  <c r="O17" i="2"/>
  <c r="B19" i="11"/>
  <c r="O240" i="2"/>
  <c r="C2" i="12"/>
  <c r="E2" i="12" s="1"/>
  <c r="O43" i="2"/>
  <c r="M44" i="20" s="1"/>
  <c r="H20" i="11"/>
  <c r="O55" i="2"/>
  <c r="M55" i="20" s="1"/>
  <c r="J7" i="11"/>
  <c r="O8" i="2"/>
  <c r="M9" i="4" s="1"/>
  <c r="B10" i="11"/>
  <c r="O161" i="2"/>
  <c r="F13" i="11"/>
  <c r="O18" i="2"/>
  <c r="M19" i="4" s="1"/>
  <c r="B20" i="11"/>
  <c r="O102" i="2"/>
  <c r="D4" i="11"/>
  <c r="N37" i="6"/>
  <c r="T37" i="6" s="1"/>
  <c r="Y37" i="6" s="1"/>
  <c r="H71" i="11" s="1"/>
  <c r="Y71" i="11" s="1"/>
  <c r="N73" i="6"/>
  <c r="N173" i="6"/>
  <c r="N366" i="6"/>
  <c r="N55" i="6"/>
  <c r="N344" i="6"/>
  <c r="N31" i="6"/>
  <c r="N166" i="6"/>
  <c r="O60" i="2"/>
  <c r="M61" i="4" s="1"/>
  <c r="J12" i="11"/>
  <c r="O118" i="2"/>
  <c r="D20" i="11"/>
  <c r="O63" i="2"/>
  <c r="J15" i="11"/>
  <c r="O16" i="2"/>
  <c r="B18" i="11"/>
  <c r="O320" i="2"/>
  <c r="C40" i="12"/>
  <c r="E40" i="12" s="1"/>
  <c r="O168" i="2"/>
  <c r="F20" i="11"/>
  <c r="O368" i="2"/>
  <c r="C60" i="12"/>
  <c r="E60" i="12" s="1"/>
  <c r="O169" i="2"/>
  <c r="F21" i="11"/>
  <c r="O61" i="2"/>
  <c r="J13" i="11"/>
  <c r="N245" i="6"/>
  <c r="N346" i="6"/>
  <c r="O117" i="2"/>
  <c r="D19" i="11"/>
  <c r="O119" i="2"/>
  <c r="D21" i="11"/>
  <c r="O291" i="2"/>
  <c r="M292" i="4" s="1"/>
  <c r="C25" i="12"/>
  <c r="E25" i="12" s="1"/>
  <c r="O107" i="2"/>
  <c r="D9" i="11"/>
  <c r="O9" i="2"/>
  <c r="B11" i="11"/>
  <c r="O116" i="2"/>
  <c r="D18" i="11"/>
  <c r="O109" i="2"/>
  <c r="M110" i="4" s="1"/>
  <c r="D11" i="11"/>
  <c r="Q4" i="4"/>
  <c r="V4" i="4" s="1"/>
  <c r="B34" i="11" s="1"/>
  <c r="S34" i="11" s="1"/>
  <c r="T122" i="6"/>
  <c r="Y122" i="6" s="1"/>
  <c r="D81" i="11" s="1"/>
  <c r="U81" i="11" s="1"/>
  <c r="T16" i="6"/>
  <c r="Y16" i="6" s="1"/>
  <c r="B75" i="11" s="1"/>
  <c r="S75" i="11" s="1"/>
  <c r="Q167" i="4"/>
  <c r="V167" i="4" s="1"/>
  <c r="F47" i="11" s="1"/>
  <c r="W47" i="11" s="1"/>
  <c r="Q271" i="4"/>
  <c r="V271" i="4" s="1"/>
  <c r="D50" i="19" s="1"/>
  <c r="Q247" i="4"/>
  <c r="V247" i="4" s="1"/>
  <c r="B51" i="19" s="1"/>
  <c r="Q359" i="4"/>
  <c r="V359" i="4" s="1"/>
  <c r="L38" i="19" s="1"/>
  <c r="Q240" i="4"/>
  <c r="V240" i="4" s="1"/>
  <c r="B44" i="19" s="1"/>
  <c r="Q188" i="4"/>
  <c r="V188" i="4" s="1"/>
  <c r="F42" i="18" s="1"/>
  <c r="U42" i="18" s="1"/>
  <c r="Q183" i="4"/>
  <c r="V183" i="4" s="1"/>
  <c r="F37" i="18" s="1"/>
  <c r="U37" i="18" s="1"/>
  <c r="Q310" i="4"/>
  <c r="V310" i="4" s="1"/>
  <c r="H39" i="19" s="1"/>
  <c r="Q371" i="4"/>
  <c r="V371" i="4" s="1"/>
  <c r="L50" i="19" s="1"/>
  <c r="Q184" i="4"/>
  <c r="V184" i="4" s="1"/>
  <c r="F38" i="18" s="1"/>
  <c r="U38" i="18" s="1"/>
  <c r="Q363" i="4"/>
  <c r="V363" i="4" s="1"/>
  <c r="L42" i="19" s="1"/>
  <c r="Q204" i="4"/>
  <c r="V204" i="4" s="1"/>
  <c r="H33" i="18" s="1"/>
  <c r="W33" i="18" s="1"/>
  <c r="Q263" i="4"/>
  <c r="V263" i="4" s="1"/>
  <c r="D42" i="19" s="1"/>
  <c r="Q196" i="4"/>
  <c r="V196" i="4" s="1"/>
  <c r="F50" i="18" s="1"/>
  <c r="U50" i="18" s="1"/>
  <c r="Q279" i="4"/>
  <c r="V279" i="4" s="1"/>
  <c r="F33" i="19" s="1"/>
  <c r="Q329" i="4"/>
  <c r="V329" i="4" s="1"/>
  <c r="J33" i="19" s="1"/>
  <c r="Q94" i="4"/>
  <c r="V94" i="4" s="1"/>
  <c r="B48" i="18" s="1"/>
  <c r="Q48" i="18" s="1"/>
  <c r="Q255" i="4"/>
  <c r="V255" i="4" s="1"/>
  <c r="D34" i="19" s="1"/>
  <c r="Q280" i="4"/>
  <c r="V280" i="4" s="1"/>
  <c r="F34" i="19" s="1"/>
  <c r="Q297" i="4"/>
  <c r="V297" i="4" s="1"/>
  <c r="F51" i="19" s="1"/>
  <c r="Q278" i="4"/>
  <c r="V278" i="4" s="1"/>
  <c r="F32" i="19" s="1"/>
  <c r="Q257" i="4"/>
  <c r="V257" i="4" s="1"/>
  <c r="D36" i="19" s="1"/>
  <c r="Q364" i="4"/>
  <c r="V364" i="4" s="1"/>
  <c r="L43" i="19" s="1"/>
  <c r="Q205" i="4"/>
  <c r="V205" i="4" s="1"/>
  <c r="H34" i="18" s="1"/>
  <c r="W34" i="18" s="1"/>
  <c r="Q85" i="4"/>
  <c r="V85" i="4" s="1"/>
  <c r="B39" i="18" s="1"/>
  <c r="Q39" i="18" s="1"/>
  <c r="Q86" i="4"/>
  <c r="V86" i="4" s="1"/>
  <c r="B40" i="18" s="1"/>
  <c r="Q40" i="18" s="1"/>
  <c r="Q193" i="4"/>
  <c r="V193" i="4" s="1"/>
  <c r="F47" i="18" s="1"/>
  <c r="U47" i="18" s="1"/>
  <c r="Q216" i="4"/>
  <c r="V216" i="4" s="1"/>
  <c r="H45" i="18" s="1"/>
  <c r="W45" i="18" s="1"/>
  <c r="Q144" i="4"/>
  <c r="V144" i="4" s="1"/>
  <c r="D48" i="18" s="1"/>
  <c r="S48" i="18" s="1"/>
  <c r="Q194" i="4"/>
  <c r="V194" i="4" s="1"/>
  <c r="F48" i="18" s="1"/>
  <c r="U48" i="18" s="1"/>
  <c r="Q221" i="4"/>
  <c r="V221" i="4" s="1"/>
  <c r="H50" i="18" s="1"/>
  <c r="W50" i="18" s="1"/>
  <c r="Q298" i="4"/>
  <c r="V298" i="4" s="1"/>
  <c r="F52" i="19" s="1"/>
  <c r="Q266" i="4"/>
  <c r="V266" i="4" s="1"/>
  <c r="D45" i="19" s="1"/>
  <c r="Q160" i="4"/>
  <c r="V160" i="4" s="1"/>
  <c r="F40" i="11" s="1"/>
  <c r="W40" i="11" s="1"/>
  <c r="Q212" i="4"/>
  <c r="V212" i="4" s="1"/>
  <c r="H41" i="18" s="1"/>
  <c r="W41" i="18" s="1"/>
  <c r="Q244" i="4"/>
  <c r="V244" i="4" s="1"/>
  <c r="B48" i="19" s="1"/>
  <c r="Q231" i="4"/>
  <c r="V231" i="4" s="1"/>
  <c r="B35" i="19" s="1"/>
  <c r="Q308" i="4"/>
  <c r="V308" i="4" s="1"/>
  <c r="H37" i="19" s="1"/>
  <c r="Q335" i="4"/>
  <c r="V335" i="4" s="1"/>
  <c r="J39" i="19" s="1"/>
  <c r="Q136" i="4"/>
  <c r="V136" i="4" s="1"/>
  <c r="D40" i="18" s="1"/>
  <c r="S40" i="18" s="1"/>
  <c r="Q286" i="4"/>
  <c r="V286" i="4" s="1"/>
  <c r="F40" i="19" s="1"/>
  <c r="Q232" i="4"/>
  <c r="V232" i="4" s="1"/>
  <c r="B36" i="19" s="1"/>
  <c r="Q105" i="4"/>
  <c r="V105" i="4" s="1"/>
  <c r="D35" i="11" s="1"/>
  <c r="U35" i="11" s="1"/>
  <c r="Q140" i="4"/>
  <c r="V140" i="4" s="1"/>
  <c r="D44" i="18" s="1"/>
  <c r="S44" i="18" s="1"/>
  <c r="Q135" i="4"/>
  <c r="V135" i="4" s="1"/>
  <c r="D39" i="18" s="1"/>
  <c r="S39" i="18" s="1"/>
  <c r="Q314" i="4"/>
  <c r="V314" i="4" s="1"/>
  <c r="H43" i="19" s="1"/>
  <c r="Q307" i="4"/>
  <c r="V307" i="4" s="1"/>
  <c r="H36" i="19" s="1"/>
  <c r="Q222" i="4"/>
  <c r="V222" i="4" s="1"/>
  <c r="H51" i="18" s="1"/>
  <c r="W51" i="18" s="1"/>
  <c r="Q303" i="4"/>
  <c r="V303" i="4" s="1"/>
  <c r="H32" i="19" s="1"/>
  <c r="Q229" i="4"/>
  <c r="V229" i="4" s="1"/>
  <c r="B33" i="19" s="1"/>
  <c r="Q356" i="4"/>
  <c r="V356" i="4" s="1"/>
  <c r="L35" i="19" s="1"/>
  <c r="Q138" i="4"/>
  <c r="V138" i="4" s="1"/>
  <c r="D42" i="18" s="1"/>
  <c r="S42" i="18" s="1"/>
  <c r="Q139" i="4"/>
  <c r="V139" i="4" s="1"/>
  <c r="D43" i="18" s="1"/>
  <c r="S43" i="18" s="1"/>
  <c r="Q191" i="4"/>
  <c r="V191" i="4" s="1"/>
  <c r="F45" i="18" s="1"/>
  <c r="U45" i="18" s="1"/>
  <c r="P164" i="2"/>
  <c r="P110" i="2"/>
  <c r="P322" i="2"/>
  <c r="M322" i="2"/>
  <c r="N322" i="2" s="1"/>
  <c r="P36" i="2"/>
  <c r="N37" i="20" s="1"/>
  <c r="M36" i="2"/>
  <c r="N36" i="2" s="1"/>
  <c r="P12" i="2"/>
  <c r="M12" i="2"/>
  <c r="N12" i="2" s="1"/>
  <c r="P27" i="2"/>
  <c r="N28" i="20" s="1"/>
  <c r="M27" i="2"/>
  <c r="N27" i="2" s="1"/>
  <c r="P63" i="2"/>
  <c r="P103" i="2"/>
  <c r="P134" i="2"/>
  <c r="P210" i="2"/>
  <c r="O211" i="6" s="1"/>
  <c r="U211" i="6" s="1"/>
  <c r="P262" i="2"/>
  <c r="P313" i="2"/>
  <c r="P135" i="2"/>
  <c r="P211" i="2"/>
  <c r="P263" i="2"/>
  <c r="P84" i="2"/>
  <c r="P172" i="2"/>
  <c r="M172" i="2"/>
  <c r="N172" i="2" s="1"/>
  <c r="P228" i="2"/>
  <c r="P279" i="2"/>
  <c r="P355" i="2"/>
  <c r="P364" i="2"/>
  <c r="P97" i="2"/>
  <c r="M97" i="2"/>
  <c r="N97" i="2" s="1"/>
  <c r="P70" i="2"/>
  <c r="M70" i="2"/>
  <c r="N70" i="2" s="1"/>
  <c r="P328" i="2"/>
  <c r="P167" i="2"/>
  <c r="M167" i="2"/>
  <c r="N167" i="2" s="1"/>
  <c r="P81" i="2"/>
  <c r="P303" i="2"/>
  <c r="P141" i="2"/>
  <c r="M141" i="2"/>
  <c r="N141" i="2" s="1"/>
  <c r="P241" i="2"/>
  <c r="M241" i="2"/>
  <c r="N241" i="2" s="1"/>
  <c r="P19" i="2"/>
  <c r="M19" i="2"/>
  <c r="N19" i="2" s="1"/>
  <c r="P78" i="2"/>
  <c r="N77" i="20" s="1"/>
  <c r="P168" i="2"/>
  <c r="M168" i="2"/>
  <c r="N168" i="2" s="1"/>
  <c r="P283" i="2"/>
  <c r="P153" i="2"/>
  <c r="P147" i="2"/>
  <c r="M147" i="2"/>
  <c r="N147" i="2" s="1"/>
  <c r="P129" i="2"/>
  <c r="P316" i="2"/>
  <c r="M316" i="2"/>
  <c r="N316" i="2" s="1"/>
  <c r="P52" i="2"/>
  <c r="N52" i="20" s="1"/>
  <c r="P96" i="2"/>
  <c r="M96" i="2"/>
  <c r="N96" i="2" s="1"/>
  <c r="P69" i="2"/>
  <c r="M69" i="2"/>
  <c r="N69" i="2" s="1"/>
  <c r="P339" i="2"/>
  <c r="P207" i="2"/>
  <c r="P65" i="2"/>
  <c r="M65" i="2"/>
  <c r="N65" i="2" s="1"/>
  <c r="P309" i="2"/>
  <c r="P137" i="2"/>
  <c r="P122" i="2"/>
  <c r="M122" i="2"/>
  <c r="N122" i="2" s="1"/>
  <c r="P362" i="2"/>
  <c r="P206" i="2"/>
  <c r="P258" i="2"/>
  <c r="P305" i="2"/>
  <c r="P115" i="2"/>
  <c r="M115" i="2"/>
  <c r="N115" i="2" s="1"/>
  <c r="P145" i="2"/>
  <c r="M145" i="2"/>
  <c r="N145" i="2" s="1"/>
  <c r="P109" i="2"/>
  <c r="P281" i="2"/>
  <c r="P297" i="2"/>
  <c r="M297" i="2"/>
  <c r="N297" i="2" s="1"/>
  <c r="P142" i="2"/>
  <c r="M142" i="2"/>
  <c r="N142" i="2" s="1"/>
  <c r="P143" i="2"/>
  <c r="M143" i="2"/>
  <c r="N143" i="2" s="1"/>
  <c r="P271" i="2"/>
  <c r="M271" i="2"/>
  <c r="N271" i="2" s="1"/>
  <c r="P184" i="2"/>
  <c r="P236" i="2"/>
  <c r="P87" i="2"/>
  <c r="P239" i="2"/>
  <c r="P161" i="2"/>
  <c r="P34" i="2"/>
  <c r="N35" i="20" s="1"/>
  <c r="M34" i="2"/>
  <c r="N34" i="2" s="1"/>
  <c r="P253" i="2"/>
  <c r="P221" i="2"/>
  <c r="M221" i="2"/>
  <c r="N221" i="2" s="1"/>
  <c r="P46" i="2"/>
  <c r="N47" i="20" s="1"/>
  <c r="N46" i="2"/>
  <c r="P290" i="2"/>
  <c r="M290" i="2"/>
  <c r="N290" i="2" s="1"/>
  <c r="P205" i="2"/>
  <c r="P179" i="2"/>
  <c r="P336" i="2"/>
  <c r="P17" i="2"/>
  <c r="M17" i="2"/>
  <c r="N17" i="2" s="1"/>
  <c r="P152" i="2"/>
  <c r="P133" i="2"/>
  <c r="P338" i="2"/>
  <c r="P237" i="2"/>
  <c r="P157" i="2"/>
  <c r="P286" i="2"/>
  <c r="P302" i="2"/>
  <c r="P238" i="2"/>
  <c r="P357" i="2"/>
  <c r="P130" i="2"/>
  <c r="P247" i="2"/>
  <c r="M247" i="2"/>
  <c r="N247" i="2" s="1"/>
  <c r="P106" i="2"/>
  <c r="P102" i="2"/>
  <c r="P230" i="2"/>
  <c r="P56" i="2"/>
  <c r="N56" i="20" s="1"/>
  <c r="P37" i="2"/>
  <c r="N38" i="20" s="1"/>
  <c r="M37" i="2"/>
  <c r="N37" i="2" s="1"/>
  <c r="P218" i="2"/>
  <c r="M218" i="2"/>
  <c r="N218" i="2" s="1"/>
  <c r="P270" i="2"/>
  <c r="M270" i="2"/>
  <c r="N270" i="2" s="1"/>
  <c r="P321" i="2"/>
  <c r="M321" i="2"/>
  <c r="N321" i="2" s="1"/>
  <c r="P219" i="2"/>
  <c r="M219" i="2"/>
  <c r="N219" i="2" s="1"/>
  <c r="P104" i="2"/>
  <c r="P287" i="2"/>
  <c r="P363" i="2"/>
  <c r="P47" i="2"/>
  <c r="N48" i="20" s="1"/>
  <c r="M47" i="2"/>
  <c r="N47" i="2" s="1"/>
  <c r="P3" i="2"/>
  <c r="M3" i="2"/>
  <c r="N3" i="2" s="1"/>
  <c r="P62" i="2"/>
  <c r="P233" i="2"/>
  <c r="P72" i="2"/>
  <c r="M72" i="2"/>
  <c r="N72" i="2" s="1"/>
  <c r="P20" i="2"/>
  <c r="M20" i="2"/>
  <c r="N20" i="2" s="1"/>
  <c r="P35" i="2"/>
  <c r="N36" i="20" s="1"/>
  <c r="M35" i="2"/>
  <c r="N35" i="2" s="1"/>
  <c r="P71" i="2"/>
  <c r="M71" i="2"/>
  <c r="N71" i="2" s="1"/>
  <c r="P111" i="2"/>
  <c r="P57" i="2"/>
  <c r="N57" i="20" s="1"/>
  <c r="P154" i="2"/>
  <c r="P333" i="2"/>
  <c r="P155" i="2"/>
  <c r="P120" i="2"/>
  <c r="M120" i="2"/>
  <c r="N120" i="2" s="1"/>
  <c r="P192" i="2"/>
  <c r="M192" i="2"/>
  <c r="N192" i="2" s="1"/>
  <c r="P244" i="2"/>
  <c r="M244" i="2"/>
  <c r="N244" i="2" s="1"/>
  <c r="P295" i="2"/>
  <c r="M295" i="2"/>
  <c r="N295" i="2" s="1"/>
  <c r="P371" i="2"/>
  <c r="M371" i="2"/>
  <c r="N371" i="2" s="1"/>
  <c r="P30" i="2"/>
  <c r="N31" i="20" s="1"/>
  <c r="M30" i="2"/>
  <c r="N30" i="2" s="1"/>
  <c r="P10" i="2"/>
  <c r="M10" i="2"/>
  <c r="N10" i="2" s="1"/>
  <c r="P86" i="2"/>
  <c r="P117" i="2"/>
  <c r="M117" i="2"/>
  <c r="N117" i="2" s="1"/>
  <c r="P347" i="2"/>
  <c r="M347" i="2"/>
  <c r="N347" i="2" s="1"/>
  <c r="P189" i="2"/>
  <c r="P261" i="2"/>
  <c r="P177" i="2"/>
  <c r="P310" i="2"/>
  <c r="P114" i="2"/>
  <c r="P331" i="2"/>
  <c r="P197" i="2"/>
  <c r="M197" i="2"/>
  <c r="N197" i="2" s="1"/>
  <c r="P312" i="2"/>
  <c r="P356" i="2"/>
  <c r="P60" i="2"/>
  <c r="P116" i="2"/>
  <c r="M116" i="2"/>
  <c r="N116" i="2" s="1"/>
  <c r="P232" i="2"/>
  <c r="O233" i="6" s="1"/>
  <c r="P169" i="2"/>
  <c r="M169" i="2"/>
  <c r="N169" i="2" s="1"/>
  <c r="P159" i="2"/>
  <c r="P370" i="2"/>
  <c r="M370" i="2"/>
  <c r="N370" i="2" s="1"/>
  <c r="P266" i="2"/>
  <c r="M266" i="2"/>
  <c r="N266" i="2" s="1"/>
  <c r="P289" i="2"/>
  <c r="P85" i="2"/>
  <c r="P317" i="2"/>
  <c r="M317" i="2"/>
  <c r="N317" i="2" s="1"/>
  <c r="P146" i="2"/>
  <c r="M146" i="2"/>
  <c r="N146" i="2" s="1"/>
  <c r="P329" i="2"/>
  <c r="P194" i="2"/>
  <c r="M194" i="2"/>
  <c r="N194" i="2" s="1"/>
  <c r="P214" i="2"/>
  <c r="P307" i="2"/>
  <c r="P139" i="2"/>
  <c r="P330" i="2"/>
  <c r="P319" i="2"/>
  <c r="M319" i="2"/>
  <c r="N319" i="2" s="1"/>
  <c r="P259" i="2"/>
  <c r="P354" i="2"/>
  <c r="P131" i="2"/>
  <c r="P345" i="2"/>
  <c r="M345" i="2"/>
  <c r="N345" i="2" s="1"/>
  <c r="P22" i="2"/>
  <c r="M22" i="2"/>
  <c r="N22" i="2" s="1"/>
  <c r="P203" i="2"/>
  <c r="P79" i="2"/>
  <c r="P360" i="2"/>
  <c r="P296" i="2"/>
  <c r="M296" i="2"/>
  <c r="N296" i="2" s="1"/>
  <c r="P158" i="2"/>
  <c r="P318" i="2"/>
  <c r="M318" i="2"/>
  <c r="N318" i="2" s="1"/>
  <c r="P162" i="2"/>
  <c r="P341" i="2"/>
  <c r="M341" i="2"/>
  <c r="N341" i="2" s="1"/>
  <c r="P13" i="2"/>
  <c r="Q13" i="2" s="1"/>
  <c r="M13" i="2"/>
  <c r="N13" i="2" s="1"/>
  <c r="P256" i="2"/>
  <c r="P59" i="2"/>
  <c r="P269" i="2"/>
  <c r="M269" i="2"/>
  <c r="N269" i="2" s="1"/>
  <c r="P320" i="2"/>
  <c r="M320" i="2"/>
  <c r="N320" i="2" s="1"/>
  <c r="P80" i="2"/>
  <c r="P18" i="2"/>
  <c r="M18" i="2"/>
  <c r="N18" i="2" s="1"/>
  <c r="P208" i="2"/>
  <c r="P181" i="2"/>
  <c r="P332" i="2"/>
  <c r="P213" i="2"/>
  <c r="P282" i="2"/>
  <c r="P112" i="2"/>
  <c r="P43" i="2"/>
  <c r="N44" i="20" s="1"/>
  <c r="N43" i="2"/>
  <c r="P83" i="2"/>
  <c r="P119" i="2"/>
  <c r="M119" i="2"/>
  <c r="N119" i="2" s="1"/>
  <c r="P93" i="2"/>
  <c r="M93" i="2"/>
  <c r="N93" i="2" s="1"/>
  <c r="P170" i="2"/>
  <c r="M170" i="2"/>
  <c r="N170" i="2" s="1"/>
  <c r="P277" i="2"/>
  <c r="P353" i="2"/>
  <c r="P171" i="2"/>
  <c r="M171" i="2"/>
  <c r="N171" i="2" s="1"/>
  <c r="P227" i="2"/>
  <c r="P136" i="2"/>
  <c r="P212" i="2"/>
  <c r="P264" i="2"/>
  <c r="P315" i="2"/>
  <c r="M315" i="2"/>
  <c r="N315" i="2" s="1"/>
  <c r="P165" i="2"/>
  <c r="M165" i="2"/>
  <c r="N165" i="2" s="1"/>
  <c r="P33" i="2"/>
  <c r="N34" i="20" s="1"/>
  <c r="M33" i="2"/>
  <c r="N33" i="2" s="1"/>
  <c r="P180" i="2"/>
  <c r="P268" i="2"/>
  <c r="M268" i="2"/>
  <c r="N268" i="2" s="1"/>
  <c r="P193" i="2"/>
  <c r="M193" i="2"/>
  <c r="N193" i="2" s="1"/>
  <c r="P140" i="2"/>
  <c r="M140" i="2"/>
  <c r="N140" i="2" s="1"/>
  <c r="P11" i="2"/>
  <c r="M11" i="2"/>
  <c r="N11" i="2" s="1"/>
  <c r="P284" i="2"/>
  <c r="P346" i="2"/>
  <c r="M346" i="2"/>
  <c r="N346" i="2" s="1"/>
  <c r="P38" i="2"/>
  <c r="N39" i="20" s="1"/>
  <c r="M38" i="2"/>
  <c r="N38" i="2" s="1"/>
  <c r="P53" i="2"/>
  <c r="N53" i="20" s="1"/>
  <c r="P42" i="2"/>
  <c r="N43" i="20" s="1"/>
  <c r="N42" i="2"/>
  <c r="P368" i="2"/>
  <c r="M368" i="2"/>
  <c r="N368" i="2" s="1"/>
  <c r="P231" i="2"/>
  <c r="P9" i="2"/>
  <c r="M9" i="2"/>
  <c r="N9" i="2" s="1"/>
  <c r="P32" i="2"/>
  <c r="N33" i="20" s="1"/>
  <c r="M32" i="2"/>
  <c r="N32" i="2" s="1"/>
  <c r="P68" i="2"/>
  <c r="M68" i="2"/>
  <c r="N68" i="2" s="1"/>
  <c r="P160" i="2"/>
  <c r="P209" i="2"/>
  <c r="P304" i="2"/>
  <c r="P278" i="2"/>
  <c r="P66" i="2"/>
  <c r="M66" i="2"/>
  <c r="N66" i="2" s="1"/>
  <c r="P314" i="2"/>
  <c r="P121" i="2"/>
  <c r="M121" i="2"/>
  <c r="N121" i="2" s="1"/>
  <c r="P178" i="2"/>
  <c r="P14" i="2"/>
  <c r="M14" i="2"/>
  <c r="N14" i="2" s="1"/>
  <c r="P358" i="2"/>
  <c r="P246" i="2"/>
  <c r="M246" i="2"/>
  <c r="N246" i="2" s="1"/>
  <c r="P254" i="2"/>
  <c r="P64" i="2"/>
  <c r="P39" i="2"/>
  <c r="N40" i="20" s="1"/>
  <c r="M39" i="2"/>
  <c r="N39" i="2" s="1"/>
  <c r="P365" i="2"/>
  <c r="M365" i="2"/>
  <c r="N365" i="2" s="1"/>
  <c r="P92" i="2"/>
  <c r="M92" i="2"/>
  <c r="N92" i="2" s="1"/>
  <c r="P77" i="2"/>
  <c r="N76" i="20" s="1"/>
  <c r="P127" i="2"/>
  <c r="P267" i="2"/>
  <c r="M267" i="2"/>
  <c r="N267" i="2" s="1"/>
  <c r="P217" i="2"/>
  <c r="M217" i="2"/>
  <c r="N217" i="2" s="1"/>
  <c r="P359" i="2"/>
  <c r="P195" i="2"/>
  <c r="M195" i="2"/>
  <c r="N195" i="2" s="1"/>
  <c r="P113" i="2"/>
  <c r="P285" i="2"/>
  <c r="P28" i="2"/>
  <c r="N29" i="20" s="1"/>
  <c r="M28" i="2"/>
  <c r="N28" i="2" s="1"/>
  <c r="P220" i="2"/>
  <c r="M220" i="2"/>
  <c r="N220" i="2" s="1"/>
  <c r="P272" i="2"/>
  <c r="M272" i="2"/>
  <c r="N272" i="2" s="1"/>
  <c r="P16" i="2"/>
  <c r="M16" i="2"/>
  <c r="N16" i="2" s="1"/>
  <c r="P67" i="2"/>
  <c r="M67" i="2"/>
  <c r="N67" i="2" s="1"/>
  <c r="P187" i="2"/>
  <c r="P215" i="2"/>
  <c r="M215" i="2"/>
  <c r="N215" i="2" s="1"/>
  <c r="P366" i="2"/>
  <c r="M366" i="2"/>
  <c r="N366" i="2" s="1"/>
  <c r="P257" i="2"/>
  <c r="P108" i="2"/>
  <c r="P61" i="2"/>
  <c r="P367" i="2"/>
  <c r="M367" i="2"/>
  <c r="N367" i="2" s="1"/>
  <c r="P45" i="2"/>
  <c r="N46" i="20" s="1"/>
  <c r="N45" i="2"/>
  <c r="P306" i="2"/>
  <c r="P128" i="2"/>
  <c r="P342" i="2"/>
  <c r="M342" i="2"/>
  <c r="N342" i="2" s="1"/>
  <c r="P222" i="2"/>
  <c r="M222" i="2"/>
  <c r="N222" i="2" s="1"/>
  <c r="P185" i="2"/>
  <c r="P138" i="2"/>
  <c r="P186" i="2"/>
  <c r="P334" i="2"/>
  <c r="P202" i="2"/>
  <c r="P255" i="2"/>
  <c r="P343" i="2"/>
  <c r="M343" i="2"/>
  <c r="N343" i="2" s="1"/>
  <c r="P344" i="2"/>
  <c r="M344" i="2"/>
  <c r="N344" i="2" s="1"/>
  <c r="P245" i="2"/>
  <c r="M245" i="2"/>
  <c r="N245" i="2" s="1"/>
  <c r="P240" i="2"/>
  <c r="M240" i="2"/>
  <c r="N240" i="2" s="1"/>
  <c r="P105" i="2"/>
  <c r="P163" i="2"/>
  <c r="P204" i="2"/>
  <c r="P8" i="2"/>
  <c r="M8" i="2"/>
  <c r="N8" i="2" s="1"/>
  <c r="P95" i="2"/>
  <c r="M95" i="2"/>
  <c r="N95" i="2" s="1"/>
  <c r="P82" i="2"/>
  <c r="P132" i="2"/>
  <c r="P372" i="2"/>
  <c r="M372" i="2"/>
  <c r="N372" i="2" s="1"/>
  <c r="P5" i="2"/>
  <c r="M5" i="2"/>
  <c r="N5" i="2" s="1"/>
  <c r="P182" i="2"/>
  <c r="P234" i="2"/>
  <c r="P361" i="2"/>
  <c r="P183" i="2"/>
  <c r="P235" i="2"/>
  <c r="P144" i="2"/>
  <c r="M144" i="2"/>
  <c r="N144" i="2" s="1"/>
  <c r="P327" i="2"/>
  <c r="P31" i="2"/>
  <c r="N32" i="20" s="1"/>
  <c r="M31" i="2"/>
  <c r="N31" i="2" s="1"/>
  <c r="P107" i="2"/>
  <c r="P288" i="2"/>
  <c r="P118" i="2"/>
  <c r="M118" i="2"/>
  <c r="N118" i="2" s="1"/>
  <c r="P292" i="2"/>
  <c r="M292" i="2"/>
  <c r="N292" i="2" s="1"/>
  <c r="P21" i="2"/>
  <c r="M21" i="2"/>
  <c r="N21" i="2" s="1"/>
  <c r="P4" i="2"/>
  <c r="M4" i="2"/>
  <c r="N4" i="2" s="1"/>
  <c r="P55" i="2"/>
  <c r="N55" i="20" s="1"/>
  <c r="P91" i="2"/>
  <c r="M91" i="2"/>
  <c r="N91" i="2" s="1"/>
  <c r="P6" i="2"/>
  <c r="M6" i="2"/>
  <c r="N6" i="2" s="1"/>
  <c r="P190" i="2"/>
  <c r="M190" i="2"/>
  <c r="N190" i="2" s="1"/>
  <c r="P242" i="2"/>
  <c r="M242" i="2"/>
  <c r="N242" i="2" s="1"/>
  <c r="P293" i="2"/>
  <c r="M293" i="2"/>
  <c r="N293" i="2" s="1"/>
  <c r="P369" i="2"/>
  <c r="M369" i="2"/>
  <c r="N369" i="2" s="1"/>
  <c r="P191" i="2"/>
  <c r="M191" i="2"/>
  <c r="N191" i="2" s="1"/>
  <c r="P243" i="2"/>
  <c r="M243" i="2"/>
  <c r="N243" i="2" s="1"/>
  <c r="P44" i="2"/>
  <c r="N45" i="20" s="1"/>
  <c r="N44" i="2"/>
  <c r="P156" i="2"/>
  <c r="P335" i="2"/>
  <c r="P308" i="2"/>
  <c r="P89" i="2"/>
  <c r="P216" i="2"/>
  <c r="M216" i="2"/>
  <c r="N216" i="2" s="1"/>
  <c r="P311" i="2"/>
  <c r="P90" i="2"/>
  <c r="M90" i="2"/>
  <c r="N90" i="2" s="1"/>
  <c r="P94" i="2"/>
  <c r="M94" i="2"/>
  <c r="N94" i="2" s="1"/>
  <c r="P41" i="2"/>
  <c r="N42" i="20" s="1"/>
  <c r="N41" i="2"/>
  <c r="P196" i="2"/>
  <c r="M196" i="2"/>
  <c r="N196" i="2" s="1"/>
  <c r="P260" i="2"/>
  <c r="P352" i="2"/>
  <c r="P229" i="2"/>
  <c r="P7" i="2"/>
  <c r="M7" i="2"/>
  <c r="N7" i="2" s="1"/>
  <c r="P58" i="2"/>
  <c r="P252" i="2"/>
  <c r="P54" i="2"/>
  <c r="N54" i="20" s="1"/>
  <c r="P280" i="2"/>
  <c r="P40" i="2"/>
  <c r="N41" i="20" s="1"/>
  <c r="N40" i="2"/>
  <c r="P88" i="2"/>
  <c r="P188" i="2"/>
  <c r="P291" i="2"/>
  <c r="M291" i="2"/>
  <c r="N291" i="2" s="1"/>
  <c r="P340" i="2"/>
  <c r="M340" i="2"/>
  <c r="N340" i="2" s="1"/>
  <c r="P337" i="2"/>
  <c r="P265" i="2"/>
  <c r="M265" i="2"/>
  <c r="N265" i="2" s="1"/>
  <c r="P166" i="2"/>
  <c r="M166" i="2"/>
  <c r="N166" i="2" s="1"/>
  <c r="P294" i="2"/>
  <c r="M294" i="2"/>
  <c r="N294" i="2" s="1"/>
  <c r="P29" i="2"/>
  <c r="N30" i="20" s="1"/>
  <c r="M29" i="2"/>
  <c r="N29" i="2" s="1"/>
  <c r="T46" i="6"/>
  <c r="T57" i="6"/>
  <c r="T223" i="6"/>
  <c r="Y223" i="6" s="1"/>
  <c r="H81" i="18" s="1"/>
  <c r="W81" i="18" s="1"/>
  <c r="T192" i="6"/>
  <c r="Y192" i="6" s="1"/>
  <c r="F75" i="18" s="1"/>
  <c r="U75" i="18" s="1"/>
  <c r="N16" i="4"/>
  <c r="R16" i="4" s="1"/>
  <c r="O16" i="6"/>
  <c r="U16" i="6" s="1"/>
  <c r="M54" i="4"/>
  <c r="N54" i="6"/>
  <c r="T238" i="6"/>
  <c r="Y238" i="6" s="1"/>
  <c r="B70" i="19" s="1"/>
  <c r="T282" i="6"/>
  <c r="Y282" i="6" s="1"/>
  <c r="F64" i="19" s="1"/>
  <c r="T334" i="6"/>
  <c r="Y334" i="6" s="1"/>
  <c r="J66" i="19" s="1"/>
  <c r="N3" i="4"/>
  <c r="R3" i="4" s="1"/>
  <c r="O3" i="6"/>
  <c r="U3" i="6" s="1"/>
  <c r="T259" i="6"/>
  <c r="Y259" i="6" s="1"/>
  <c r="D66" i="19" s="1"/>
  <c r="T331" i="6"/>
  <c r="Y331" i="6" s="1"/>
  <c r="J63" i="19" s="1"/>
  <c r="T211" i="6"/>
  <c r="Y211" i="6" s="1"/>
  <c r="H69" i="18" s="1"/>
  <c r="W69" i="18" s="1"/>
  <c r="T146" i="6"/>
  <c r="Y146" i="6" s="1"/>
  <c r="D79" i="18" s="1"/>
  <c r="S79" i="18" s="1"/>
  <c r="T196" i="6"/>
  <c r="Y196" i="6" s="1"/>
  <c r="F79" i="18" s="1"/>
  <c r="U79" i="18" s="1"/>
  <c r="T329" i="6"/>
  <c r="Y329" i="6" s="1"/>
  <c r="J61" i="19" s="1"/>
  <c r="T147" i="6"/>
  <c r="Y147" i="6" s="1"/>
  <c r="D80" i="18" s="1"/>
  <c r="S80" i="18" s="1"/>
  <c r="T255" i="6"/>
  <c r="Y255" i="6" s="1"/>
  <c r="D62" i="19" s="1"/>
  <c r="T306" i="6"/>
  <c r="Y306" i="6" s="1"/>
  <c r="H63" i="19" s="1"/>
  <c r="T286" i="6"/>
  <c r="Y286" i="6" s="1"/>
  <c r="F68" i="19" s="1"/>
  <c r="T337" i="6"/>
  <c r="Y337" i="6" s="1"/>
  <c r="J69" i="19" s="1"/>
  <c r="T309" i="6"/>
  <c r="Y309" i="6" s="1"/>
  <c r="H66" i="19" s="1"/>
  <c r="T355" i="6"/>
  <c r="Y355" i="6" s="1"/>
  <c r="L62" i="19" s="1"/>
  <c r="M53" i="4"/>
  <c r="N53" i="6"/>
  <c r="T298" i="6"/>
  <c r="Y298" i="6" s="1"/>
  <c r="F80" i="19" s="1"/>
  <c r="T212" i="6"/>
  <c r="Y212" i="6" s="1"/>
  <c r="H70" i="18" s="1"/>
  <c r="W70" i="18" s="1"/>
  <c r="T158" i="6"/>
  <c r="Y158" i="6" s="1"/>
  <c r="F67" i="11" s="1"/>
  <c r="W67" i="11" s="1"/>
  <c r="T338" i="6"/>
  <c r="Y338" i="6" s="1"/>
  <c r="J70" i="19" s="1"/>
  <c r="T307" i="6"/>
  <c r="Y307" i="6" s="1"/>
  <c r="H64" i="19" s="1"/>
  <c r="T191" i="6"/>
  <c r="Y191" i="6" s="1"/>
  <c r="F74" i="18" s="1"/>
  <c r="U74" i="18" s="1"/>
  <c r="Y69" i="18" l="1"/>
  <c r="Y32" i="18"/>
  <c r="Y40" i="18"/>
  <c r="Y77" i="18"/>
  <c r="N13" i="19"/>
  <c r="Q13" i="19" s="1"/>
  <c r="N5" i="19"/>
  <c r="Q5" i="19" s="1"/>
  <c r="F2" i="12"/>
  <c r="F35" i="12"/>
  <c r="N10" i="19"/>
  <c r="Q10" i="19" s="1"/>
  <c r="F57" i="12"/>
  <c r="F24" i="12"/>
  <c r="F13" i="12"/>
  <c r="M360" i="4"/>
  <c r="Q360" i="4" s="1"/>
  <c r="V360" i="4" s="1"/>
  <c r="L39" i="19" s="1"/>
  <c r="N42" i="6"/>
  <c r="T42" i="6" s="1"/>
  <c r="N11" i="19"/>
  <c r="Q11" i="19" s="1"/>
  <c r="N9" i="19"/>
  <c r="Q9" i="19" s="1"/>
  <c r="F46" i="12"/>
  <c r="N12" i="19"/>
  <c r="Q12" i="19" s="1"/>
  <c r="N4" i="19"/>
  <c r="Q4" i="19" s="1"/>
  <c r="M131" i="4"/>
  <c r="Q131" i="4" s="1"/>
  <c r="V131" i="4" s="1"/>
  <c r="D35" i="18" s="1"/>
  <c r="S35" i="18" s="1"/>
  <c r="N9" i="6"/>
  <c r="T9" i="6" s="1"/>
  <c r="Y9" i="6" s="1"/>
  <c r="B68" i="11" s="1"/>
  <c r="S68" i="11" s="1"/>
  <c r="N110" i="6"/>
  <c r="T110" i="6" s="1"/>
  <c r="Y110" i="6" s="1"/>
  <c r="D69" i="11" s="1"/>
  <c r="U69" i="11" s="1"/>
  <c r="M13" i="4"/>
  <c r="Q13" i="4" s="1"/>
  <c r="V13" i="4" s="1"/>
  <c r="B43" i="11" s="1"/>
  <c r="S43" i="11" s="1"/>
  <c r="N305" i="6"/>
  <c r="T305" i="6" s="1"/>
  <c r="Y305" i="6" s="1"/>
  <c r="H62" i="19" s="1"/>
  <c r="N35" i="19"/>
  <c r="N43" i="19"/>
  <c r="N79" i="19"/>
  <c r="J77" i="18"/>
  <c r="J69" i="18"/>
  <c r="N234" i="6"/>
  <c r="T234" i="6" s="1"/>
  <c r="Y234" i="6" s="1"/>
  <c r="B66" i="19" s="1"/>
  <c r="Q23" i="4"/>
  <c r="V23" i="4" s="1"/>
  <c r="B53" i="11" s="1"/>
  <c r="S53" i="11" s="1"/>
  <c r="N61" i="6"/>
  <c r="T61" i="6" s="1"/>
  <c r="N292" i="6"/>
  <c r="T292" i="6" s="1"/>
  <c r="Y292" i="6" s="1"/>
  <c r="F74" i="19" s="1"/>
  <c r="M242" i="4"/>
  <c r="Q242" i="4" s="1"/>
  <c r="V242" i="4" s="1"/>
  <c r="B46" i="19" s="1"/>
  <c r="N181" i="6"/>
  <c r="T181" i="6" s="1"/>
  <c r="Y181" i="6" s="1"/>
  <c r="F64" i="18" s="1"/>
  <c r="U64" i="18" s="1"/>
  <c r="N82" i="6"/>
  <c r="T82" i="6" s="1"/>
  <c r="Y82" i="6" s="1"/>
  <c r="B65" i="18" s="1"/>
  <c r="Q65" i="18" s="1"/>
  <c r="W3" i="20"/>
  <c r="X3" i="20" s="1"/>
  <c r="Y3" i="20" s="1"/>
  <c r="S3" i="20"/>
  <c r="T3" i="20" s="1"/>
  <c r="Q29" i="2"/>
  <c r="R29" i="2" s="1"/>
  <c r="N29" i="22"/>
  <c r="R29" i="22" s="1"/>
  <c r="R30" i="20"/>
  <c r="Q280" i="2"/>
  <c r="R280" i="2" s="1"/>
  <c r="N272" i="22"/>
  <c r="R272" i="22" s="1"/>
  <c r="N273" i="20"/>
  <c r="R273" i="20" s="1"/>
  <c r="Q260" i="2"/>
  <c r="R260" i="2" s="1"/>
  <c r="N252" i="22"/>
  <c r="N253" i="20"/>
  <c r="Q90" i="2"/>
  <c r="R90" i="2" s="1"/>
  <c r="N88" i="22"/>
  <c r="R88" i="22" s="1"/>
  <c r="N89" i="20"/>
  <c r="R89" i="20" s="1"/>
  <c r="Q292" i="2"/>
  <c r="R292" i="2" s="1"/>
  <c r="N284" i="22"/>
  <c r="N285" i="20"/>
  <c r="Q5" i="2"/>
  <c r="R5" i="2" s="1"/>
  <c r="N6" i="22"/>
  <c r="R6" i="22" s="1"/>
  <c r="N6" i="20"/>
  <c r="R6" i="20" s="1"/>
  <c r="Q8" i="2"/>
  <c r="R8" i="2" s="1"/>
  <c r="N9" i="22"/>
  <c r="N9" i="20"/>
  <c r="Q138" i="2"/>
  <c r="R138" i="2" s="1"/>
  <c r="N134" i="22"/>
  <c r="R134" i="22" s="1"/>
  <c r="N135" i="20"/>
  <c r="R135" i="20" s="1"/>
  <c r="Q366" i="2"/>
  <c r="R366" i="2" s="1"/>
  <c r="N358" i="22"/>
  <c r="R358" i="22" s="1"/>
  <c r="N359" i="20"/>
  <c r="R359" i="20" s="1"/>
  <c r="Q77" i="2"/>
  <c r="R77" i="2" s="1"/>
  <c r="N75" i="22"/>
  <c r="R75" i="22" s="1"/>
  <c r="Q254" i="2"/>
  <c r="R254" i="2" s="1"/>
  <c r="N246" i="22"/>
  <c r="R246" i="22" s="1"/>
  <c r="N247" i="20"/>
  <c r="R247" i="20" s="1"/>
  <c r="Q121" i="2"/>
  <c r="R121" i="2" s="1"/>
  <c r="N118" i="22"/>
  <c r="R118" i="22" s="1"/>
  <c r="N119" i="20"/>
  <c r="R119" i="20" s="1"/>
  <c r="Q368" i="2"/>
  <c r="R368" i="2" s="1"/>
  <c r="N360" i="22"/>
  <c r="N361" i="20"/>
  <c r="Q284" i="2"/>
  <c r="R284" i="2" s="1"/>
  <c r="N276" i="22"/>
  <c r="N277" i="20"/>
  <c r="Q268" i="2"/>
  <c r="R268" i="2" s="1"/>
  <c r="N260" i="22"/>
  <c r="N261" i="20"/>
  <c r="Q264" i="2"/>
  <c r="R264" i="2" s="1"/>
  <c r="N256" i="22"/>
  <c r="R256" i="22" s="1"/>
  <c r="N257" i="20"/>
  <c r="R257" i="20" s="1"/>
  <c r="Q43" i="2"/>
  <c r="R43" i="2" s="1"/>
  <c r="N43" i="22"/>
  <c r="Q18" i="2"/>
  <c r="R18" i="2" s="1"/>
  <c r="N19" i="22"/>
  <c r="N19" i="20"/>
  <c r="Q345" i="2"/>
  <c r="R345" i="2" s="1"/>
  <c r="N337" i="22"/>
  <c r="R337" i="22" s="1"/>
  <c r="N338" i="20"/>
  <c r="R338" i="20" s="1"/>
  <c r="Q307" i="2"/>
  <c r="R307" i="2" s="1"/>
  <c r="N299" i="22"/>
  <c r="R299" i="22" s="1"/>
  <c r="N300" i="20"/>
  <c r="R300" i="20" s="1"/>
  <c r="Q317" i="2"/>
  <c r="R317" i="2" s="1"/>
  <c r="N309" i="22"/>
  <c r="R309" i="22" s="1"/>
  <c r="N310" i="20"/>
  <c r="R310" i="20" s="1"/>
  <c r="Q30" i="2"/>
  <c r="R30" i="2" s="1"/>
  <c r="N30" i="22"/>
  <c r="R30" i="22" s="1"/>
  <c r="R31" i="20"/>
  <c r="Q192" i="2"/>
  <c r="R192" i="2" s="1"/>
  <c r="N186" i="22"/>
  <c r="R186" i="22" s="1"/>
  <c r="N187" i="20"/>
  <c r="R187" i="20" s="1"/>
  <c r="Q233" i="2"/>
  <c r="R233" i="2" s="1"/>
  <c r="N225" i="22"/>
  <c r="N226" i="20"/>
  <c r="Q104" i="2"/>
  <c r="R104" i="2" s="1"/>
  <c r="N101" i="22"/>
  <c r="R101" i="22" s="1"/>
  <c r="N102" i="20"/>
  <c r="R102" i="20" s="1"/>
  <c r="Q218" i="2"/>
  <c r="R218" i="2" s="1"/>
  <c r="N211" i="22"/>
  <c r="R211" i="22" s="1"/>
  <c r="N212" i="20"/>
  <c r="R212" i="20" s="1"/>
  <c r="Q247" i="2"/>
  <c r="R247" i="2" s="1"/>
  <c r="N239" i="22"/>
  <c r="R239" i="22" s="1"/>
  <c r="W239" i="22" s="1"/>
  <c r="N240" i="20"/>
  <c r="R240" i="20" s="1"/>
  <c r="Q338" i="2"/>
  <c r="R338" i="2" s="1"/>
  <c r="N330" i="22"/>
  <c r="R330" i="22" s="1"/>
  <c r="N331" i="20"/>
  <c r="R331" i="20" s="1"/>
  <c r="Q34" i="2"/>
  <c r="R34" i="2" s="1"/>
  <c r="N34" i="22"/>
  <c r="R34" i="22" s="1"/>
  <c r="R35" i="20"/>
  <c r="Q19" i="2"/>
  <c r="R19" i="2" s="1"/>
  <c r="N20" i="22"/>
  <c r="R20" i="22" s="1"/>
  <c r="N20" i="20"/>
  <c r="R20" i="20" s="1"/>
  <c r="Q167" i="2"/>
  <c r="R167" i="2" s="1"/>
  <c r="N162" i="22"/>
  <c r="R162" i="22" s="1"/>
  <c r="N163" i="20"/>
  <c r="R163" i="20" s="1"/>
  <c r="Q279" i="2"/>
  <c r="R279" i="2" s="1"/>
  <c r="N271" i="22"/>
  <c r="R271" i="22" s="1"/>
  <c r="N272" i="20"/>
  <c r="R272" i="20" s="1"/>
  <c r="Q313" i="2"/>
  <c r="R313" i="2" s="1"/>
  <c r="N305" i="22"/>
  <c r="R305" i="22" s="1"/>
  <c r="N306" i="20"/>
  <c r="R306" i="20" s="1"/>
  <c r="T344" i="6"/>
  <c r="Y344" i="6" s="1"/>
  <c r="J76" i="19" s="1"/>
  <c r="M41" i="4"/>
  <c r="Q41" i="4" s="1"/>
  <c r="M40" i="22"/>
  <c r="M293" i="4"/>
  <c r="Q293" i="4" s="1"/>
  <c r="V293" i="4" s="1"/>
  <c r="F47" i="19" s="1"/>
  <c r="M284" i="22"/>
  <c r="M285" i="20"/>
  <c r="M70" i="4"/>
  <c r="Q70" i="4" s="1"/>
  <c r="M68" i="22"/>
  <c r="Q68" i="22" s="1"/>
  <c r="V68" i="22" s="1"/>
  <c r="M69" i="20"/>
  <c r="M270" i="4"/>
  <c r="Q270" i="4" s="1"/>
  <c r="V270" i="4" s="1"/>
  <c r="D49" i="19" s="1"/>
  <c r="M261" i="22"/>
  <c r="M262" i="20"/>
  <c r="M69" i="4"/>
  <c r="Q69" i="4" s="1"/>
  <c r="V69" i="4" s="1"/>
  <c r="J49" i="11" s="1"/>
  <c r="AA49" i="11" s="1"/>
  <c r="M67" i="22"/>
  <c r="M68" i="20"/>
  <c r="M68" i="4"/>
  <c r="Q68" i="4" s="1"/>
  <c r="M66" i="22"/>
  <c r="Q66" i="22" s="1"/>
  <c r="V66" i="22" s="1"/>
  <c r="M67" i="20"/>
  <c r="T47" i="6"/>
  <c r="Y47" i="6" s="1"/>
  <c r="H81" i="11" s="1"/>
  <c r="Y81" i="11" s="1"/>
  <c r="T343" i="6"/>
  <c r="Y343" i="6" s="1"/>
  <c r="J75" i="19" s="1"/>
  <c r="N261" i="6"/>
  <c r="T261" i="6" s="1"/>
  <c r="Y261" i="6" s="1"/>
  <c r="D68" i="19" s="1"/>
  <c r="M252" i="22"/>
  <c r="M253" i="20"/>
  <c r="M312" i="4"/>
  <c r="Q312" i="4" s="1"/>
  <c r="V312" i="4" s="1"/>
  <c r="H41" i="19" s="1"/>
  <c r="M303" i="22"/>
  <c r="M304" i="20"/>
  <c r="N262" i="6"/>
  <c r="T262" i="6" s="1"/>
  <c r="Y262" i="6" s="1"/>
  <c r="D69" i="19" s="1"/>
  <c r="M253" i="22"/>
  <c r="M254" i="20"/>
  <c r="M88" i="4"/>
  <c r="Q88" i="4" s="1"/>
  <c r="V88" i="4" s="1"/>
  <c r="B42" i="18" s="1"/>
  <c r="M85" i="22"/>
  <c r="M86" i="20"/>
  <c r="M296" i="22"/>
  <c r="M297" i="20"/>
  <c r="T206" i="6"/>
  <c r="Y206" i="6" s="1"/>
  <c r="H64" i="18" s="1"/>
  <c r="W64" i="18" s="1"/>
  <c r="N141" i="6"/>
  <c r="T141" i="6" s="1"/>
  <c r="Y141" i="6" s="1"/>
  <c r="D74" i="18" s="1"/>
  <c r="S74" i="18" s="1"/>
  <c r="M136" i="22"/>
  <c r="M137" i="20"/>
  <c r="M81" i="4"/>
  <c r="Q81" i="4" s="1"/>
  <c r="V81" i="4" s="1"/>
  <c r="B35" i="18" s="1"/>
  <c r="Q35" i="18" s="1"/>
  <c r="M78" i="22"/>
  <c r="M79" i="20"/>
  <c r="N332" i="6"/>
  <c r="T332" i="6" s="1"/>
  <c r="Y332" i="6" s="1"/>
  <c r="J64" i="19" s="1"/>
  <c r="N64" i="19" s="1"/>
  <c r="M323" i="22"/>
  <c r="M324" i="20"/>
  <c r="T129" i="6"/>
  <c r="Y129" i="6" s="1"/>
  <c r="D62" i="18" s="1"/>
  <c r="S62" i="18" s="1"/>
  <c r="N142" i="6"/>
  <c r="T142" i="6" s="1"/>
  <c r="Y142" i="6" s="1"/>
  <c r="D75" i="18" s="1"/>
  <c r="S75" i="18" s="1"/>
  <c r="M137" i="22"/>
  <c r="M138" i="20"/>
  <c r="N284" i="6"/>
  <c r="T284" i="6" s="1"/>
  <c r="Y284" i="6" s="1"/>
  <c r="F66" i="19" s="1"/>
  <c r="M275" i="22"/>
  <c r="M276" i="20"/>
  <c r="Q330" i="4"/>
  <c r="V330" i="4" s="1"/>
  <c r="J34" i="19" s="1"/>
  <c r="T295" i="6"/>
  <c r="Y295" i="6" s="1"/>
  <c r="F77" i="19" s="1"/>
  <c r="T370" i="6"/>
  <c r="Y370" i="6" s="1"/>
  <c r="L77" i="19" s="1"/>
  <c r="Q301" i="20"/>
  <c r="V301" i="20" s="1"/>
  <c r="Q132" i="20"/>
  <c r="V132" i="20" s="1"/>
  <c r="Q327" i="20"/>
  <c r="V327" i="20" s="1"/>
  <c r="Q357" i="20"/>
  <c r="V357" i="20" s="1"/>
  <c r="Q256" i="20"/>
  <c r="V256" i="20" s="1"/>
  <c r="Q354" i="22"/>
  <c r="V354" i="22" s="1"/>
  <c r="Q333" i="22"/>
  <c r="V333" i="22" s="1"/>
  <c r="Q160" i="20"/>
  <c r="V160" i="20" s="1"/>
  <c r="Q238" i="20"/>
  <c r="V238" i="20" s="1"/>
  <c r="Q310" i="22"/>
  <c r="V310" i="22" s="1"/>
  <c r="Q6" i="20"/>
  <c r="V6" i="20" s="1"/>
  <c r="Q330" i="22"/>
  <c r="V330" i="22" s="1"/>
  <c r="Q220" i="20"/>
  <c r="V220" i="20" s="1"/>
  <c r="Q15" i="20"/>
  <c r="V15" i="20" s="1"/>
  <c r="Q155" i="20"/>
  <c r="V155" i="20" s="1"/>
  <c r="Q252" i="20"/>
  <c r="V252" i="20" s="1"/>
  <c r="Q85" i="20"/>
  <c r="V85" i="20" s="1"/>
  <c r="Q186" i="20"/>
  <c r="V186" i="20" s="1"/>
  <c r="Q295" i="20"/>
  <c r="V295" i="20" s="1"/>
  <c r="Q300" i="20"/>
  <c r="V300" i="20" s="1"/>
  <c r="Q182" i="20"/>
  <c r="V182" i="20" s="1"/>
  <c r="Q234" i="22"/>
  <c r="V234" i="22" s="1"/>
  <c r="Q119" i="22"/>
  <c r="V119" i="22" s="1"/>
  <c r="Q4" i="20"/>
  <c r="V4" i="20" s="1"/>
  <c r="Q238" i="22"/>
  <c r="V238" i="22" s="1"/>
  <c r="Q154" i="20"/>
  <c r="V154" i="20" s="1"/>
  <c r="Q126" i="20"/>
  <c r="V126" i="20" s="1"/>
  <c r="Q216" i="20"/>
  <c r="V216" i="20" s="1"/>
  <c r="Q110" i="20"/>
  <c r="V110" i="20" s="1"/>
  <c r="Q228" i="20"/>
  <c r="V228" i="20" s="1"/>
  <c r="Q309" i="22"/>
  <c r="V309" i="22" s="1"/>
  <c r="Q288" i="22"/>
  <c r="V288" i="22" s="1"/>
  <c r="Q141" i="20"/>
  <c r="V141" i="20" s="1"/>
  <c r="Q186" i="22"/>
  <c r="V186" i="22" s="1"/>
  <c r="Q320" i="22"/>
  <c r="V320" i="22" s="1"/>
  <c r="Q213" i="22"/>
  <c r="V213" i="22" s="1"/>
  <c r="Q279" i="20"/>
  <c r="V279" i="20" s="1"/>
  <c r="Q357" i="22"/>
  <c r="V357" i="22" s="1"/>
  <c r="Q37" i="20"/>
  <c r="V37" i="20" s="1"/>
  <c r="Q167" i="22"/>
  <c r="V167" i="22" s="1"/>
  <c r="Q264" i="20"/>
  <c r="V264" i="20" s="1"/>
  <c r="Q336" i="22"/>
  <c r="V336" i="22" s="1"/>
  <c r="Q363" i="22"/>
  <c r="V363" i="22" s="1"/>
  <c r="Q340" i="2"/>
  <c r="R340" i="2" s="1"/>
  <c r="N332" i="22"/>
  <c r="N333" i="20"/>
  <c r="Q54" i="2"/>
  <c r="R54" i="2" s="1"/>
  <c r="N53" i="22"/>
  <c r="R53" i="22" s="1"/>
  <c r="R54" i="20"/>
  <c r="Q311" i="2"/>
  <c r="R311" i="2" s="1"/>
  <c r="N303" i="22"/>
  <c r="N304" i="20"/>
  <c r="Q44" i="2"/>
  <c r="R44" i="2" s="1"/>
  <c r="N44" i="22"/>
  <c r="R44" i="22" s="1"/>
  <c r="R45" i="20"/>
  <c r="Q293" i="2"/>
  <c r="R293" i="2" s="1"/>
  <c r="N285" i="22"/>
  <c r="R285" i="22" s="1"/>
  <c r="N286" i="20"/>
  <c r="R286" i="20" s="1"/>
  <c r="Q91" i="2"/>
  <c r="R91" i="2" s="1"/>
  <c r="N89" i="22"/>
  <c r="N90" i="20"/>
  <c r="Q144" i="2"/>
  <c r="R144" i="2" s="1"/>
  <c r="N140" i="22"/>
  <c r="R140" i="22" s="1"/>
  <c r="N141" i="20"/>
  <c r="R141" i="20" s="1"/>
  <c r="Q204" i="2"/>
  <c r="R204" i="2" s="1"/>
  <c r="N197" i="22"/>
  <c r="R197" i="22" s="1"/>
  <c r="N198" i="20"/>
  <c r="R198" i="20" s="1"/>
  <c r="Q344" i="2"/>
  <c r="R344" i="2" s="1"/>
  <c r="N336" i="22"/>
  <c r="R336" i="22" s="1"/>
  <c r="N337" i="20"/>
  <c r="R337" i="20" s="1"/>
  <c r="Q185" i="2"/>
  <c r="R185" i="2" s="1"/>
  <c r="N179" i="22"/>
  <c r="R179" i="22" s="1"/>
  <c r="N180" i="20"/>
  <c r="R180" i="20" s="1"/>
  <c r="Q45" i="2"/>
  <c r="R45" i="2" s="1"/>
  <c r="N45" i="22"/>
  <c r="R45" i="22" s="1"/>
  <c r="R46" i="20"/>
  <c r="Q272" i="2"/>
  <c r="R272" i="2" s="1"/>
  <c r="N264" i="22"/>
  <c r="R264" i="22" s="1"/>
  <c r="N265" i="20"/>
  <c r="R265" i="20" s="1"/>
  <c r="Q195" i="2"/>
  <c r="R195" i="2" s="1"/>
  <c r="N189" i="22"/>
  <c r="R189" i="22" s="1"/>
  <c r="N190" i="20"/>
  <c r="R190" i="20" s="1"/>
  <c r="Q314" i="2"/>
  <c r="R314" i="2" s="1"/>
  <c r="N306" i="22"/>
  <c r="R306" i="22" s="1"/>
  <c r="N307" i="20"/>
  <c r="R307" i="20" s="1"/>
  <c r="Q68" i="2"/>
  <c r="R68" i="2" s="1"/>
  <c r="N67" i="22"/>
  <c r="N68" i="20"/>
  <c r="Q180" i="2"/>
  <c r="R180" i="2" s="1"/>
  <c r="N174" i="22"/>
  <c r="N175" i="20"/>
  <c r="Q212" i="2"/>
  <c r="R212" i="2" s="1"/>
  <c r="N205" i="22"/>
  <c r="R205" i="22" s="1"/>
  <c r="N206" i="20"/>
  <c r="R206" i="20" s="1"/>
  <c r="Q170" i="2"/>
  <c r="R170" i="2" s="1"/>
  <c r="N165" i="22"/>
  <c r="R165" i="22" s="1"/>
  <c r="N166" i="20"/>
  <c r="R166" i="20" s="1"/>
  <c r="Q112" i="2"/>
  <c r="R112" i="2" s="1"/>
  <c r="N109" i="22"/>
  <c r="R109" i="22" s="1"/>
  <c r="N110" i="20"/>
  <c r="R110" i="20" s="1"/>
  <c r="Q80" i="2"/>
  <c r="R80" i="2" s="1"/>
  <c r="N78" i="22"/>
  <c r="N79" i="20"/>
  <c r="R13" i="2"/>
  <c r="N14" i="22"/>
  <c r="R14" i="22" s="1"/>
  <c r="N14" i="20"/>
  <c r="R14" i="20" s="1"/>
  <c r="Q296" i="2"/>
  <c r="R296" i="2" s="1"/>
  <c r="N288" i="22"/>
  <c r="R288" i="22" s="1"/>
  <c r="N289" i="20"/>
  <c r="R289" i="20" s="1"/>
  <c r="Q131" i="2"/>
  <c r="R131" i="2" s="1"/>
  <c r="N127" i="22"/>
  <c r="R127" i="22" s="1"/>
  <c r="N128" i="20"/>
  <c r="R128" i="20" s="1"/>
  <c r="Q214" i="2"/>
  <c r="R214" i="2" s="1"/>
  <c r="N207" i="22"/>
  <c r="R207" i="22" s="1"/>
  <c r="N208" i="20"/>
  <c r="R208" i="20" s="1"/>
  <c r="Q85" i="2"/>
  <c r="R85" i="2" s="1"/>
  <c r="N83" i="22"/>
  <c r="R83" i="22" s="1"/>
  <c r="N84" i="20"/>
  <c r="R84" i="20" s="1"/>
  <c r="Q169" i="2"/>
  <c r="R169" i="2" s="1"/>
  <c r="N164" i="22"/>
  <c r="N165" i="20"/>
  <c r="Q197" i="2"/>
  <c r="R197" i="2" s="1"/>
  <c r="N191" i="22"/>
  <c r="N192" i="20"/>
  <c r="Q347" i="2"/>
  <c r="R347" i="2" s="1"/>
  <c r="N339" i="22"/>
  <c r="N340" i="20"/>
  <c r="Q71" i="2"/>
  <c r="R71" i="2" s="1"/>
  <c r="N70" i="22"/>
  <c r="N71" i="20"/>
  <c r="Q62" i="2"/>
  <c r="R62" i="2" s="1"/>
  <c r="N61" i="22"/>
  <c r="N62" i="20"/>
  <c r="Q130" i="2"/>
  <c r="R130" i="2" s="1"/>
  <c r="N126" i="22"/>
  <c r="N127" i="20"/>
  <c r="Q133" i="2"/>
  <c r="R133" i="2" s="1"/>
  <c r="N129" i="22"/>
  <c r="N130" i="20"/>
  <c r="Q290" i="2"/>
  <c r="R290" i="2" s="1"/>
  <c r="N282" i="22"/>
  <c r="R282" i="22" s="1"/>
  <c r="N283" i="20"/>
  <c r="R283" i="20" s="1"/>
  <c r="Q161" i="2"/>
  <c r="R161" i="2" s="1"/>
  <c r="N156" i="22"/>
  <c r="N157" i="20"/>
  <c r="Q143" i="2"/>
  <c r="R143" i="2" s="1"/>
  <c r="N139" i="22"/>
  <c r="R139" i="22" s="1"/>
  <c r="N140" i="20"/>
  <c r="R140" i="20" s="1"/>
  <c r="Q145" i="2"/>
  <c r="R145" i="2" s="1"/>
  <c r="N141" i="22"/>
  <c r="R141" i="22" s="1"/>
  <c r="N142" i="20"/>
  <c r="R142" i="20" s="1"/>
  <c r="Q122" i="2"/>
  <c r="R122" i="2" s="1"/>
  <c r="N119" i="22"/>
  <c r="R119" i="22" s="1"/>
  <c r="N120" i="20"/>
  <c r="R120" i="20" s="1"/>
  <c r="Q69" i="2"/>
  <c r="R69" i="2" s="1"/>
  <c r="N68" i="22"/>
  <c r="N69" i="20"/>
  <c r="Q147" i="2"/>
  <c r="R147" i="2" s="1"/>
  <c r="N143" i="22"/>
  <c r="R143" i="22" s="1"/>
  <c r="N144" i="20"/>
  <c r="R144" i="20" s="1"/>
  <c r="Q328" i="2"/>
  <c r="R328" i="2" s="1"/>
  <c r="N320" i="22"/>
  <c r="R320" i="22" s="1"/>
  <c r="N321" i="20"/>
  <c r="R321" i="20" s="1"/>
  <c r="Q228" i="2"/>
  <c r="R228" i="2" s="1"/>
  <c r="N220" i="22"/>
  <c r="R220" i="22" s="1"/>
  <c r="N221" i="20"/>
  <c r="R221" i="20" s="1"/>
  <c r="Q262" i="2"/>
  <c r="R262" i="2" s="1"/>
  <c r="N254" i="22"/>
  <c r="R254" i="22" s="1"/>
  <c r="N255" i="20"/>
  <c r="R255" i="20" s="1"/>
  <c r="Q12" i="2"/>
  <c r="R12" i="2" s="1"/>
  <c r="N13" i="22"/>
  <c r="N13" i="20"/>
  <c r="N10" i="6"/>
  <c r="M10" i="22"/>
  <c r="M10" i="20"/>
  <c r="N118" i="6"/>
  <c r="T118" i="6" s="1"/>
  <c r="Y118" i="6" s="1"/>
  <c r="D77" i="11" s="1"/>
  <c r="U77" i="11" s="1"/>
  <c r="M114" i="22"/>
  <c r="Q114" i="22" s="1"/>
  <c r="V114" i="22" s="1"/>
  <c r="M115" i="20"/>
  <c r="M369" i="4"/>
  <c r="Q369" i="4" s="1"/>
  <c r="V369" i="4" s="1"/>
  <c r="L48" i="19" s="1"/>
  <c r="M360" i="22"/>
  <c r="M361" i="20"/>
  <c r="M64" i="4"/>
  <c r="Q64" i="4" s="1"/>
  <c r="V64" i="4" s="1"/>
  <c r="J44" i="11" s="1"/>
  <c r="AA44" i="11" s="1"/>
  <c r="M62" i="22"/>
  <c r="Q62" i="22" s="1"/>
  <c r="V62" i="22" s="1"/>
  <c r="M63" i="20"/>
  <c r="T55" i="6"/>
  <c r="Y55" i="6" s="1"/>
  <c r="J64" i="11" s="1"/>
  <c r="AA64" i="11" s="1"/>
  <c r="N19" i="6"/>
  <c r="T19" i="6" s="1"/>
  <c r="Y19" i="6" s="1"/>
  <c r="B78" i="11" s="1"/>
  <c r="S78" i="11" s="1"/>
  <c r="M19" i="22"/>
  <c r="M19" i="20"/>
  <c r="M44" i="4"/>
  <c r="Q44" i="4" s="1"/>
  <c r="V44" i="4" s="1"/>
  <c r="H49" i="11" s="1"/>
  <c r="Y49" i="11" s="1"/>
  <c r="M43" i="22"/>
  <c r="M59" i="4"/>
  <c r="Q59" i="4" s="1"/>
  <c r="M57" i="22"/>
  <c r="M58" i="20"/>
  <c r="N104" i="6"/>
  <c r="T104" i="6" s="1"/>
  <c r="Y104" i="6" s="1"/>
  <c r="D63" i="11" s="1"/>
  <c r="U63" i="11" s="1"/>
  <c r="M100" i="22"/>
  <c r="M101" i="20"/>
  <c r="Q101" i="20" s="1"/>
  <c r="V101" i="20" s="1"/>
  <c r="N269" i="6"/>
  <c r="T269" i="6" s="1"/>
  <c r="Y269" i="6" s="1"/>
  <c r="D76" i="19" s="1"/>
  <c r="M260" i="22"/>
  <c r="M261" i="20"/>
  <c r="N5" i="6"/>
  <c r="M5" i="22"/>
  <c r="M5" i="20"/>
  <c r="N112" i="6"/>
  <c r="T112" i="6" s="1"/>
  <c r="Y112" i="6" s="1"/>
  <c r="D71" i="11" s="1"/>
  <c r="U71" i="11" s="1"/>
  <c r="M108" i="22"/>
  <c r="M109" i="20"/>
  <c r="T246" i="6"/>
  <c r="Y246" i="6" s="1"/>
  <c r="B78" i="19" s="1"/>
  <c r="T30" i="6"/>
  <c r="Y30" i="6" s="1"/>
  <c r="H64" i="11" s="1"/>
  <c r="Y64" i="11" s="1"/>
  <c r="Q165" i="4"/>
  <c r="V165" i="4" s="1"/>
  <c r="F45" i="11" s="1"/>
  <c r="W45" i="11" s="1"/>
  <c r="T287" i="6"/>
  <c r="Y287" i="6" s="1"/>
  <c r="F69" i="19" s="1"/>
  <c r="Q358" i="4"/>
  <c r="V358" i="4" s="1"/>
  <c r="L37" i="19" s="1"/>
  <c r="T328" i="6"/>
  <c r="Y328" i="6" s="1"/>
  <c r="J60" i="19" s="1"/>
  <c r="Q215" i="4"/>
  <c r="V215" i="4" s="1"/>
  <c r="H44" i="18" s="1"/>
  <c r="W44" i="18" s="1"/>
  <c r="N210" i="6"/>
  <c r="T210" i="6" s="1"/>
  <c r="Y210" i="6" s="1"/>
  <c r="H68" i="18" s="1"/>
  <c r="W68" i="18" s="1"/>
  <c r="M202" i="22"/>
  <c r="M203" i="20"/>
  <c r="M225" i="22"/>
  <c r="M226" i="20"/>
  <c r="M96" i="4"/>
  <c r="Q96" i="4" s="1"/>
  <c r="V96" i="4" s="1"/>
  <c r="B50" i="18" s="1"/>
  <c r="M93" i="22"/>
  <c r="M94" i="20"/>
  <c r="T237" i="6"/>
  <c r="Y237" i="6" s="1"/>
  <c r="B69" i="19" s="1"/>
  <c r="T296" i="6"/>
  <c r="Y296" i="6" s="1"/>
  <c r="F78" i="19" s="1"/>
  <c r="T178" i="6"/>
  <c r="Y178" i="6" s="1"/>
  <c r="F61" i="18" s="1"/>
  <c r="U61" i="18" s="1"/>
  <c r="Q300" i="22"/>
  <c r="V300" i="22" s="1"/>
  <c r="Q131" i="22"/>
  <c r="V131" i="22" s="1"/>
  <c r="Q326" i="22"/>
  <c r="V326" i="22" s="1"/>
  <c r="Q356" i="22"/>
  <c r="V356" i="22" s="1"/>
  <c r="Q208" i="20"/>
  <c r="V208" i="20" s="1"/>
  <c r="Q255" i="22"/>
  <c r="V255" i="22" s="1"/>
  <c r="Q255" i="20"/>
  <c r="V255" i="20" s="1"/>
  <c r="Q163" i="20"/>
  <c r="V163" i="20" s="1"/>
  <c r="Q159" i="22"/>
  <c r="V159" i="22" s="1"/>
  <c r="Q159" i="20"/>
  <c r="V159" i="20" s="1"/>
  <c r="Q237" i="22"/>
  <c r="V237" i="22" s="1"/>
  <c r="Q265" i="20"/>
  <c r="V265" i="20" s="1"/>
  <c r="Q6" i="22"/>
  <c r="V6" i="22" s="1"/>
  <c r="Q322" i="20"/>
  <c r="V322" i="20" s="1"/>
  <c r="Q219" i="22"/>
  <c r="V219" i="22" s="1"/>
  <c r="Q15" i="22"/>
  <c r="V15" i="22" s="1"/>
  <c r="Q154" i="22"/>
  <c r="V154" i="22" s="1"/>
  <c r="Q251" i="22"/>
  <c r="V251" i="22" s="1"/>
  <c r="Q84" i="22"/>
  <c r="V84" i="22" s="1"/>
  <c r="Q189" i="20"/>
  <c r="V189" i="20" s="1"/>
  <c r="Q294" i="22"/>
  <c r="V294" i="22" s="1"/>
  <c r="Q299" i="22"/>
  <c r="V299" i="22" s="1"/>
  <c r="Q181" i="22"/>
  <c r="V181" i="22" s="1"/>
  <c r="Q181" i="20"/>
  <c r="V181" i="20" s="1"/>
  <c r="Q103" i="22"/>
  <c r="V103" i="22" s="1"/>
  <c r="Q7" i="20"/>
  <c r="V7" i="20" s="1"/>
  <c r="Q4" i="22"/>
  <c r="V4" i="22" s="1"/>
  <c r="Q45" i="20"/>
  <c r="V45" i="20" s="1"/>
  <c r="Q125" i="22"/>
  <c r="V125" i="22" s="1"/>
  <c r="Q89" i="20"/>
  <c r="V89" i="20" s="1"/>
  <c r="Q215" i="22"/>
  <c r="V215" i="22" s="1"/>
  <c r="Q109" i="22"/>
  <c r="V109" i="22" s="1"/>
  <c r="Q227" i="22"/>
  <c r="V227" i="22" s="1"/>
  <c r="Q280" i="20"/>
  <c r="V280" i="20" s="1"/>
  <c r="Q258" i="20"/>
  <c r="V258" i="20" s="1"/>
  <c r="Q365" i="20"/>
  <c r="V365" i="20" s="1"/>
  <c r="Q140" i="22"/>
  <c r="V140" i="22" s="1"/>
  <c r="T6" i="6"/>
  <c r="Y6" i="6" s="1"/>
  <c r="B65" i="11" s="1"/>
  <c r="S65" i="11" s="1"/>
  <c r="Q351" i="20"/>
  <c r="V351" i="20" s="1"/>
  <c r="Q142" i="20"/>
  <c r="V142" i="20" s="1"/>
  <c r="Q84" i="20"/>
  <c r="V84" i="20" s="1"/>
  <c r="Q136" i="20"/>
  <c r="V136" i="20" s="1"/>
  <c r="Q271" i="20"/>
  <c r="V271" i="20" s="1"/>
  <c r="Q188" i="20"/>
  <c r="V188" i="20" s="1"/>
  <c r="Q278" i="22"/>
  <c r="V278" i="22" s="1"/>
  <c r="Q260" i="20"/>
  <c r="V260" i="20" s="1"/>
  <c r="Q36" i="22"/>
  <c r="V36" i="22" s="1"/>
  <c r="Q240" i="20"/>
  <c r="V240" i="20" s="1"/>
  <c r="Q263" i="22"/>
  <c r="V263" i="22" s="1"/>
  <c r="Q339" i="20"/>
  <c r="V339" i="20" s="1"/>
  <c r="T13" i="6"/>
  <c r="Y13" i="6" s="1"/>
  <c r="B72" i="11" s="1"/>
  <c r="S72" i="11" s="1"/>
  <c r="Q294" i="2"/>
  <c r="R294" i="2" s="1"/>
  <c r="N286" i="22"/>
  <c r="R286" i="22" s="1"/>
  <c r="N287" i="20"/>
  <c r="R287" i="20" s="1"/>
  <c r="Q252" i="2"/>
  <c r="R252" i="2" s="1"/>
  <c r="N244" i="22"/>
  <c r="N245" i="20"/>
  <c r="Q196" i="2"/>
  <c r="R196" i="2" s="1"/>
  <c r="N190" i="22"/>
  <c r="N191" i="20"/>
  <c r="Q55" i="2"/>
  <c r="R55" i="2" s="1"/>
  <c r="N54" i="22"/>
  <c r="Q118" i="2"/>
  <c r="R118" i="2" s="1"/>
  <c r="N115" i="22"/>
  <c r="N116" i="20"/>
  <c r="Q235" i="2"/>
  <c r="R235" i="2" s="1"/>
  <c r="N227" i="22"/>
  <c r="R227" i="22" s="1"/>
  <c r="N228" i="20"/>
  <c r="R228" i="20" s="1"/>
  <c r="Q372" i="2"/>
  <c r="R372" i="2" s="1"/>
  <c r="N364" i="22"/>
  <c r="R364" i="22" s="1"/>
  <c r="N365" i="20"/>
  <c r="R365" i="20" s="1"/>
  <c r="Q163" i="2"/>
  <c r="R163" i="2" s="1"/>
  <c r="N158" i="22"/>
  <c r="R158" i="22" s="1"/>
  <c r="N159" i="20"/>
  <c r="R159" i="20" s="1"/>
  <c r="Q215" i="2"/>
  <c r="R215" i="2" s="1"/>
  <c r="N208" i="22"/>
  <c r="R208" i="22" s="1"/>
  <c r="N209" i="20"/>
  <c r="R209" i="20" s="1"/>
  <c r="Q359" i="2"/>
  <c r="R359" i="2" s="1"/>
  <c r="N351" i="22"/>
  <c r="N352" i="20"/>
  <c r="Q92" i="2"/>
  <c r="R92" i="2" s="1"/>
  <c r="N90" i="22"/>
  <c r="R90" i="22" s="1"/>
  <c r="N91" i="20"/>
  <c r="R91" i="20" s="1"/>
  <c r="Q246" i="2"/>
  <c r="R246" i="2" s="1"/>
  <c r="N238" i="22"/>
  <c r="R238" i="22" s="1"/>
  <c r="N239" i="20"/>
  <c r="R239" i="20" s="1"/>
  <c r="Q42" i="2"/>
  <c r="R42" i="2" s="1"/>
  <c r="N42" i="22"/>
  <c r="Q11" i="2"/>
  <c r="R11" i="2" s="1"/>
  <c r="N12" i="22"/>
  <c r="N12" i="20"/>
  <c r="Q136" i="2"/>
  <c r="R136" i="2" s="1"/>
  <c r="N132" i="22"/>
  <c r="R132" i="22" s="1"/>
  <c r="N133" i="20"/>
  <c r="R133" i="20" s="1"/>
  <c r="Q282" i="2"/>
  <c r="R282" i="2" s="1"/>
  <c r="N274" i="22"/>
  <c r="R274" i="22" s="1"/>
  <c r="N275" i="20"/>
  <c r="R275" i="20" s="1"/>
  <c r="Q360" i="2"/>
  <c r="R360" i="2" s="1"/>
  <c r="N352" i="22"/>
  <c r="N353" i="20"/>
  <c r="Q354" i="2"/>
  <c r="R354" i="2" s="1"/>
  <c r="N346" i="22"/>
  <c r="R346" i="22" s="1"/>
  <c r="N347" i="20"/>
  <c r="R347" i="20" s="1"/>
  <c r="Q289" i="2"/>
  <c r="R289" i="2" s="1"/>
  <c r="N281" i="22"/>
  <c r="R281" i="22" s="1"/>
  <c r="N282" i="20"/>
  <c r="R282" i="20" s="1"/>
  <c r="Q232" i="2"/>
  <c r="R232" i="2" s="1"/>
  <c r="N224" i="22"/>
  <c r="N225" i="20"/>
  <c r="Q331" i="2"/>
  <c r="R331" i="2" s="1"/>
  <c r="N323" i="22"/>
  <c r="N324" i="20"/>
  <c r="Q371" i="2"/>
  <c r="R371" i="2" s="1"/>
  <c r="N363" i="22"/>
  <c r="R363" i="22" s="1"/>
  <c r="N364" i="20"/>
  <c r="R364" i="20" s="1"/>
  <c r="Q120" i="2"/>
  <c r="R120" i="2" s="1"/>
  <c r="N117" i="22"/>
  <c r="R117" i="22" s="1"/>
  <c r="N118" i="20"/>
  <c r="R118" i="20" s="1"/>
  <c r="Q219" i="2"/>
  <c r="R219" i="2" s="1"/>
  <c r="N212" i="22"/>
  <c r="R212" i="22" s="1"/>
  <c r="N213" i="20"/>
  <c r="R213" i="20" s="1"/>
  <c r="Q37" i="2"/>
  <c r="R37" i="2" s="1"/>
  <c r="N37" i="22"/>
  <c r="R37" i="22" s="1"/>
  <c r="R38" i="20"/>
  <c r="Q357" i="2"/>
  <c r="R357" i="2" s="1"/>
  <c r="N349" i="22"/>
  <c r="R349" i="22" s="1"/>
  <c r="N350" i="20"/>
  <c r="R350" i="20" s="1"/>
  <c r="Q152" i="2"/>
  <c r="R152" i="2" s="1"/>
  <c r="N147" i="22"/>
  <c r="N148" i="20"/>
  <c r="Q239" i="2"/>
  <c r="R239" i="2" s="1"/>
  <c r="N231" i="22"/>
  <c r="R231" i="22" s="1"/>
  <c r="N232" i="20"/>
  <c r="R232" i="20" s="1"/>
  <c r="Q137" i="2"/>
  <c r="R137" i="2" s="1"/>
  <c r="N133" i="22"/>
  <c r="R133" i="22" s="1"/>
  <c r="N134" i="20"/>
  <c r="R134" i="20" s="1"/>
  <c r="Q153" i="2"/>
  <c r="R153" i="2" s="1"/>
  <c r="N148" i="22"/>
  <c r="N149" i="20"/>
  <c r="Q241" i="2"/>
  <c r="R241" i="2" s="1"/>
  <c r="N233" i="22"/>
  <c r="N234" i="20"/>
  <c r="Q210" i="2"/>
  <c r="R210" i="2" s="1"/>
  <c r="N203" i="22"/>
  <c r="R203" i="22" s="1"/>
  <c r="N204" i="20"/>
  <c r="R204" i="20" s="1"/>
  <c r="T346" i="6"/>
  <c r="Y346" i="6" s="1"/>
  <c r="J78" i="19" s="1"/>
  <c r="T366" i="6"/>
  <c r="Y366" i="6" s="1"/>
  <c r="L73" i="19" s="1"/>
  <c r="T248" i="6"/>
  <c r="Y248" i="6" s="1"/>
  <c r="B80" i="19" s="1"/>
  <c r="M39" i="4"/>
  <c r="Q39" i="4" s="1"/>
  <c r="M38" i="22"/>
  <c r="M48" i="4"/>
  <c r="M47" i="22"/>
  <c r="M33" i="4"/>
  <c r="Q33" i="4" s="1"/>
  <c r="M32" i="22"/>
  <c r="M116" i="4"/>
  <c r="Q116" i="4" s="1"/>
  <c r="V116" i="4" s="1"/>
  <c r="D46" i="11" s="1"/>
  <c r="U46" i="11" s="1"/>
  <c r="M112" i="22"/>
  <c r="M113" i="20"/>
  <c r="M115" i="4"/>
  <c r="Q115" i="4" s="1"/>
  <c r="V115" i="4" s="1"/>
  <c r="D45" i="11" s="1"/>
  <c r="U45" i="11" s="1"/>
  <c r="M111" i="22"/>
  <c r="M112" i="20"/>
  <c r="N36" i="6"/>
  <c r="T36" i="6" s="1"/>
  <c r="M35" i="22"/>
  <c r="T14" i="6"/>
  <c r="Y14" i="6" s="1"/>
  <c r="B73" i="11" s="1"/>
  <c r="S73" i="11" s="1"/>
  <c r="T156" i="6"/>
  <c r="Y156" i="6" s="1"/>
  <c r="F65" i="11" s="1"/>
  <c r="W65" i="11" s="1"/>
  <c r="Q58" i="4"/>
  <c r="V58" i="4" s="1"/>
  <c r="J38" i="11" s="1"/>
  <c r="AA38" i="11" s="1"/>
  <c r="M218" i="4"/>
  <c r="Q218" i="4" s="1"/>
  <c r="V218" i="4" s="1"/>
  <c r="H47" i="18" s="1"/>
  <c r="M210" i="22"/>
  <c r="Q210" i="22" s="1"/>
  <c r="V210" i="22" s="1"/>
  <c r="M211" i="20"/>
  <c r="N340" i="6"/>
  <c r="T340" i="6" s="1"/>
  <c r="Y340" i="6" s="1"/>
  <c r="J72" i="19" s="1"/>
  <c r="M331" i="22"/>
  <c r="M332" i="20"/>
  <c r="M197" i="4"/>
  <c r="Q197" i="4" s="1"/>
  <c r="V197" i="4" s="1"/>
  <c r="F51" i="18" s="1"/>
  <c r="U51" i="18" s="1"/>
  <c r="M190" i="22"/>
  <c r="M191" i="20"/>
  <c r="M79" i="4"/>
  <c r="Q79" i="4" s="1"/>
  <c r="V79" i="4" s="1"/>
  <c r="B33" i="18" s="1"/>
  <c r="M76" i="22"/>
  <c r="N95" i="6"/>
  <c r="T95" i="6" s="1"/>
  <c r="Y95" i="6" s="1"/>
  <c r="B78" i="18" s="1"/>
  <c r="Q78" i="18" s="1"/>
  <c r="Y78" i="18" s="1"/>
  <c r="M92" i="22"/>
  <c r="M93" i="20"/>
  <c r="M351" i="22"/>
  <c r="M352" i="20"/>
  <c r="N233" i="6"/>
  <c r="U233" i="6" s="1"/>
  <c r="M224" i="22"/>
  <c r="M225" i="20"/>
  <c r="T128" i="6"/>
  <c r="Y128" i="6" s="1"/>
  <c r="D61" i="18" s="1"/>
  <c r="S61" i="18" s="1"/>
  <c r="T132" i="6"/>
  <c r="Y132" i="6" s="1"/>
  <c r="D65" i="18" s="1"/>
  <c r="S65" i="18" s="1"/>
  <c r="M79" i="22"/>
  <c r="Q79" i="22" s="1"/>
  <c r="V79" i="22" s="1"/>
  <c r="M80" i="20"/>
  <c r="T281" i="6"/>
  <c r="Y281" i="6" s="1"/>
  <c r="F63" i="19" s="1"/>
  <c r="Q178" i="20"/>
  <c r="V178" i="20" s="1"/>
  <c r="Q224" i="20"/>
  <c r="V224" i="20" s="1"/>
  <c r="Q299" i="20"/>
  <c r="V299" i="20" s="1"/>
  <c r="Q125" i="20"/>
  <c r="V125" i="20" s="1"/>
  <c r="Q207" i="22"/>
  <c r="V207" i="22" s="1"/>
  <c r="Q128" i="20"/>
  <c r="V128" i="20" s="1"/>
  <c r="Q254" i="22"/>
  <c r="V254" i="22" s="1"/>
  <c r="Q162" i="22"/>
  <c r="V162" i="22" s="1"/>
  <c r="Q151" i="20"/>
  <c r="V151" i="20" s="1"/>
  <c r="Q158" i="22"/>
  <c r="V158" i="22" s="1"/>
  <c r="V23" i="20"/>
  <c r="Q264" i="22"/>
  <c r="V264" i="22" s="1"/>
  <c r="Q166" i="20"/>
  <c r="V166" i="20" s="1"/>
  <c r="Q321" i="22"/>
  <c r="V321" i="22" s="1"/>
  <c r="Q231" i="20"/>
  <c r="V231" i="20" s="1"/>
  <c r="Q236" i="20"/>
  <c r="V236" i="20" s="1"/>
  <c r="Q363" i="20"/>
  <c r="V363" i="20" s="1"/>
  <c r="Q204" i="20"/>
  <c r="V204" i="20" s="1"/>
  <c r="Q188" i="22"/>
  <c r="V188" i="22" s="1"/>
  <c r="Q83" i="20"/>
  <c r="V83" i="20" s="1"/>
  <c r="Q247" i="20"/>
  <c r="V247" i="20" s="1"/>
  <c r="Q356" i="20"/>
  <c r="V356" i="20" s="1"/>
  <c r="Q251" i="20"/>
  <c r="V251" i="20" s="1"/>
  <c r="Q180" i="22"/>
  <c r="V180" i="22" s="1"/>
  <c r="Q35" i="20"/>
  <c r="V35" i="20" s="1"/>
  <c r="Q29" i="20"/>
  <c r="V29" i="20" s="1"/>
  <c r="T4" i="6"/>
  <c r="Y4" i="6" s="1"/>
  <c r="B63" i="11" s="1"/>
  <c r="S63" i="11" s="1"/>
  <c r="Q44" i="22"/>
  <c r="V44" i="22" s="1"/>
  <c r="Q288" i="20"/>
  <c r="V288" i="20" s="1"/>
  <c r="Q227" i="20"/>
  <c r="V227" i="20" s="1"/>
  <c r="Q88" i="22"/>
  <c r="V88" i="22" s="1"/>
  <c r="Q346" i="20"/>
  <c r="V346" i="20" s="1"/>
  <c r="Q162" i="20"/>
  <c r="V162" i="20" s="1"/>
  <c r="Q22" i="20"/>
  <c r="V22" i="20" s="1"/>
  <c r="Q279" i="22"/>
  <c r="V279" i="22" s="1"/>
  <c r="Q257" i="22"/>
  <c r="V257" i="22" s="1"/>
  <c r="Q364" i="22"/>
  <c r="V364" i="22" s="1"/>
  <c r="Q350" i="22"/>
  <c r="V350" i="22" s="1"/>
  <c r="Q141" i="22"/>
  <c r="V141" i="22" s="1"/>
  <c r="Q135" i="22"/>
  <c r="V135" i="22" s="1"/>
  <c r="Q270" i="22"/>
  <c r="V270" i="22" s="1"/>
  <c r="Q187" i="22"/>
  <c r="V187" i="22" s="1"/>
  <c r="Q144" i="20"/>
  <c r="V144" i="20" s="1"/>
  <c r="Q259" i="22"/>
  <c r="V259" i="22" s="1"/>
  <c r="Q161" i="20"/>
  <c r="V161" i="20" s="1"/>
  <c r="Q239" i="22"/>
  <c r="V239" i="22" s="1"/>
  <c r="Q46" i="20"/>
  <c r="V46" i="20" s="1"/>
  <c r="Q338" i="22"/>
  <c r="V338" i="22" s="1"/>
  <c r="Q237" i="20"/>
  <c r="V237" i="20" s="1"/>
  <c r="Q53" i="20"/>
  <c r="V53" i="20" s="1"/>
  <c r="Q291" i="2"/>
  <c r="R291" i="2" s="1"/>
  <c r="N283" i="22"/>
  <c r="N284" i="20"/>
  <c r="Q58" i="2"/>
  <c r="R58" i="2" s="1"/>
  <c r="N57" i="22"/>
  <c r="N58" i="20"/>
  <c r="Q216" i="2"/>
  <c r="R216" i="2" s="1"/>
  <c r="N209" i="22"/>
  <c r="N210" i="20"/>
  <c r="Q243" i="2"/>
  <c r="R243" i="2" s="1"/>
  <c r="N235" i="22"/>
  <c r="R235" i="22" s="1"/>
  <c r="N236" i="20"/>
  <c r="R236" i="20" s="1"/>
  <c r="Q242" i="2"/>
  <c r="R242" i="2" s="1"/>
  <c r="N234" i="22"/>
  <c r="R234" i="22" s="1"/>
  <c r="N235" i="20"/>
  <c r="R235" i="20" s="1"/>
  <c r="Q288" i="2"/>
  <c r="R288" i="2" s="1"/>
  <c r="N280" i="22"/>
  <c r="R280" i="22" s="1"/>
  <c r="N281" i="20"/>
  <c r="R281" i="20" s="1"/>
  <c r="Q183" i="2"/>
  <c r="R183" i="2" s="1"/>
  <c r="N177" i="22"/>
  <c r="R177" i="22" s="1"/>
  <c r="N178" i="20"/>
  <c r="R178" i="20" s="1"/>
  <c r="Q132" i="2"/>
  <c r="R132" i="2" s="1"/>
  <c r="N128" i="22"/>
  <c r="N129" i="20"/>
  <c r="Q105" i="2"/>
  <c r="R105" i="2" s="1"/>
  <c r="N102" i="22"/>
  <c r="R102" i="22" s="1"/>
  <c r="N103" i="20"/>
  <c r="R103" i="20" s="1"/>
  <c r="Q343" i="2"/>
  <c r="R343" i="2" s="1"/>
  <c r="N335" i="22"/>
  <c r="R335" i="22" s="1"/>
  <c r="N336" i="20"/>
  <c r="R336" i="20" s="1"/>
  <c r="Q222" i="2"/>
  <c r="R222" i="2" s="1"/>
  <c r="N215" i="22"/>
  <c r="R215" i="22" s="1"/>
  <c r="N216" i="20"/>
  <c r="R216" i="20" s="1"/>
  <c r="Q367" i="2"/>
  <c r="R367" i="2" s="1"/>
  <c r="N359" i="22"/>
  <c r="N360" i="20"/>
  <c r="Q187" i="2"/>
  <c r="R187" i="2" s="1"/>
  <c r="N181" i="22"/>
  <c r="R181" i="22" s="1"/>
  <c r="N182" i="20"/>
  <c r="R182" i="20" s="1"/>
  <c r="Q220" i="2"/>
  <c r="R220" i="2" s="1"/>
  <c r="N213" i="22"/>
  <c r="R213" i="22" s="1"/>
  <c r="N214" i="20"/>
  <c r="R214" i="20" s="1"/>
  <c r="Q358" i="2"/>
  <c r="R358" i="2" s="1"/>
  <c r="N350" i="22"/>
  <c r="R350" i="22" s="1"/>
  <c r="N351" i="20"/>
  <c r="R351" i="20" s="1"/>
  <c r="Q66" i="2"/>
  <c r="R66" i="2" s="1"/>
  <c r="N65" i="22"/>
  <c r="R65" i="22" s="1"/>
  <c r="N66" i="20"/>
  <c r="R66" i="20" s="1"/>
  <c r="Q32" i="2"/>
  <c r="R32" i="2" s="1"/>
  <c r="N32" i="22"/>
  <c r="Q53" i="2"/>
  <c r="R53" i="2" s="1"/>
  <c r="N52" i="22"/>
  <c r="R52" i="22" s="1"/>
  <c r="R53" i="20"/>
  <c r="Q33" i="2"/>
  <c r="R33" i="2" s="1"/>
  <c r="N33" i="22"/>
  <c r="Q227" i="2"/>
  <c r="R227" i="2" s="1"/>
  <c r="N219" i="22"/>
  <c r="R219" i="22" s="1"/>
  <c r="N220" i="20"/>
  <c r="R220" i="20" s="1"/>
  <c r="Q93" i="2"/>
  <c r="R93" i="2" s="1"/>
  <c r="N91" i="22"/>
  <c r="R91" i="22" s="1"/>
  <c r="N92" i="20"/>
  <c r="R92" i="20" s="1"/>
  <c r="Q213" i="2"/>
  <c r="R213" i="2" s="1"/>
  <c r="N206" i="22"/>
  <c r="R206" i="22" s="1"/>
  <c r="N207" i="20"/>
  <c r="R207" i="20" s="1"/>
  <c r="Q320" i="2"/>
  <c r="R320" i="2" s="1"/>
  <c r="N312" i="22"/>
  <c r="N313" i="20"/>
  <c r="Q341" i="2"/>
  <c r="R341" i="2" s="1"/>
  <c r="N333" i="22"/>
  <c r="R333" i="22" s="1"/>
  <c r="N334" i="20"/>
  <c r="R334" i="20" s="1"/>
  <c r="Q79" i="2"/>
  <c r="R79" i="2" s="1"/>
  <c r="N77" i="22"/>
  <c r="N78" i="20"/>
  <c r="Q259" i="2"/>
  <c r="R259" i="2" s="1"/>
  <c r="N251" i="22"/>
  <c r="R251" i="22" s="1"/>
  <c r="N252" i="20"/>
  <c r="R252" i="20" s="1"/>
  <c r="Q194" i="2"/>
  <c r="R194" i="2" s="1"/>
  <c r="N188" i="22"/>
  <c r="R188" i="22" s="1"/>
  <c r="N189" i="20"/>
  <c r="R189" i="20" s="1"/>
  <c r="Q114" i="2"/>
  <c r="R114" i="2" s="1"/>
  <c r="N111" i="22"/>
  <c r="N112" i="20"/>
  <c r="Q117" i="2"/>
  <c r="R117" i="2" s="1"/>
  <c r="N114" i="22"/>
  <c r="N115" i="20"/>
  <c r="Q155" i="2"/>
  <c r="R155" i="2" s="1"/>
  <c r="N150" i="22"/>
  <c r="R150" i="22" s="1"/>
  <c r="N151" i="20"/>
  <c r="R151" i="20" s="1"/>
  <c r="Q35" i="2"/>
  <c r="R35" i="2" s="1"/>
  <c r="N35" i="22"/>
  <c r="Q3" i="2"/>
  <c r="R3" i="2" s="1"/>
  <c r="N4" i="22"/>
  <c r="R4" i="22" s="1"/>
  <c r="N4" i="20"/>
  <c r="R4" i="20" s="1"/>
  <c r="Q56" i="2"/>
  <c r="R56" i="2" s="1"/>
  <c r="N55" i="22"/>
  <c r="R55" i="22" s="1"/>
  <c r="R56" i="20"/>
  <c r="Q238" i="2"/>
  <c r="R238" i="2" s="1"/>
  <c r="N230" i="22"/>
  <c r="R230" i="22" s="1"/>
  <c r="N231" i="20"/>
  <c r="R231" i="20" s="1"/>
  <c r="Q46" i="2"/>
  <c r="R46" i="2" s="1"/>
  <c r="N46" i="22"/>
  <c r="R46" i="22" s="1"/>
  <c r="R47" i="20"/>
  <c r="Q87" i="2"/>
  <c r="R87" i="2" s="1"/>
  <c r="N85" i="22"/>
  <c r="N86" i="20"/>
  <c r="Q142" i="2"/>
  <c r="R142" i="2" s="1"/>
  <c r="N138" i="22"/>
  <c r="R138" i="22" s="1"/>
  <c r="N139" i="20"/>
  <c r="R139" i="20" s="1"/>
  <c r="Q115" i="2"/>
  <c r="R115" i="2" s="1"/>
  <c r="N112" i="22"/>
  <c r="N113" i="20"/>
  <c r="Q309" i="2"/>
  <c r="R309" i="2" s="1"/>
  <c r="N301" i="22"/>
  <c r="R301" i="22" s="1"/>
  <c r="N302" i="20"/>
  <c r="R302" i="20" s="1"/>
  <c r="Q96" i="2"/>
  <c r="R96" i="2" s="1"/>
  <c r="N94" i="22"/>
  <c r="N95" i="20"/>
  <c r="Q283" i="2"/>
  <c r="R283" i="2" s="1"/>
  <c r="N275" i="22"/>
  <c r="N276" i="20"/>
  <c r="Q70" i="2"/>
  <c r="R70" i="2" s="1"/>
  <c r="N69" i="22"/>
  <c r="R69" i="22" s="1"/>
  <c r="N70" i="20"/>
  <c r="R70" i="20" s="1"/>
  <c r="Q172" i="2"/>
  <c r="R172" i="2" s="1"/>
  <c r="N167" i="22"/>
  <c r="R167" i="22" s="1"/>
  <c r="N168" i="20"/>
  <c r="R168" i="20" s="1"/>
  <c r="Q134" i="2"/>
  <c r="R134" i="2" s="1"/>
  <c r="N130" i="22"/>
  <c r="R130" i="22" s="1"/>
  <c r="N131" i="20"/>
  <c r="R131" i="20" s="1"/>
  <c r="Q36" i="2"/>
  <c r="R36" i="2" s="1"/>
  <c r="N36" i="22"/>
  <c r="R36" i="22" s="1"/>
  <c r="R37" i="20"/>
  <c r="M108" i="4"/>
  <c r="Q108" i="4" s="1"/>
  <c r="V108" i="4" s="1"/>
  <c r="D38" i="11" s="1"/>
  <c r="U38" i="11" s="1"/>
  <c r="M104" i="22"/>
  <c r="M105" i="20"/>
  <c r="Q105" i="20" s="1"/>
  <c r="V105" i="20" s="1"/>
  <c r="T245" i="6"/>
  <c r="Y245" i="6" s="1"/>
  <c r="B77" i="19" s="1"/>
  <c r="M169" i="4"/>
  <c r="Q169" i="4" s="1"/>
  <c r="V169" i="4" s="1"/>
  <c r="F49" i="11" s="1"/>
  <c r="W49" i="11" s="1"/>
  <c r="M163" i="22"/>
  <c r="M164" i="20"/>
  <c r="N119" i="6"/>
  <c r="T119" i="6" s="1"/>
  <c r="Y119" i="6" s="1"/>
  <c r="D78" i="11" s="1"/>
  <c r="U78" i="11" s="1"/>
  <c r="M115" i="22"/>
  <c r="M116" i="20"/>
  <c r="T173" i="6"/>
  <c r="Y173" i="6" s="1"/>
  <c r="F82" i="11" s="1"/>
  <c r="W82" i="11" s="1"/>
  <c r="M162" i="4"/>
  <c r="Q162" i="4" s="1"/>
  <c r="V162" i="4" s="1"/>
  <c r="F42" i="11" s="1"/>
  <c r="W42" i="11" s="1"/>
  <c r="M156" i="22"/>
  <c r="M157" i="20"/>
  <c r="M241" i="4"/>
  <c r="Q241" i="4" s="1"/>
  <c r="V241" i="4" s="1"/>
  <c r="B45" i="19" s="1"/>
  <c r="M232" i="22"/>
  <c r="M233" i="20"/>
  <c r="M63" i="4"/>
  <c r="Q63" i="4" s="1"/>
  <c r="V63" i="4" s="1"/>
  <c r="J43" i="11" s="1"/>
  <c r="AA43" i="11" s="1"/>
  <c r="M61" i="22"/>
  <c r="M62" i="20"/>
  <c r="M28" i="4"/>
  <c r="Q28" i="4" s="1"/>
  <c r="V28" i="4" s="1"/>
  <c r="H33" i="11" s="1"/>
  <c r="Y33" i="11" s="1"/>
  <c r="M27" i="22"/>
  <c r="M40" i="4"/>
  <c r="Q40" i="4" s="1"/>
  <c r="V40" i="4" s="1"/>
  <c r="H45" i="11" s="1"/>
  <c r="Y45" i="11" s="1"/>
  <c r="M39" i="22"/>
  <c r="M109" i="4"/>
  <c r="Q109" i="4" s="1"/>
  <c r="V109" i="4" s="1"/>
  <c r="D39" i="11" s="1"/>
  <c r="U39" i="11" s="1"/>
  <c r="M105" i="22"/>
  <c r="M106" i="20"/>
  <c r="Q111" i="4"/>
  <c r="V111" i="4" s="1"/>
  <c r="D41" i="11" s="1"/>
  <c r="U41" i="11" s="1"/>
  <c r="T319" i="6"/>
  <c r="Y319" i="6" s="1"/>
  <c r="H76" i="19" s="1"/>
  <c r="T342" i="6"/>
  <c r="Y342" i="6" s="1"/>
  <c r="J74" i="19" s="1"/>
  <c r="Q322" i="4"/>
  <c r="V322" i="4" s="1"/>
  <c r="H51" i="19" s="1"/>
  <c r="T256" i="6"/>
  <c r="Y256" i="6" s="1"/>
  <c r="D63" i="19" s="1"/>
  <c r="Q220" i="4"/>
  <c r="V220" i="4" s="1"/>
  <c r="H49" i="18" s="1"/>
  <c r="W49" i="18" s="1"/>
  <c r="M253" i="4"/>
  <c r="Q253" i="4" s="1"/>
  <c r="V253" i="4" s="1"/>
  <c r="D32" i="19" s="1"/>
  <c r="M244" i="22"/>
  <c r="M245" i="20"/>
  <c r="M217" i="4"/>
  <c r="Q217" i="4" s="1"/>
  <c r="V217" i="4" s="1"/>
  <c r="H46" i="18" s="1"/>
  <c r="W46" i="18" s="1"/>
  <c r="M209" i="22"/>
  <c r="M210" i="20"/>
  <c r="M126" i="22"/>
  <c r="M127" i="20"/>
  <c r="T258" i="6"/>
  <c r="Y258" i="6" s="1"/>
  <c r="D65" i="19" s="1"/>
  <c r="Q177" i="22"/>
  <c r="V177" i="22" s="1"/>
  <c r="Q223" i="22"/>
  <c r="V223" i="22" s="1"/>
  <c r="Q298" i="22"/>
  <c r="V298" i="22" s="1"/>
  <c r="Q124" i="22"/>
  <c r="V124" i="22" s="1"/>
  <c r="Q307" i="20"/>
  <c r="V307" i="20" s="1"/>
  <c r="Q127" i="22"/>
  <c r="V127" i="22" s="1"/>
  <c r="Q197" i="20"/>
  <c r="V197" i="20" s="1"/>
  <c r="Q196" i="20"/>
  <c r="V196" i="20" s="1"/>
  <c r="Q150" i="22"/>
  <c r="V150" i="22" s="1"/>
  <c r="Q30" i="20"/>
  <c r="V30" i="20" s="1"/>
  <c r="Q23" i="22"/>
  <c r="V23" i="22" s="1"/>
  <c r="Q66" i="20"/>
  <c r="V66" i="20" s="1"/>
  <c r="Q230" i="22"/>
  <c r="V230" i="22" s="1"/>
  <c r="Q303" i="20"/>
  <c r="V303" i="20" s="1"/>
  <c r="Q235" i="22"/>
  <c r="V235" i="22" s="1"/>
  <c r="Q362" i="22"/>
  <c r="V362" i="22" s="1"/>
  <c r="Q203" i="22"/>
  <c r="V203" i="22" s="1"/>
  <c r="Q190" i="20"/>
  <c r="V190" i="20" s="1"/>
  <c r="Q212" i="20"/>
  <c r="V212" i="20" s="1"/>
  <c r="Q82" i="22"/>
  <c r="V82" i="22" s="1"/>
  <c r="Q246" i="22"/>
  <c r="V246" i="22" s="1"/>
  <c r="Q355" i="22"/>
  <c r="V355" i="22" s="1"/>
  <c r="Q250" i="22"/>
  <c r="V250" i="22" s="1"/>
  <c r="Q34" i="22"/>
  <c r="V34" i="22" s="1"/>
  <c r="Q286" i="20"/>
  <c r="V286" i="20" s="1"/>
  <c r="T7" i="6"/>
  <c r="Y7" i="6" s="1"/>
  <c r="B66" i="11" s="1"/>
  <c r="S66" i="11" s="1"/>
  <c r="Q28" i="22"/>
  <c r="V28" i="22" s="1"/>
  <c r="Q315" i="20"/>
  <c r="V315" i="20" s="1"/>
  <c r="Q287" i="22"/>
  <c r="V287" i="22" s="1"/>
  <c r="Q20" i="20"/>
  <c r="V20" i="20" s="1"/>
  <c r="Q226" i="22"/>
  <c r="V226" i="22" s="1"/>
  <c r="Q349" i="20"/>
  <c r="V349" i="20" s="1"/>
  <c r="Q345" i="22"/>
  <c r="V345" i="22" s="1"/>
  <c r="Q22" i="22"/>
  <c r="V22" i="22" s="1"/>
  <c r="Q282" i="20"/>
  <c r="V282" i="20" s="1"/>
  <c r="Q103" i="20"/>
  <c r="V103" i="20" s="1"/>
  <c r="Q328" i="20"/>
  <c r="V328" i="20" s="1"/>
  <c r="Q326" i="20"/>
  <c r="V326" i="20" s="1"/>
  <c r="Q131" i="20"/>
  <c r="V131" i="20" s="1"/>
  <c r="Q323" i="20"/>
  <c r="V323" i="20" s="1"/>
  <c r="Q274" i="20"/>
  <c r="V274" i="20" s="1"/>
  <c r="Q221" i="20"/>
  <c r="V221" i="20" s="1"/>
  <c r="Q330" i="20"/>
  <c r="V330" i="20" s="1"/>
  <c r="Q143" i="22"/>
  <c r="V143" i="22" s="1"/>
  <c r="Q206" i="20"/>
  <c r="V206" i="20" s="1"/>
  <c r="Q160" i="22"/>
  <c r="V160" i="22" s="1"/>
  <c r="Q54" i="20"/>
  <c r="V54" i="20" s="1"/>
  <c r="Q45" i="22"/>
  <c r="V45" i="22" s="1"/>
  <c r="Q118" i="20"/>
  <c r="V118" i="20" s="1"/>
  <c r="Q236" i="22"/>
  <c r="V236" i="22" s="1"/>
  <c r="Q52" i="22"/>
  <c r="V52" i="22" s="1"/>
  <c r="Q166" i="2"/>
  <c r="R166" i="2" s="1"/>
  <c r="N161" i="22"/>
  <c r="R161" i="22" s="1"/>
  <c r="N162" i="20"/>
  <c r="R162" i="20" s="1"/>
  <c r="Q188" i="2"/>
  <c r="R188" i="2" s="1"/>
  <c r="N182" i="22"/>
  <c r="N183" i="20"/>
  <c r="Q41" i="2"/>
  <c r="R41" i="2" s="1"/>
  <c r="N41" i="22"/>
  <c r="Q89" i="2"/>
  <c r="R89" i="2" s="1"/>
  <c r="N87" i="22"/>
  <c r="N88" i="20"/>
  <c r="Q4" i="2"/>
  <c r="R4" i="2" s="1"/>
  <c r="N5" i="22"/>
  <c r="N5" i="20"/>
  <c r="Q107" i="2"/>
  <c r="R107" i="2" s="1"/>
  <c r="N104" i="22"/>
  <c r="N105" i="20"/>
  <c r="Q361" i="2"/>
  <c r="R361" i="2" s="1"/>
  <c r="N353" i="22"/>
  <c r="R353" i="22" s="1"/>
  <c r="N354" i="20"/>
  <c r="R354" i="20" s="1"/>
  <c r="Q82" i="2"/>
  <c r="R82" i="2" s="1"/>
  <c r="N80" i="22"/>
  <c r="N81" i="20"/>
  <c r="Q255" i="2"/>
  <c r="R255" i="2" s="1"/>
  <c r="N247" i="22"/>
  <c r="R247" i="22" s="1"/>
  <c r="N248" i="20"/>
  <c r="R248" i="20" s="1"/>
  <c r="Q61" i="2"/>
  <c r="R61" i="2" s="1"/>
  <c r="N60" i="22"/>
  <c r="N61" i="20"/>
  <c r="Q217" i="2"/>
  <c r="R217" i="2" s="1"/>
  <c r="N210" i="22"/>
  <c r="N211" i="20"/>
  <c r="Q365" i="2"/>
  <c r="R365" i="2" s="1"/>
  <c r="N357" i="22"/>
  <c r="R357" i="22" s="1"/>
  <c r="N358" i="20"/>
  <c r="R358" i="20" s="1"/>
  <c r="Q278" i="2"/>
  <c r="R278" i="2" s="1"/>
  <c r="N270" i="22"/>
  <c r="R270" i="22" s="1"/>
  <c r="N271" i="20"/>
  <c r="R271" i="20" s="1"/>
  <c r="Q140" i="2"/>
  <c r="R140" i="2" s="1"/>
  <c r="N136" i="22"/>
  <c r="N137" i="20"/>
  <c r="Q332" i="2"/>
  <c r="R332" i="2" s="1"/>
  <c r="N324" i="22"/>
  <c r="N325" i="20"/>
  <c r="Q162" i="2"/>
  <c r="R162" i="2" s="1"/>
  <c r="N157" i="22"/>
  <c r="R157" i="22" s="1"/>
  <c r="N158" i="20"/>
  <c r="R158" i="20" s="1"/>
  <c r="Q203" i="2"/>
  <c r="R203" i="2" s="1"/>
  <c r="N196" i="22"/>
  <c r="R196" i="22" s="1"/>
  <c r="N197" i="20"/>
  <c r="R197" i="20" s="1"/>
  <c r="Q329" i="2"/>
  <c r="R329" i="2" s="1"/>
  <c r="N321" i="22"/>
  <c r="R321" i="22" s="1"/>
  <c r="N322" i="20"/>
  <c r="R322" i="20" s="1"/>
  <c r="Q266" i="2"/>
  <c r="R266" i="2" s="1"/>
  <c r="N258" i="22"/>
  <c r="R258" i="22" s="1"/>
  <c r="N259" i="20"/>
  <c r="R259" i="20" s="1"/>
  <c r="Q116" i="2"/>
  <c r="R116" i="2" s="1"/>
  <c r="N113" i="22"/>
  <c r="N114" i="20"/>
  <c r="Q310" i="2"/>
  <c r="R310" i="2" s="1"/>
  <c r="N302" i="22"/>
  <c r="R302" i="22" s="1"/>
  <c r="N303" i="20"/>
  <c r="R303" i="20" s="1"/>
  <c r="Q86" i="2"/>
  <c r="R86" i="2" s="1"/>
  <c r="N84" i="22"/>
  <c r="R84" i="22" s="1"/>
  <c r="N85" i="20"/>
  <c r="R85" i="20" s="1"/>
  <c r="Q295" i="2"/>
  <c r="R295" i="2" s="1"/>
  <c r="N287" i="22"/>
  <c r="R287" i="22" s="1"/>
  <c r="N288" i="20"/>
  <c r="R288" i="20" s="1"/>
  <c r="Q333" i="2"/>
  <c r="R333" i="2" s="1"/>
  <c r="N325" i="22"/>
  <c r="R325" i="22" s="1"/>
  <c r="N326" i="20"/>
  <c r="R326" i="20" s="1"/>
  <c r="Q321" i="2"/>
  <c r="R321" i="2" s="1"/>
  <c r="N313" i="22"/>
  <c r="R313" i="22" s="1"/>
  <c r="N314" i="20"/>
  <c r="R314" i="20" s="1"/>
  <c r="Q230" i="2"/>
  <c r="R230" i="2" s="1"/>
  <c r="N222" i="22"/>
  <c r="R222" i="22" s="1"/>
  <c r="N223" i="20"/>
  <c r="R223" i="20" s="1"/>
  <c r="Q302" i="2"/>
  <c r="R302" i="2" s="1"/>
  <c r="N294" i="22"/>
  <c r="R294" i="22" s="1"/>
  <c r="N295" i="20"/>
  <c r="R295" i="20" s="1"/>
  <c r="Q17" i="2"/>
  <c r="R17" i="2" s="1"/>
  <c r="N18" i="22"/>
  <c r="N18" i="20"/>
  <c r="Q236" i="2"/>
  <c r="R236" i="2" s="1"/>
  <c r="N228" i="22"/>
  <c r="R228" i="22" s="1"/>
  <c r="N229" i="20"/>
  <c r="R229" i="20" s="1"/>
  <c r="Q305" i="2"/>
  <c r="R305" i="2" s="1"/>
  <c r="N297" i="22"/>
  <c r="R297" i="22" s="1"/>
  <c r="N298" i="20"/>
  <c r="R298" i="20" s="1"/>
  <c r="Q52" i="2"/>
  <c r="R52" i="2" s="1"/>
  <c r="N51" i="22"/>
  <c r="R51" i="22" s="1"/>
  <c r="R52" i="20"/>
  <c r="Q141" i="2"/>
  <c r="R141" i="2" s="1"/>
  <c r="N137" i="22"/>
  <c r="N138" i="20"/>
  <c r="Q84" i="2"/>
  <c r="R84" i="2" s="1"/>
  <c r="N82" i="22"/>
  <c r="R82" i="22" s="1"/>
  <c r="N83" i="20"/>
  <c r="R83" i="20" s="1"/>
  <c r="Q103" i="2"/>
  <c r="R103" i="2" s="1"/>
  <c r="N100" i="22"/>
  <c r="N101" i="20"/>
  <c r="T73" i="6"/>
  <c r="Y73" i="6" s="1"/>
  <c r="J82" i="11" s="1"/>
  <c r="AA82" i="11" s="1"/>
  <c r="Q46" i="4"/>
  <c r="V46" i="4" s="1"/>
  <c r="H51" i="11" s="1"/>
  <c r="Y51" i="11" s="1"/>
  <c r="N341" i="6"/>
  <c r="T341" i="6" s="1"/>
  <c r="Y341" i="6" s="1"/>
  <c r="J73" i="19" s="1"/>
  <c r="M332" i="22"/>
  <c r="M333" i="20"/>
  <c r="M12" i="4"/>
  <c r="M12" i="22"/>
  <c r="M12" i="20"/>
  <c r="M21" i="4"/>
  <c r="M21" i="22"/>
  <c r="M21" i="20"/>
  <c r="M8" i="4"/>
  <c r="M8" i="22"/>
  <c r="M8" i="20"/>
  <c r="M72" i="4"/>
  <c r="Q72" i="4" s="1"/>
  <c r="V72" i="4" s="1"/>
  <c r="J52" i="11" s="1"/>
  <c r="AA52" i="11" s="1"/>
  <c r="M70" i="22"/>
  <c r="M71" i="20"/>
  <c r="N154" i="6"/>
  <c r="T154" i="6" s="1"/>
  <c r="Y154" i="6" s="1"/>
  <c r="F63" i="11" s="1"/>
  <c r="W63" i="11" s="1"/>
  <c r="M148" i="22"/>
  <c r="M149" i="20"/>
  <c r="T273" i="6"/>
  <c r="Y273" i="6" s="1"/>
  <c r="D80" i="19" s="1"/>
  <c r="T66" i="6"/>
  <c r="Y66" i="6" s="1"/>
  <c r="J75" i="11" s="1"/>
  <c r="AA75" i="11" s="1"/>
  <c r="M174" i="22"/>
  <c r="M175" i="20"/>
  <c r="M89" i="4"/>
  <c r="Q89" i="4" s="1"/>
  <c r="V89" i="4" s="1"/>
  <c r="B43" i="18" s="1"/>
  <c r="Q43" i="18" s="1"/>
  <c r="M86" i="22"/>
  <c r="M87" i="20"/>
  <c r="M254" i="4"/>
  <c r="Q254" i="4" s="1"/>
  <c r="V254" i="4" s="1"/>
  <c r="D33" i="19" s="1"/>
  <c r="M245" i="22"/>
  <c r="M246" i="20"/>
  <c r="N133" i="6"/>
  <c r="T133" i="6" s="1"/>
  <c r="Y133" i="6" s="1"/>
  <c r="D66" i="18" s="1"/>
  <c r="S66" i="18" s="1"/>
  <c r="M128" i="22"/>
  <c r="M129" i="20"/>
  <c r="N84" i="6"/>
  <c r="T84" i="6" s="1"/>
  <c r="Y84" i="6" s="1"/>
  <c r="B67" i="18" s="1"/>
  <c r="Q67" i="18" s="1"/>
  <c r="M81" i="22"/>
  <c r="M82" i="20"/>
  <c r="T336" i="6"/>
  <c r="Y336" i="6" s="1"/>
  <c r="J68" i="19" s="1"/>
  <c r="N90" i="6"/>
  <c r="T90" i="6" s="1"/>
  <c r="Y90" i="6" s="1"/>
  <c r="B73" i="18" s="1"/>
  <c r="Q73" i="18" s="1"/>
  <c r="M87" i="22"/>
  <c r="Q87" i="22" s="1"/>
  <c r="V87" i="22" s="1"/>
  <c r="M88" i="20"/>
  <c r="M190" i="4"/>
  <c r="Q190" i="4" s="1"/>
  <c r="V190" i="4" s="1"/>
  <c r="F44" i="18" s="1"/>
  <c r="U44" i="18" s="1"/>
  <c r="M183" i="22"/>
  <c r="M184" i="20"/>
  <c r="T137" i="6"/>
  <c r="Y137" i="6" s="1"/>
  <c r="D70" i="18" s="1"/>
  <c r="S70" i="18" s="1"/>
  <c r="Y70" i="18" s="1"/>
  <c r="T143" i="6"/>
  <c r="Y143" i="6" s="1"/>
  <c r="D76" i="18" s="1"/>
  <c r="S76" i="18" s="1"/>
  <c r="N361" i="6"/>
  <c r="T361" i="6" s="1"/>
  <c r="Y361" i="6" s="1"/>
  <c r="L68" i="19" s="1"/>
  <c r="M352" i="22"/>
  <c r="M353" i="20"/>
  <c r="Q87" i="4"/>
  <c r="V87" i="4" s="1"/>
  <c r="B41" i="18" s="1"/>
  <c r="T91" i="6"/>
  <c r="Y91" i="6" s="1"/>
  <c r="B74" i="18" s="1"/>
  <c r="Q74" i="18" s="1"/>
  <c r="T180" i="6"/>
  <c r="Y180" i="6" s="1"/>
  <c r="F63" i="18" s="1"/>
  <c r="U63" i="18" s="1"/>
  <c r="Q20" i="4"/>
  <c r="V20" i="4" s="1"/>
  <c r="B50" i="11" s="1"/>
  <c r="S50" i="11" s="1"/>
  <c r="T290" i="6"/>
  <c r="Y290" i="6" s="1"/>
  <c r="F72" i="19" s="1"/>
  <c r="Q185" i="4"/>
  <c r="V185" i="4" s="1"/>
  <c r="F39" i="18" s="1"/>
  <c r="U39" i="18" s="1"/>
  <c r="Q278" i="20"/>
  <c r="V278" i="20" s="1"/>
  <c r="Q223" i="20"/>
  <c r="V223" i="20" s="1"/>
  <c r="Q248" i="20"/>
  <c r="V248" i="20" s="1"/>
  <c r="Q306" i="22"/>
  <c r="V306" i="22" s="1"/>
  <c r="Q124" i="20"/>
  <c r="V124" i="20" s="1"/>
  <c r="Q196" i="22"/>
  <c r="V196" i="22" s="1"/>
  <c r="Q195" i="22"/>
  <c r="V195" i="22" s="1"/>
  <c r="Q57" i="20"/>
  <c r="V57" i="20" s="1"/>
  <c r="Q29" i="22"/>
  <c r="V29" i="22" s="1"/>
  <c r="Q47" i="20"/>
  <c r="V47" i="20" s="1"/>
  <c r="Q65" i="22"/>
  <c r="V65" i="22" s="1"/>
  <c r="Q314" i="20"/>
  <c r="V314" i="20" s="1"/>
  <c r="Q52" i="20"/>
  <c r="V52" i="20" s="1"/>
  <c r="Q174" i="20"/>
  <c r="V174" i="20" s="1"/>
  <c r="Q302" i="22"/>
  <c r="V302" i="22" s="1"/>
  <c r="Q290" i="20"/>
  <c r="V290" i="20" s="1"/>
  <c r="Q211" i="22"/>
  <c r="V211" i="22" s="1"/>
  <c r="Q348" i="20"/>
  <c r="V348" i="20" s="1"/>
  <c r="Q140" i="20"/>
  <c r="V140" i="20" s="1"/>
  <c r="Q198" i="20"/>
  <c r="V198" i="20" s="1"/>
  <c r="Q306" i="20"/>
  <c r="V306" i="20" s="1"/>
  <c r="Q329" i="20"/>
  <c r="V329" i="20" s="1"/>
  <c r="Q362" i="20"/>
  <c r="V362" i="20" s="1"/>
  <c r="Q285" i="22"/>
  <c r="V285" i="22" s="1"/>
  <c r="Q283" i="20"/>
  <c r="V283" i="20" s="1"/>
  <c r="Q314" i="22"/>
  <c r="V314" i="22" s="1"/>
  <c r="Q152" i="20"/>
  <c r="V152" i="20" s="1"/>
  <c r="Q20" i="22"/>
  <c r="V20" i="22" s="1"/>
  <c r="Q348" i="22"/>
  <c r="V348" i="22" s="1"/>
  <c r="Q281" i="20"/>
  <c r="V281" i="20" s="1"/>
  <c r="Q56" i="20"/>
  <c r="V56" i="20" s="1"/>
  <c r="Q281" i="22"/>
  <c r="V281" i="22" s="1"/>
  <c r="Q179" i="20"/>
  <c r="V179" i="20" s="1"/>
  <c r="Q327" i="22"/>
  <c r="V327" i="22" s="1"/>
  <c r="Q263" i="20"/>
  <c r="V263" i="20" s="1"/>
  <c r="Q325" i="22"/>
  <c r="V325" i="22" s="1"/>
  <c r="Q130" i="22"/>
  <c r="V130" i="22" s="1"/>
  <c r="Q322" i="22"/>
  <c r="V322" i="22" s="1"/>
  <c r="Q273" i="22"/>
  <c r="V273" i="22" s="1"/>
  <c r="Q220" i="22"/>
  <c r="V220" i="22" s="1"/>
  <c r="Q329" i="22"/>
  <c r="V329" i="22" s="1"/>
  <c r="Q205" i="22"/>
  <c r="V205" i="22" s="1"/>
  <c r="Q108" i="20"/>
  <c r="V108" i="20" s="1"/>
  <c r="Q53" i="22"/>
  <c r="V53" i="22" s="1"/>
  <c r="Q72" i="20"/>
  <c r="V72" i="20" s="1"/>
  <c r="Q117" i="22"/>
  <c r="V117" i="22" s="1"/>
  <c r="Q338" i="20"/>
  <c r="V338" i="20" s="1"/>
  <c r="Q111" i="20"/>
  <c r="V111" i="20" s="1"/>
  <c r="Q9" i="4"/>
  <c r="V9" i="4" s="1"/>
  <c r="B39" i="11" s="1"/>
  <c r="S39" i="11" s="1"/>
  <c r="Q19" i="4"/>
  <c r="V19" i="4" s="1"/>
  <c r="B49" i="11" s="1"/>
  <c r="S49" i="11" s="1"/>
  <c r="T11" i="6"/>
  <c r="Y11" i="6" s="1"/>
  <c r="B70" i="11" s="1"/>
  <c r="S70" i="11" s="1"/>
  <c r="Q88" i="2"/>
  <c r="R88" i="2" s="1"/>
  <c r="N86" i="22"/>
  <c r="N87" i="20"/>
  <c r="Q7" i="2"/>
  <c r="R7" i="2" s="1"/>
  <c r="N8" i="22"/>
  <c r="N8" i="20"/>
  <c r="Q308" i="2"/>
  <c r="R308" i="2" s="1"/>
  <c r="N300" i="22"/>
  <c r="R300" i="22" s="1"/>
  <c r="N301" i="20"/>
  <c r="R301" i="20" s="1"/>
  <c r="Q191" i="2"/>
  <c r="R191" i="2" s="1"/>
  <c r="N185" i="22"/>
  <c r="R185" i="22" s="1"/>
  <c r="N186" i="20"/>
  <c r="R186" i="20" s="1"/>
  <c r="Q190" i="2"/>
  <c r="R190" i="2" s="1"/>
  <c r="N184" i="22"/>
  <c r="R184" i="22" s="1"/>
  <c r="N185" i="20"/>
  <c r="R185" i="20" s="1"/>
  <c r="Q234" i="2"/>
  <c r="R234" i="2" s="1"/>
  <c r="N226" i="22"/>
  <c r="R226" i="22" s="1"/>
  <c r="N227" i="20"/>
  <c r="R227" i="20" s="1"/>
  <c r="Q240" i="2"/>
  <c r="R240" i="2" s="1"/>
  <c r="N232" i="22"/>
  <c r="N233" i="20"/>
  <c r="Q202" i="2"/>
  <c r="R202" i="2" s="1"/>
  <c r="N195" i="22"/>
  <c r="R195" i="22" s="1"/>
  <c r="N196" i="20"/>
  <c r="R196" i="20" s="1"/>
  <c r="Q342" i="2"/>
  <c r="R342" i="2" s="1"/>
  <c r="N334" i="22"/>
  <c r="R334" i="22" s="1"/>
  <c r="N335" i="20"/>
  <c r="R335" i="20" s="1"/>
  <c r="Q108" i="2"/>
  <c r="R108" i="2" s="1"/>
  <c r="N105" i="22"/>
  <c r="N106" i="20"/>
  <c r="Q67" i="2"/>
  <c r="R67" i="2" s="1"/>
  <c r="N66" i="22"/>
  <c r="N67" i="20"/>
  <c r="Q28" i="2"/>
  <c r="R28" i="2" s="1"/>
  <c r="N28" i="22"/>
  <c r="R28" i="22" s="1"/>
  <c r="R29" i="20"/>
  <c r="Q14" i="2"/>
  <c r="R14" i="2" s="1"/>
  <c r="N15" i="22"/>
  <c r="R15" i="22" s="1"/>
  <c r="N15" i="20"/>
  <c r="R15" i="20" s="1"/>
  <c r="Q304" i="2"/>
  <c r="R304" i="2" s="1"/>
  <c r="N296" i="22"/>
  <c r="N297" i="20"/>
  <c r="Q9" i="2"/>
  <c r="R9" i="2" s="1"/>
  <c r="N10" i="22"/>
  <c r="N10" i="20"/>
  <c r="Q38" i="2"/>
  <c r="R38" i="2" s="1"/>
  <c r="N38" i="22"/>
  <c r="Q165" i="2"/>
  <c r="R165" i="2" s="1"/>
  <c r="N160" i="22"/>
  <c r="R160" i="22" s="1"/>
  <c r="N161" i="20"/>
  <c r="R161" i="20" s="1"/>
  <c r="Q171" i="2"/>
  <c r="R171" i="2" s="1"/>
  <c r="N166" i="22"/>
  <c r="R166" i="22" s="1"/>
  <c r="N167" i="20"/>
  <c r="R167" i="20" s="1"/>
  <c r="Q119" i="2"/>
  <c r="R119" i="2" s="1"/>
  <c r="N116" i="22"/>
  <c r="N117" i="20"/>
  <c r="Q181" i="2"/>
  <c r="R181" i="2" s="1"/>
  <c r="N175" i="22"/>
  <c r="N176" i="20"/>
  <c r="Q269" i="2"/>
  <c r="R269" i="2" s="1"/>
  <c r="N261" i="22"/>
  <c r="N262" i="20"/>
  <c r="Q319" i="2"/>
  <c r="R319" i="2" s="1"/>
  <c r="N311" i="22"/>
  <c r="N312" i="20"/>
  <c r="Q60" i="2"/>
  <c r="R60" i="2" s="1"/>
  <c r="N59" i="22"/>
  <c r="N60" i="20"/>
  <c r="Q177" i="2"/>
  <c r="R177" i="2" s="1"/>
  <c r="N171" i="22"/>
  <c r="R171" i="22" s="1"/>
  <c r="N172" i="20"/>
  <c r="R172" i="20" s="1"/>
  <c r="Q154" i="2"/>
  <c r="R154" i="2" s="1"/>
  <c r="N149" i="22"/>
  <c r="R149" i="22" s="1"/>
  <c r="N150" i="20"/>
  <c r="R150" i="20" s="1"/>
  <c r="Q20" i="2"/>
  <c r="R20" i="2" s="1"/>
  <c r="N21" i="22"/>
  <c r="N21" i="20"/>
  <c r="Q47" i="2"/>
  <c r="R47" i="2" s="1"/>
  <c r="N47" i="22"/>
  <c r="Q102" i="2"/>
  <c r="R102" i="2" s="1"/>
  <c r="N99" i="22"/>
  <c r="N100" i="20"/>
  <c r="Q286" i="2"/>
  <c r="R286" i="2" s="1"/>
  <c r="N278" i="22"/>
  <c r="R278" i="22" s="1"/>
  <c r="N279" i="20"/>
  <c r="R279" i="20" s="1"/>
  <c r="Q336" i="2"/>
  <c r="R336" i="2" s="1"/>
  <c r="N328" i="22"/>
  <c r="R328" i="22" s="1"/>
  <c r="N329" i="20"/>
  <c r="R329" i="20" s="1"/>
  <c r="Q221" i="2"/>
  <c r="R221" i="2" s="1"/>
  <c r="N214" i="22"/>
  <c r="R214" i="22" s="1"/>
  <c r="N215" i="20"/>
  <c r="R215" i="20" s="1"/>
  <c r="Q184" i="2"/>
  <c r="R184" i="2" s="1"/>
  <c r="N178" i="22"/>
  <c r="R178" i="22" s="1"/>
  <c r="N179" i="20"/>
  <c r="R179" i="20" s="1"/>
  <c r="Q297" i="2"/>
  <c r="R297" i="2" s="1"/>
  <c r="N289" i="22"/>
  <c r="R289" i="22" s="1"/>
  <c r="N290" i="20"/>
  <c r="R290" i="20" s="1"/>
  <c r="Q258" i="2"/>
  <c r="R258" i="2" s="1"/>
  <c r="N250" i="22"/>
  <c r="R250" i="22" s="1"/>
  <c r="N251" i="20"/>
  <c r="R251" i="20" s="1"/>
  <c r="Q65" i="2"/>
  <c r="R65" i="2" s="1"/>
  <c r="N64" i="22"/>
  <c r="R64" i="22" s="1"/>
  <c r="N65" i="20"/>
  <c r="R65" i="20" s="1"/>
  <c r="Q168" i="2"/>
  <c r="R168" i="2" s="1"/>
  <c r="N163" i="22"/>
  <c r="N164" i="20"/>
  <c r="Q303" i="2"/>
  <c r="R303" i="2" s="1"/>
  <c r="N295" i="22"/>
  <c r="N296" i="20"/>
  <c r="Q97" i="2"/>
  <c r="R97" i="2" s="1"/>
  <c r="N95" i="22"/>
  <c r="N96" i="20"/>
  <c r="Q263" i="2"/>
  <c r="R263" i="2" s="1"/>
  <c r="N255" i="22"/>
  <c r="R255" i="22" s="1"/>
  <c r="N256" i="20"/>
  <c r="R256" i="20" s="1"/>
  <c r="Q63" i="2"/>
  <c r="R63" i="2" s="1"/>
  <c r="N62" i="22"/>
  <c r="N63" i="20"/>
  <c r="Q322" i="2"/>
  <c r="R322" i="2" s="1"/>
  <c r="N314" i="22"/>
  <c r="R314" i="22" s="1"/>
  <c r="N315" i="20"/>
  <c r="R315" i="20" s="1"/>
  <c r="M106" i="22"/>
  <c r="Q106" i="22" s="1"/>
  <c r="V106" i="22" s="1"/>
  <c r="M107" i="20"/>
  <c r="M283" i="22"/>
  <c r="M284" i="20"/>
  <c r="M62" i="4"/>
  <c r="Q62" i="4" s="1"/>
  <c r="V62" i="4" s="1"/>
  <c r="J42" i="11" s="1"/>
  <c r="AA42" i="11" s="1"/>
  <c r="M60" i="22"/>
  <c r="M61" i="20"/>
  <c r="M321" i="4"/>
  <c r="Q321" i="4" s="1"/>
  <c r="V321" i="4" s="1"/>
  <c r="H50" i="19" s="1"/>
  <c r="N50" i="19" s="1"/>
  <c r="M312" i="22"/>
  <c r="M313" i="20"/>
  <c r="M59" i="22"/>
  <c r="M60" i="20"/>
  <c r="M9" i="22"/>
  <c r="M9" i="20"/>
  <c r="M18" i="4"/>
  <c r="M18" i="22"/>
  <c r="M18" i="20"/>
  <c r="Q18" i="20" s="1"/>
  <c r="V18" i="20" s="1"/>
  <c r="M11" i="4"/>
  <c r="M11" i="22"/>
  <c r="M11" i="20"/>
  <c r="M13" i="22"/>
  <c r="M13" i="20"/>
  <c r="M233" i="22"/>
  <c r="M234" i="20"/>
  <c r="T365" i="6"/>
  <c r="Y365" i="6" s="1"/>
  <c r="L72" i="19" s="1"/>
  <c r="Q219" i="4"/>
  <c r="V219" i="4" s="1"/>
  <c r="H48" i="18" s="1"/>
  <c r="M353" i="4"/>
  <c r="Q353" i="4" s="1"/>
  <c r="V353" i="4" s="1"/>
  <c r="L32" i="19" s="1"/>
  <c r="M344" i="22"/>
  <c r="M345" i="20"/>
  <c r="M134" i="4"/>
  <c r="Q134" i="4" s="1"/>
  <c r="V134" i="4" s="1"/>
  <c r="D38" i="18" s="1"/>
  <c r="S38" i="18" s="1"/>
  <c r="M129" i="22"/>
  <c r="M130" i="20"/>
  <c r="Q357" i="4"/>
  <c r="V357" i="4" s="1"/>
  <c r="L36" i="19" s="1"/>
  <c r="T339" i="6"/>
  <c r="Y339" i="6" s="1"/>
  <c r="J71" i="19" s="1"/>
  <c r="T283" i="6"/>
  <c r="Y283" i="6" s="1"/>
  <c r="F65" i="19" s="1"/>
  <c r="Q277" i="22"/>
  <c r="V277" i="22" s="1"/>
  <c r="Q222" i="22"/>
  <c r="V222" i="22" s="1"/>
  <c r="Q247" i="22"/>
  <c r="V247" i="22" s="1"/>
  <c r="Q201" i="20"/>
  <c r="V201" i="20" s="1"/>
  <c r="Q123" i="22"/>
  <c r="V123" i="22" s="1"/>
  <c r="Q320" i="20"/>
  <c r="V320" i="20" s="1"/>
  <c r="Q134" i="20"/>
  <c r="V134" i="20" s="1"/>
  <c r="Q56" i="22"/>
  <c r="V56" i="22" s="1"/>
  <c r="Q14" i="20"/>
  <c r="V14" i="20" s="1"/>
  <c r="Q46" i="22"/>
  <c r="V46" i="22" s="1"/>
  <c r="Q309" i="20"/>
  <c r="V309" i="20" s="1"/>
  <c r="Q313" i="22"/>
  <c r="V313" i="22" s="1"/>
  <c r="Q38" i="20"/>
  <c r="V38" i="20" s="1"/>
  <c r="Q273" i="20"/>
  <c r="V273" i="20" s="1"/>
  <c r="S16" i="20"/>
  <c r="T16" i="20" s="1"/>
  <c r="W16" i="20"/>
  <c r="X16" i="20" s="1"/>
  <c r="Y16" i="20" s="1"/>
  <c r="Q51" i="22"/>
  <c r="V51" i="22" s="1"/>
  <c r="Q173" i="22"/>
  <c r="V173" i="22" s="1"/>
  <c r="Q250" i="20"/>
  <c r="V250" i="20" s="1"/>
  <c r="Q289" i="22"/>
  <c r="V289" i="22" s="1"/>
  <c r="Q354" i="20"/>
  <c r="V354" i="20" s="1"/>
  <c r="Q91" i="20"/>
  <c r="V91" i="20" s="1"/>
  <c r="Q347" i="22"/>
  <c r="V347" i="22" s="1"/>
  <c r="Q139" i="22"/>
  <c r="V139" i="22" s="1"/>
  <c r="Q197" i="22"/>
  <c r="V197" i="22" s="1"/>
  <c r="Q305" i="22"/>
  <c r="V305" i="22" s="1"/>
  <c r="Q328" i="22"/>
  <c r="V328" i="22" s="1"/>
  <c r="Q361" i="22"/>
  <c r="V361" i="22" s="1"/>
  <c r="Q308" i="20"/>
  <c r="V308" i="20" s="1"/>
  <c r="Q282" i="22"/>
  <c r="V282" i="22" s="1"/>
  <c r="Q119" i="20"/>
  <c r="V119" i="20" s="1"/>
  <c r="Q151" i="22"/>
  <c r="V151" i="22" s="1"/>
  <c r="Q287" i="20"/>
  <c r="V287" i="20" s="1"/>
  <c r="Q200" i="20"/>
  <c r="V200" i="20" s="1"/>
  <c r="Q280" i="22"/>
  <c r="V280" i="22" s="1"/>
  <c r="Q172" i="20"/>
  <c r="V172" i="20" s="1"/>
  <c r="Q55" i="22"/>
  <c r="V55" i="22" s="1"/>
  <c r="Q178" i="22"/>
  <c r="V178" i="22" s="1"/>
  <c r="Q102" i="20"/>
  <c r="V102" i="20" s="1"/>
  <c r="Q262" i="22"/>
  <c r="V262" i="22" s="1"/>
  <c r="Q302" i="20"/>
  <c r="V302" i="20" s="1"/>
  <c r="Q249" i="20"/>
  <c r="V249" i="20" s="1"/>
  <c r="Q298" i="20"/>
  <c r="V298" i="20" s="1"/>
  <c r="Q272" i="20"/>
  <c r="V272" i="20" s="1"/>
  <c r="Q135" i="20"/>
  <c r="V135" i="20" s="1"/>
  <c r="Q270" i="20"/>
  <c r="V270" i="20" s="1"/>
  <c r="Q213" i="20"/>
  <c r="V213" i="20" s="1"/>
  <c r="Q107" i="22"/>
  <c r="V107" i="22" s="1"/>
  <c r="Q31" i="20"/>
  <c r="V31" i="20" s="1"/>
  <c r="Q71" i="22"/>
  <c r="V71" i="22" s="1"/>
  <c r="Q359" i="20"/>
  <c r="V359" i="20" s="1"/>
  <c r="Q337" i="22"/>
  <c r="V337" i="22" s="1"/>
  <c r="Q65" i="20"/>
  <c r="V65" i="20" s="1"/>
  <c r="Q265" i="2"/>
  <c r="R265" i="2" s="1"/>
  <c r="N257" i="22"/>
  <c r="R257" i="22" s="1"/>
  <c r="N258" i="20"/>
  <c r="R258" i="20" s="1"/>
  <c r="Q229" i="2"/>
  <c r="R229" i="2" s="1"/>
  <c r="N221" i="22"/>
  <c r="R221" i="22" s="1"/>
  <c r="N222" i="20"/>
  <c r="R222" i="20" s="1"/>
  <c r="Q94" i="2"/>
  <c r="R94" i="2" s="1"/>
  <c r="N92" i="22"/>
  <c r="N93" i="20"/>
  <c r="Q335" i="2"/>
  <c r="R335" i="2" s="1"/>
  <c r="N327" i="22"/>
  <c r="R327" i="22" s="1"/>
  <c r="N328" i="20"/>
  <c r="R328" i="20" s="1"/>
  <c r="Q21" i="2"/>
  <c r="R21" i="2" s="1"/>
  <c r="N22" i="22"/>
  <c r="R22" i="22" s="1"/>
  <c r="N22" i="20"/>
  <c r="R22" i="20" s="1"/>
  <c r="Q31" i="2"/>
  <c r="R31" i="2" s="1"/>
  <c r="N31" i="22"/>
  <c r="Q182" i="2"/>
  <c r="R182" i="2" s="1"/>
  <c r="N176" i="22"/>
  <c r="R176" i="22" s="1"/>
  <c r="N177" i="20"/>
  <c r="R177" i="20" s="1"/>
  <c r="Q95" i="2"/>
  <c r="R95" i="2" s="1"/>
  <c r="N93" i="22"/>
  <c r="N94" i="20"/>
  <c r="Q334" i="2"/>
  <c r="R334" i="2" s="1"/>
  <c r="N326" i="22"/>
  <c r="R326" i="22" s="1"/>
  <c r="N327" i="20"/>
  <c r="R327" i="20" s="1"/>
  <c r="Q128" i="2"/>
  <c r="R128" i="2" s="1"/>
  <c r="N124" i="22"/>
  <c r="R124" i="22" s="1"/>
  <c r="N125" i="20"/>
  <c r="R125" i="20" s="1"/>
  <c r="Q257" i="2"/>
  <c r="R257" i="2" s="1"/>
  <c r="N249" i="22"/>
  <c r="R249" i="22" s="1"/>
  <c r="N250" i="20"/>
  <c r="R250" i="20" s="1"/>
  <c r="Q285" i="2"/>
  <c r="R285" i="2" s="1"/>
  <c r="N277" i="22"/>
  <c r="R277" i="22" s="1"/>
  <c r="N278" i="20"/>
  <c r="R278" i="20" s="1"/>
  <c r="Q267" i="2"/>
  <c r="R267" i="2" s="1"/>
  <c r="N259" i="22"/>
  <c r="R259" i="22" s="1"/>
  <c r="N260" i="20"/>
  <c r="R260" i="20" s="1"/>
  <c r="Q39" i="2"/>
  <c r="R39" i="2" s="1"/>
  <c r="N39" i="22"/>
  <c r="Q178" i="2"/>
  <c r="R178" i="2" s="1"/>
  <c r="N172" i="22"/>
  <c r="R172" i="22" s="1"/>
  <c r="N173" i="20"/>
  <c r="R173" i="20" s="1"/>
  <c r="Q209" i="2"/>
  <c r="R209" i="2" s="1"/>
  <c r="N202" i="22"/>
  <c r="N203" i="20"/>
  <c r="Q231" i="2"/>
  <c r="R231" i="2" s="1"/>
  <c r="N223" i="22"/>
  <c r="R223" i="22" s="1"/>
  <c r="N224" i="20"/>
  <c r="R224" i="20" s="1"/>
  <c r="Q193" i="2"/>
  <c r="R193" i="2" s="1"/>
  <c r="N187" i="22"/>
  <c r="R187" i="22" s="1"/>
  <c r="N188" i="20"/>
  <c r="R188" i="20" s="1"/>
  <c r="Q353" i="2"/>
  <c r="R353" i="2" s="1"/>
  <c r="N345" i="22"/>
  <c r="R345" i="22" s="1"/>
  <c r="N346" i="20"/>
  <c r="R346" i="20" s="1"/>
  <c r="Q83" i="2"/>
  <c r="R83" i="2" s="1"/>
  <c r="N81" i="22"/>
  <c r="N82" i="20"/>
  <c r="Q208" i="2"/>
  <c r="R208" i="2" s="1"/>
  <c r="N201" i="22"/>
  <c r="N202" i="20"/>
  <c r="Q59" i="2"/>
  <c r="R59" i="2" s="1"/>
  <c r="N58" i="22"/>
  <c r="N59" i="20"/>
  <c r="Q318" i="2"/>
  <c r="R318" i="2" s="1"/>
  <c r="N310" i="22"/>
  <c r="R310" i="22" s="1"/>
  <c r="N311" i="20"/>
  <c r="R311" i="20" s="1"/>
  <c r="Q22" i="2"/>
  <c r="R22" i="2" s="1"/>
  <c r="N23" i="22"/>
  <c r="R23" i="22" s="1"/>
  <c r="N23" i="20"/>
  <c r="R23" i="20" s="1"/>
  <c r="Q330" i="2"/>
  <c r="R330" i="2" s="1"/>
  <c r="N322" i="22"/>
  <c r="R322" i="22" s="1"/>
  <c r="N323" i="20"/>
  <c r="R323" i="20" s="1"/>
  <c r="Q146" i="2"/>
  <c r="R146" i="2" s="1"/>
  <c r="N142" i="22"/>
  <c r="R142" i="22" s="1"/>
  <c r="N143" i="20"/>
  <c r="R143" i="20" s="1"/>
  <c r="Q370" i="2"/>
  <c r="R370" i="2" s="1"/>
  <c r="N362" i="22"/>
  <c r="R362" i="22" s="1"/>
  <c r="N363" i="20"/>
  <c r="R363" i="20" s="1"/>
  <c r="Q356" i="2"/>
  <c r="R356" i="2" s="1"/>
  <c r="N348" i="22"/>
  <c r="R348" i="22" s="1"/>
  <c r="N349" i="20"/>
  <c r="R349" i="20" s="1"/>
  <c r="Q261" i="2"/>
  <c r="R261" i="2" s="1"/>
  <c r="N253" i="22"/>
  <c r="N254" i="20"/>
  <c r="Q10" i="2"/>
  <c r="R10" i="2" s="1"/>
  <c r="N11" i="22"/>
  <c r="N11" i="20"/>
  <c r="Q244" i="2"/>
  <c r="R244" i="2" s="1"/>
  <c r="N236" i="22"/>
  <c r="R236" i="22" s="1"/>
  <c r="N237" i="20"/>
  <c r="R237" i="20" s="1"/>
  <c r="Q57" i="2"/>
  <c r="R57" i="2" s="1"/>
  <c r="N56" i="22"/>
  <c r="R56" i="22" s="1"/>
  <c r="R57" i="20"/>
  <c r="Q363" i="2"/>
  <c r="R363" i="2" s="1"/>
  <c r="N355" i="22"/>
  <c r="R355" i="22" s="1"/>
  <c r="N356" i="20"/>
  <c r="R356" i="20" s="1"/>
  <c r="Q270" i="2"/>
  <c r="R270" i="2" s="1"/>
  <c r="N262" i="22"/>
  <c r="R262" i="22" s="1"/>
  <c r="N263" i="20"/>
  <c r="R263" i="20" s="1"/>
  <c r="Q106" i="2"/>
  <c r="R106" i="2" s="1"/>
  <c r="N103" i="22"/>
  <c r="R103" i="22" s="1"/>
  <c r="N104" i="20"/>
  <c r="R104" i="20" s="1"/>
  <c r="Q157" i="2"/>
  <c r="R157" i="2" s="1"/>
  <c r="N152" i="22"/>
  <c r="R152" i="22" s="1"/>
  <c r="N153" i="20"/>
  <c r="R153" i="20" s="1"/>
  <c r="Q179" i="2"/>
  <c r="R179" i="2" s="1"/>
  <c r="N173" i="22"/>
  <c r="R173" i="22" s="1"/>
  <c r="N174" i="20"/>
  <c r="R174" i="20" s="1"/>
  <c r="Q253" i="2"/>
  <c r="R253" i="2" s="1"/>
  <c r="N245" i="22"/>
  <c r="N246" i="20"/>
  <c r="Q281" i="2"/>
  <c r="R281" i="2" s="1"/>
  <c r="N273" i="22"/>
  <c r="R273" i="22" s="1"/>
  <c r="N274" i="20"/>
  <c r="R274" i="20" s="1"/>
  <c r="Q206" i="2"/>
  <c r="R206" i="2" s="1"/>
  <c r="N199" i="22"/>
  <c r="R199" i="22" s="1"/>
  <c r="N200" i="20"/>
  <c r="R200" i="20" s="1"/>
  <c r="Q207" i="2"/>
  <c r="R207" i="2" s="1"/>
  <c r="N200" i="22"/>
  <c r="R200" i="22" s="1"/>
  <c r="N201" i="20"/>
  <c r="R201" i="20" s="1"/>
  <c r="Q316" i="2"/>
  <c r="R316" i="2" s="1"/>
  <c r="N308" i="22"/>
  <c r="R308" i="22" s="1"/>
  <c r="N309" i="20"/>
  <c r="R309" i="20" s="1"/>
  <c r="Q78" i="2"/>
  <c r="R78" i="2" s="1"/>
  <c r="N76" i="22"/>
  <c r="Q81" i="2"/>
  <c r="R81" i="2" s="1"/>
  <c r="N79" i="22"/>
  <c r="N80" i="20"/>
  <c r="Q364" i="2"/>
  <c r="R364" i="2" s="1"/>
  <c r="N356" i="22"/>
  <c r="R356" i="22" s="1"/>
  <c r="N357" i="20"/>
  <c r="R357" i="20" s="1"/>
  <c r="Q211" i="2"/>
  <c r="R211" i="2" s="1"/>
  <c r="N204" i="22"/>
  <c r="R204" i="22" s="1"/>
  <c r="N205" i="20"/>
  <c r="R205" i="20" s="1"/>
  <c r="Q110" i="2"/>
  <c r="R110" i="2" s="1"/>
  <c r="N107" i="22"/>
  <c r="R107" i="22" s="1"/>
  <c r="N108" i="20"/>
  <c r="R108" i="20" s="1"/>
  <c r="M161" i="4"/>
  <c r="Q161" i="4" s="1"/>
  <c r="V161" i="4" s="1"/>
  <c r="F41" i="11" s="1"/>
  <c r="W41" i="11" s="1"/>
  <c r="M155" i="22"/>
  <c r="M156" i="20"/>
  <c r="M42" i="4"/>
  <c r="Q42" i="4" s="1"/>
  <c r="V42" i="4" s="1"/>
  <c r="H47" i="11" s="1"/>
  <c r="Y47" i="11" s="1"/>
  <c r="M41" i="22"/>
  <c r="Q347" i="4"/>
  <c r="V347" i="4" s="1"/>
  <c r="J51" i="19" s="1"/>
  <c r="N348" i="6"/>
  <c r="T348" i="6" s="1"/>
  <c r="Y348" i="6" s="1"/>
  <c r="J80" i="19" s="1"/>
  <c r="M339" i="22"/>
  <c r="M340" i="20"/>
  <c r="N368" i="6"/>
  <c r="T368" i="6" s="1"/>
  <c r="Y368" i="6" s="1"/>
  <c r="L75" i="19" s="1"/>
  <c r="M359" i="22"/>
  <c r="M360" i="20"/>
  <c r="N34" i="6"/>
  <c r="T34" i="6" s="1"/>
  <c r="M33" i="22"/>
  <c r="Q67" i="4"/>
  <c r="V67" i="4" s="1"/>
  <c r="J47" i="11" s="1"/>
  <c r="AA47" i="11" s="1"/>
  <c r="N97" i="6"/>
  <c r="T97" i="6" s="1"/>
  <c r="Y97" i="6" s="1"/>
  <c r="B80" i="18" s="1"/>
  <c r="Q80" i="18" s="1"/>
  <c r="M94" i="22"/>
  <c r="M95" i="20"/>
  <c r="M209" i="4"/>
  <c r="Q209" i="4" s="1"/>
  <c r="V209" i="4" s="1"/>
  <c r="H38" i="18" s="1"/>
  <c r="W38" i="18" s="1"/>
  <c r="M201" i="22"/>
  <c r="M202" i="20"/>
  <c r="M313" i="4"/>
  <c r="Q313" i="4" s="1"/>
  <c r="V313" i="4" s="1"/>
  <c r="H42" i="19" s="1"/>
  <c r="N42" i="19" s="1"/>
  <c r="M304" i="22"/>
  <c r="M305" i="20"/>
  <c r="M98" i="4"/>
  <c r="Q98" i="4" s="1"/>
  <c r="V98" i="4" s="1"/>
  <c r="B52" i="18" s="1"/>
  <c r="Q52" i="18" s="1"/>
  <c r="M95" i="22"/>
  <c r="Q95" i="22" s="1"/>
  <c r="V95" i="22" s="1"/>
  <c r="M96" i="20"/>
  <c r="M92" i="4"/>
  <c r="Q92" i="4" s="1"/>
  <c r="V92" i="4" s="1"/>
  <c r="B46" i="18" s="1"/>
  <c r="Q46" i="18" s="1"/>
  <c r="M89" i="22"/>
  <c r="M90" i="20"/>
  <c r="M198" i="4"/>
  <c r="Q198" i="4" s="1"/>
  <c r="V198" i="4" s="1"/>
  <c r="F52" i="18" s="1"/>
  <c r="U52" i="18" s="1"/>
  <c r="M191" i="22"/>
  <c r="M192" i="20"/>
  <c r="M80" i="4"/>
  <c r="Q80" i="4" s="1"/>
  <c r="V80" i="4" s="1"/>
  <c r="B34" i="18" s="1"/>
  <c r="M77" i="22"/>
  <c r="M78" i="20"/>
  <c r="M83" i="4"/>
  <c r="Q83" i="4" s="1"/>
  <c r="V83" i="4" s="1"/>
  <c r="B37" i="18" s="1"/>
  <c r="Q37" i="18" s="1"/>
  <c r="M80" i="22"/>
  <c r="M81" i="20"/>
  <c r="M189" i="4"/>
  <c r="Q189" i="4" s="1"/>
  <c r="V189" i="4" s="1"/>
  <c r="F43" i="18" s="1"/>
  <c r="U43" i="18" s="1"/>
  <c r="M182" i="22"/>
  <c r="M183" i="20"/>
  <c r="N333" i="6"/>
  <c r="T333" i="6" s="1"/>
  <c r="Y333" i="6" s="1"/>
  <c r="J65" i="19" s="1"/>
  <c r="M324" i="22"/>
  <c r="M325" i="20"/>
  <c r="Q155" i="4"/>
  <c r="V155" i="4" s="1"/>
  <c r="F35" i="11" s="1"/>
  <c r="W35" i="11" s="1"/>
  <c r="Q205" i="20"/>
  <c r="V205" i="20" s="1"/>
  <c r="Q177" i="20"/>
  <c r="V177" i="20" s="1"/>
  <c r="Q200" i="22"/>
  <c r="V200" i="22" s="1"/>
  <c r="Q257" i="20"/>
  <c r="V257" i="20" s="1"/>
  <c r="Q319" i="22"/>
  <c r="V319" i="22" s="1"/>
  <c r="Q133" i="22"/>
  <c r="V133" i="22" s="1"/>
  <c r="Q92" i="20"/>
  <c r="V92" i="20" s="1"/>
  <c r="Q14" i="22"/>
  <c r="V14" i="22" s="1"/>
  <c r="Q335" i="20"/>
  <c r="V335" i="20" s="1"/>
  <c r="Q47" i="4"/>
  <c r="V47" i="4" s="1"/>
  <c r="H52" i="11" s="1"/>
  <c r="Y52" i="11" s="1"/>
  <c r="Q308" i="22"/>
  <c r="V308" i="22" s="1"/>
  <c r="Q259" i="20"/>
  <c r="V259" i="20" s="1"/>
  <c r="Q37" i="22"/>
  <c r="V37" i="22" s="1"/>
  <c r="Q22" i="4"/>
  <c r="V22" i="4" s="1"/>
  <c r="B52" i="11" s="1"/>
  <c r="S52" i="11" s="1"/>
  <c r="Q272" i="22"/>
  <c r="V272" i="22" s="1"/>
  <c r="Q180" i="20"/>
  <c r="V180" i="20" s="1"/>
  <c r="Q249" i="22"/>
  <c r="V249" i="22" s="1"/>
  <c r="Q143" i="20"/>
  <c r="V143" i="20" s="1"/>
  <c r="Q70" i="20"/>
  <c r="V70" i="20" s="1"/>
  <c r="Q353" i="22"/>
  <c r="V353" i="22" s="1"/>
  <c r="Q90" i="22"/>
  <c r="V90" i="22" s="1"/>
  <c r="Q139" i="20"/>
  <c r="V139" i="20" s="1"/>
  <c r="Q232" i="20"/>
  <c r="V232" i="20" s="1"/>
  <c r="Q347" i="20"/>
  <c r="V347" i="20" s="1"/>
  <c r="Q76" i="20"/>
  <c r="V76" i="20" s="1"/>
  <c r="R76" i="20"/>
  <c r="Q230" i="20"/>
  <c r="V230" i="20" s="1"/>
  <c r="Q229" i="20"/>
  <c r="V229" i="20" s="1"/>
  <c r="Q307" i="22"/>
  <c r="V307" i="22" s="1"/>
  <c r="Q150" i="20"/>
  <c r="V150" i="20" s="1"/>
  <c r="Q167" i="20"/>
  <c r="V167" i="20" s="1"/>
  <c r="Q286" i="22"/>
  <c r="V286" i="22" s="1"/>
  <c r="Q199" i="22"/>
  <c r="V199" i="22" s="1"/>
  <c r="Q222" i="20"/>
  <c r="V222" i="20" s="1"/>
  <c r="Q171" i="22"/>
  <c r="V171" i="22" s="1"/>
  <c r="Q153" i="20"/>
  <c r="V153" i="20" s="1"/>
  <c r="T244" i="6"/>
  <c r="Y244" i="6" s="1"/>
  <c r="B76" i="19" s="1"/>
  <c r="S3" i="22"/>
  <c r="T3" i="22" s="1"/>
  <c r="W3" i="22"/>
  <c r="X3" i="22" s="1"/>
  <c r="Y3" i="22" s="1"/>
  <c r="Q275" i="20"/>
  <c r="V275" i="20" s="1"/>
  <c r="Q101" i="22"/>
  <c r="V101" i="22" s="1"/>
  <c r="Q301" i="22"/>
  <c r="V301" i="22" s="1"/>
  <c r="Q248" i="22"/>
  <c r="V248" i="22" s="1"/>
  <c r="Q297" i="22"/>
  <c r="V297" i="22" s="1"/>
  <c r="Q271" i="22"/>
  <c r="V271" i="22" s="1"/>
  <c r="Q134" i="22"/>
  <c r="V134" i="22" s="1"/>
  <c r="Q269" i="22"/>
  <c r="V269" i="22" s="1"/>
  <c r="Q212" i="22"/>
  <c r="V212" i="22" s="1"/>
  <c r="Q133" i="20"/>
  <c r="V133" i="20" s="1"/>
  <c r="Q30" i="22"/>
  <c r="V30" i="22" s="1"/>
  <c r="Q64" i="20"/>
  <c r="V64" i="20" s="1"/>
  <c r="Q358" i="22"/>
  <c r="V358" i="22" s="1"/>
  <c r="Q336" i="20"/>
  <c r="V336" i="20" s="1"/>
  <c r="Q64" i="22"/>
  <c r="V64" i="22" s="1"/>
  <c r="W3" i="4"/>
  <c r="C33" i="11" s="1"/>
  <c r="T33" i="11" s="1"/>
  <c r="Q337" i="2"/>
  <c r="R337" i="2" s="1"/>
  <c r="N329" i="22"/>
  <c r="R329" i="22" s="1"/>
  <c r="N330" i="20"/>
  <c r="R330" i="20" s="1"/>
  <c r="Q40" i="2"/>
  <c r="R40" i="2" s="1"/>
  <c r="N40" i="22"/>
  <c r="Q352" i="2"/>
  <c r="R352" i="2" s="1"/>
  <c r="N344" i="22"/>
  <c r="N345" i="20"/>
  <c r="Q156" i="2"/>
  <c r="R156" i="2" s="1"/>
  <c r="N151" i="22"/>
  <c r="R151" i="22" s="1"/>
  <c r="N152" i="20"/>
  <c r="R152" i="20" s="1"/>
  <c r="Q369" i="2"/>
  <c r="R369" i="2" s="1"/>
  <c r="N361" i="22"/>
  <c r="R361" i="22" s="1"/>
  <c r="N362" i="20"/>
  <c r="R362" i="20" s="1"/>
  <c r="Q6" i="2"/>
  <c r="R6" i="2" s="1"/>
  <c r="N7" i="22"/>
  <c r="R7" i="22" s="1"/>
  <c r="N7" i="20"/>
  <c r="R7" i="20" s="1"/>
  <c r="Q327" i="2"/>
  <c r="R327" i="2" s="1"/>
  <c r="N319" i="22"/>
  <c r="R319" i="22" s="1"/>
  <c r="N320" i="20"/>
  <c r="R320" i="20" s="1"/>
  <c r="Q245" i="2"/>
  <c r="R245" i="2" s="1"/>
  <c r="N237" i="22"/>
  <c r="R237" i="22" s="1"/>
  <c r="N238" i="20"/>
  <c r="R238" i="20" s="1"/>
  <c r="Q186" i="2"/>
  <c r="R186" i="2" s="1"/>
  <c r="N180" i="22"/>
  <c r="R180" i="22" s="1"/>
  <c r="N181" i="20"/>
  <c r="R181" i="20" s="1"/>
  <c r="Q306" i="2"/>
  <c r="R306" i="2" s="1"/>
  <c r="N298" i="22"/>
  <c r="R298" i="22" s="1"/>
  <c r="N299" i="20"/>
  <c r="R299" i="20" s="1"/>
  <c r="Q16" i="2"/>
  <c r="R16" i="2" s="1"/>
  <c r="N17" i="22"/>
  <c r="N17" i="20"/>
  <c r="Q113" i="2"/>
  <c r="R113" i="2" s="1"/>
  <c r="N110" i="22"/>
  <c r="R110" i="22" s="1"/>
  <c r="N111" i="20"/>
  <c r="R111" i="20" s="1"/>
  <c r="Q127" i="2"/>
  <c r="R127" i="2" s="1"/>
  <c r="N123" i="22"/>
  <c r="R123" i="22" s="1"/>
  <c r="N124" i="20"/>
  <c r="R124" i="20" s="1"/>
  <c r="Q64" i="2"/>
  <c r="R64" i="2" s="1"/>
  <c r="N63" i="22"/>
  <c r="R63" i="22" s="1"/>
  <c r="N64" i="20"/>
  <c r="R64" i="20" s="1"/>
  <c r="Q160" i="2"/>
  <c r="R160" i="2" s="1"/>
  <c r="N155" i="22"/>
  <c r="N156" i="20"/>
  <c r="Q346" i="2"/>
  <c r="R346" i="2" s="1"/>
  <c r="N338" i="22"/>
  <c r="R338" i="22" s="1"/>
  <c r="N339" i="20"/>
  <c r="R339" i="20" s="1"/>
  <c r="Q315" i="2"/>
  <c r="R315" i="2" s="1"/>
  <c r="N307" i="22"/>
  <c r="R307" i="22" s="1"/>
  <c r="N308" i="20"/>
  <c r="R308" i="20" s="1"/>
  <c r="Q277" i="2"/>
  <c r="R277" i="2" s="1"/>
  <c r="N269" i="22"/>
  <c r="R269" i="22" s="1"/>
  <c r="N270" i="20"/>
  <c r="R270" i="20" s="1"/>
  <c r="Q256" i="2"/>
  <c r="R256" i="2" s="1"/>
  <c r="N248" i="22"/>
  <c r="R248" i="22" s="1"/>
  <c r="N249" i="20"/>
  <c r="R249" i="20" s="1"/>
  <c r="Q158" i="2"/>
  <c r="R158" i="2" s="1"/>
  <c r="N153" i="22"/>
  <c r="R153" i="22" s="1"/>
  <c r="N154" i="20"/>
  <c r="R154" i="20" s="1"/>
  <c r="Q139" i="2"/>
  <c r="R139" i="2" s="1"/>
  <c r="N135" i="22"/>
  <c r="R135" i="22" s="1"/>
  <c r="N136" i="20"/>
  <c r="R136" i="20" s="1"/>
  <c r="Q159" i="2"/>
  <c r="R159" i="2" s="1"/>
  <c r="N154" i="22"/>
  <c r="R154" i="22" s="1"/>
  <c r="N155" i="20"/>
  <c r="R155" i="20" s="1"/>
  <c r="Q312" i="2"/>
  <c r="R312" i="2" s="1"/>
  <c r="N304" i="22"/>
  <c r="N305" i="20"/>
  <c r="Q189" i="2"/>
  <c r="R189" i="2" s="1"/>
  <c r="N183" i="22"/>
  <c r="N184" i="20"/>
  <c r="Q111" i="2"/>
  <c r="R111" i="2" s="1"/>
  <c r="N108" i="22"/>
  <c r="N109" i="20"/>
  <c r="Q72" i="2"/>
  <c r="R72" i="2" s="1"/>
  <c r="N71" i="22"/>
  <c r="R71" i="22" s="1"/>
  <c r="N72" i="20"/>
  <c r="R72" i="20" s="1"/>
  <c r="Q287" i="2"/>
  <c r="R287" i="2" s="1"/>
  <c r="N279" i="22"/>
  <c r="R279" i="22" s="1"/>
  <c r="N280" i="20"/>
  <c r="R280" i="20" s="1"/>
  <c r="Q237" i="2"/>
  <c r="R237" i="2" s="1"/>
  <c r="N229" i="22"/>
  <c r="R229" i="22" s="1"/>
  <c r="N230" i="20"/>
  <c r="R230" i="20" s="1"/>
  <c r="Q205" i="2"/>
  <c r="R205" i="2" s="1"/>
  <c r="N198" i="22"/>
  <c r="R198" i="22" s="1"/>
  <c r="N199" i="20"/>
  <c r="R199" i="20" s="1"/>
  <c r="Q271" i="2"/>
  <c r="R271" i="2" s="1"/>
  <c r="N263" i="22"/>
  <c r="R263" i="22" s="1"/>
  <c r="N264" i="20"/>
  <c r="R264" i="20" s="1"/>
  <c r="Q109" i="2"/>
  <c r="R109" i="2" s="1"/>
  <c r="N106" i="22"/>
  <c r="N107" i="20"/>
  <c r="Q362" i="2"/>
  <c r="R362" i="2" s="1"/>
  <c r="N354" i="22"/>
  <c r="R354" i="22" s="1"/>
  <c r="N355" i="20"/>
  <c r="R355" i="20" s="1"/>
  <c r="Q339" i="2"/>
  <c r="R339" i="2" s="1"/>
  <c r="N331" i="22"/>
  <c r="N332" i="20"/>
  <c r="Q129" i="2"/>
  <c r="R129" i="2" s="1"/>
  <c r="N125" i="22"/>
  <c r="R125" i="22" s="1"/>
  <c r="N126" i="20"/>
  <c r="R126" i="20" s="1"/>
  <c r="Q355" i="2"/>
  <c r="R355" i="2" s="1"/>
  <c r="N347" i="22"/>
  <c r="R347" i="22" s="1"/>
  <c r="N348" i="20"/>
  <c r="R348" i="20" s="1"/>
  <c r="Q135" i="2"/>
  <c r="R135" i="2" s="1"/>
  <c r="N131" i="22"/>
  <c r="R131" i="22" s="1"/>
  <c r="N132" i="20"/>
  <c r="R132" i="20" s="1"/>
  <c r="Q27" i="2"/>
  <c r="R27" i="2" s="1"/>
  <c r="N27" i="22"/>
  <c r="Q164" i="2"/>
  <c r="R164" i="2" s="1"/>
  <c r="N159" i="22"/>
  <c r="R159" i="22" s="1"/>
  <c r="N160" i="20"/>
  <c r="R160" i="20" s="1"/>
  <c r="M117" i="4"/>
  <c r="Q117" i="4" s="1"/>
  <c r="V117" i="4" s="1"/>
  <c r="D47" i="11" s="1"/>
  <c r="U47" i="11" s="1"/>
  <c r="M113" i="22"/>
  <c r="M114" i="20"/>
  <c r="M120" i="4"/>
  <c r="Q120" i="4" s="1"/>
  <c r="V120" i="4" s="1"/>
  <c r="D50" i="11" s="1"/>
  <c r="U50" i="11" s="1"/>
  <c r="M116" i="22"/>
  <c r="M117" i="20"/>
  <c r="M170" i="4"/>
  <c r="Q170" i="4" s="1"/>
  <c r="V170" i="4" s="1"/>
  <c r="F50" i="11" s="1"/>
  <c r="W50" i="11" s="1"/>
  <c r="M164" i="22"/>
  <c r="M165" i="20"/>
  <c r="M17" i="4"/>
  <c r="Q17" i="4" s="1"/>
  <c r="V17" i="4" s="1"/>
  <c r="B47" i="11" s="1"/>
  <c r="S47" i="11" s="1"/>
  <c r="M17" i="22"/>
  <c r="M17" i="20"/>
  <c r="T31" i="6"/>
  <c r="Y31" i="6" s="1"/>
  <c r="H65" i="11" s="1"/>
  <c r="Y65" i="11" s="1"/>
  <c r="M103" i="4"/>
  <c r="Q103" i="4" s="1"/>
  <c r="V103" i="4" s="1"/>
  <c r="D33" i="11" s="1"/>
  <c r="U33" i="11" s="1"/>
  <c r="M99" i="22"/>
  <c r="M100" i="20"/>
  <c r="Q100" i="20" s="1"/>
  <c r="V100" i="20" s="1"/>
  <c r="M56" i="4"/>
  <c r="Q56" i="4" s="1"/>
  <c r="V56" i="4" s="1"/>
  <c r="J36" i="11" s="1"/>
  <c r="M54" i="22"/>
  <c r="Q54" i="22" s="1"/>
  <c r="V54" i="22" s="1"/>
  <c r="M43" i="4"/>
  <c r="Q43" i="4" s="1"/>
  <c r="M42" i="22"/>
  <c r="N60" i="6"/>
  <c r="T60" i="6" s="1"/>
  <c r="M58" i="22"/>
  <c r="Q58" i="22" s="1"/>
  <c r="V58" i="22" s="1"/>
  <c r="M59" i="20"/>
  <c r="N153" i="6"/>
  <c r="T153" i="6" s="1"/>
  <c r="M147" i="22"/>
  <c r="M148" i="20"/>
  <c r="N32" i="6"/>
  <c r="T32" i="6" s="1"/>
  <c r="M31" i="22"/>
  <c r="M320" i="4"/>
  <c r="Q320" i="4" s="1"/>
  <c r="V320" i="4" s="1"/>
  <c r="H49" i="19" s="1"/>
  <c r="M311" i="22"/>
  <c r="Q311" i="22" s="1"/>
  <c r="V311" i="22" s="1"/>
  <c r="M312" i="20"/>
  <c r="T268" i="6"/>
  <c r="Y268" i="6" s="1"/>
  <c r="D75" i="19" s="1"/>
  <c r="T317" i="6"/>
  <c r="Y317" i="6" s="1"/>
  <c r="H74" i="19" s="1"/>
  <c r="Q163" i="4"/>
  <c r="V163" i="4" s="1"/>
  <c r="F43" i="11" s="1"/>
  <c r="W43" i="11" s="1"/>
  <c r="T264" i="6"/>
  <c r="Y264" i="6" s="1"/>
  <c r="D71" i="19" s="1"/>
  <c r="M182" i="4"/>
  <c r="Q182" i="4" s="1"/>
  <c r="V182" i="4" s="1"/>
  <c r="F36" i="18" s="1"/>
  <c r="U36" i="18" s="1"/>
  <c r="M175" i="22"/>
  <c r="Q175" i="22" s="1"/>
  <c r="V175" i="22" s="1"/>
  <c r="M176" i="20"/>
  <c r="N304" i="6"/>
  <c r="T304" i="6" s="1"/>
  <c r="Y304" i="6" s="1"/>
  <c r="H61" i="19" s="1"/>
  <c r="M295" i="22"/>
  <c r="M296" i="20"/>
  <c r="M285" i="4"/>
  <c r="Q285" i="4" s="1"/>
  <c r="V285" i="4" s="1"/>
  <c r="F39" i="19" s="1"/>
  <c r="M276" i="22"/>
  <c r="M277" i="20"/>
  <c r="Q267" i="4"/>
  <c r="V267" i="4" s="1"/>
  <c r="D46" i="19" s="1"/>
  <c r="T45" i="6"/>
  <c r="Y45" i="6" s="1"/>
  <c r="H79" i="11" s="1"/>
  <c r="Y79" i="11" s="1"/>
  <c r="T230" i="6"/>
  <c r="Y230" i="6" s="1"/>
  <c r="B62" i="19" s="1"/>
  <c r="S16" i="22"/>
  <c r="T16" i="22" s="1"/>
  <c r="W16" i="22"/>
  <c r="X16" i="22" s="1"/>
  <c r="Y16" i="22" s="1"/>
  <c r="Q176" i="22"/>
  <c r="V176" i="22" s="1"/>
  <c r="Q199" i="20"/>
  <c r="V199" i="20" s="1"/>
  <c r="Q256" i="22"/>
  <c r="V256" i="22" s="1"/>
  <c r="Q350" i="20"/>
  <c r="V350" i="20" s="1"/>
  <c r="Q355" i="20"/>
  <c r="V355" i="20" s="1"/>
  <c r="Q334" i="20"/>
  <c r="V334" i="20" s="1"/>
  <c r="Q14" i="4"/>
  <c r="V14" i="4" s="1"/>
  <c r="B44" i="11" s="1"/>
  <c r="S44" i="11" s="1"/>
  <c r="Q334" i="22"/>
  <c r="V334" i="22" s="1"/>
  <c r="Q158" i="20"/>
  <c r="V158" i="20" s="1"/>
  <c r="Q258" i="22"/>
  <c r="V258" i="22" s="1"/>
  <c r="Q311" i="20"/>
  <c r="V311" i="20" s="1"/>
  <c r="Q179" i="22"/>
  <c r="V179" i="22" s="1"/>
  <c r="Q331" i="20"/>
  <c r="V331" i="20" s="1"/>
  <c r="Q69" i="22"/>
  <c r="V69" i="22" s="1"/>
  <c r="Q138" i="22"/>
  <c r="V138" i="22" s="1"/>
  <c r="Q231" i="22"/>
  <c r="V231" i="22" s="1"/>
  <c r="Q346" i="22"/>
  <c r="V346" i="22" s="1"/>
  <c r="Q229" i="22"/>
  <c r="V229" i="22" s="1"/>
  <c r="Q228" i="22"/>
  <c r="V228" i="22" s="1"/>
  <c r="Q235" i="20"/>
  <c r="V235" i="20" s="1"/>
  <c r="Q120" i="20"/>
  <c r="V120" i="20" s="1"/>
  <c r="Q166" i="22"/>
  <c r="V166" i="22" s="1"/>
  <c r="Q239" i="20"/>
  <c r="V239" i="20" s="1"/>
  <c r="Q221" i="22"/>
  <c r="V221" i="22" s="1"/>
  <c r="Q173" i="20"/>
  <c r="V173" i="20" s="1"/>
  <c r="Q152" i="22"/>
  <c r="V152" i="22" s="1"/>
  <c r="Q274" i="22"/>
  <c r="V274" i="22" s="1"/>
  <c r="Q310" i="20"/>
  <c r="V310" i="20" s="1"/>
  <c r="Q289" i="20"/>
  <c r="V289" i="20" s="1"/>
  <c r="Q215" i="20"/>
  <c r="V215" i="20" s="1"/>
  <c r="Q187" i="20"/>
  <c r="V187" i="20" s="1"/>
  <c r="Q209" i="20"/>
  <c r="V209" i="20" s="1"/>
  <c r="Q321" i="20"/>
  <c r="V321" i="20" s="1"/>
  <c r="Q214" i="20"/>
  <c r="V214" i="20" s="1"/>
  <c r="Q207" i="20"/>
  <c r="V207" i="20" s="1"/>
  <c r="Q132" i="22"/>
  <c r="V132" i="22" s="1"/>
  <c r="Q358" i="20"/>
  <c r="V358" i="20" s="1"/>
  <c r="Q63" i="22"/>
  <c r="V63" i="22" s="1"/>
  <c r="Q168" i="20"/>
  <c r="V168" i="20" s="1"/>
  <c r="Q335" i="22"/>
  <c r="V335" i="22" s="1"/>
  <c r="Q337" i="20"/>
  <c r="V337" i="20" s="1"/>
  <c r="Q364" i="20"/>
  <c r="V364" i="20" s="1"/>
  <c r="J40" i="18"/>
  <c r="J32" i="18"/>
  <c r="N98" i="6"/>
  <c r="T98" i="6" s="1"/>
  <c r="Y98" i="6" s="1"/>
  <c r="B81" i="18" s="1"/>
  <c r="Q81" i="18" s="1"/>
  <c r="N96" i="6"/>
  <c r="T96" i="6" s="1"/>
  <c r="Y96" i="6" s="1"/>
  <c r="B79" i="18" s="1"/>
  <c r="Q79" i="18" s="1"/>
  <c r="Y79" i="18" s="1"/>
  <c r="N68" i="6"/>
  <c r="T68" i="6" s="1"/>
  <c r="M261" i="4"/>
  <c r="Q261" i="4" s="1"/>
  <c r="V261" i="4" s="1"/>
  <c r="D40" i="19" s="1"/>
  <c r="O160" i="6"/>
  <c r="U160" i="6" s="1"/>
  <c r="V160" i="6" s="1"/>
  <c r="W160" i="6" s="1"/>
  <c r="N209" i="6"/>
  <c r="T209" i="6" s="1"/>
  <c r="Y209" i="6" s="1"/>
  <c r="H67" i="18" s="1"/>
  <c r="W67" i="18" s="1"/>
  <c r="N43" i="6"/>
  <c r="T43" i="6" s="1"/>
  <c r="Y43" i="6" s="1"/>
  <c r="H77" i="11" s="1"/>
  <c r="Y77" i="11" s="1"/>
  <c r="M60" i="4"/>
  <c r="Q60" i="4" s="1"/>
  <c r="V60" i="4" s="1"/>
  <c r="J40" i="11" s="1"/>
  <c r="AA40" i="11" s="1"/>
  <c r="M233" i="4"/>
  <c r="Q233" i="4" s="1"/>
  <c r="V233" i="4" s="1"/>
  <c r="B37" i="19" s="1"/>
  <c r="O130" i="6"/>
  <c r="U130" i="6" s="1"/>
  <c r="V130" i="6" s="1"/>
  <c r="W130" i="6" s="1"/>
  <c r="N217" i="6"/>
  <c r="T217" i="6" s="1"/>
  <c r="Y217" i="6" s="1"/>
  <c r="H75" i="18" s="1"/>
  <c r="W75" i="18" s="1"/>
  <c r="M32" i="4"/>
  <c r="Q32" i="4" s="1"/>
  <c r="V32" i="4" s="1"/>
  <c r="H37" i="11" s="1"/>
  <c r="M304" i="4"/>
  <c r="N56" i="6"/>
  <c r="T56" i="6" s="1"/>
  <c r="N103" i="6"/>
  <c r="N40" i="6"/>
  <c r="N89" i="6"/>
  <c r="M153" i="4"/>
  <c r="Q153" i="4" s="1"/>
  <c r="V153" i="4" s="1"/>
  <c r="F33" i="11" s="1"/>
  <c r="W33" i="11" s="1"/>
  <c r="M133" i="4"/>
  <c r="N182" i="6"/>
  <c r="T182" i="6" s="1"/>
  <c r="Y182" i="6" s="1"/>
  <c r="F65" i="18" s="1"/>
  <c r="U65" i="18" s="1"/>
  <c r="N81" i="6"/>
  <c r="T81" i="6" s="1"/>
  <c r="Y81" i="6" s="1"/>
  <c r="B64" i="18" s="1"/>
  <c r="Q64" i="18" s="1"/>
  <c r="M5" i="4"/>
  <c r="N254" i="6"/>
  <c r="M118" i="4"/>
  <c r="N130" i="4"/>
  <c r="R130" i="4" s="1"/>
  <c r="W130" i="4" s="1"/>
  <c r="M341" i="4"/>
  <c r="N8" i="6"/>
  <c r="N198" i="6"/>
  <c r="N285" i="6"/>
  <c r="T285" i="6" s="1"/>
  <c r="Y285" i="6" s="1"/>
  <c r="F67" i="19" s="1"/>
  <c r="M84" i="4"/>
  <c r="Q84" i="4" s="1"/>
  <c r="V84" i="4" s="1"/>
  <c r="B38" i="18" s="1"/>
  <c r="Q38" i="18" s="1"/>
  <c r="M10" i="4"/>
  <c r="M104" i="4"/>
  <c r="N218" i="6"/>
  <c r="N206" i="4"/>
  <c r="N64" i="6"/>
  <c r="M112" i="4"/>
  <c r="Q112" i="4" s="1"/>
  <c r="V112" i="4" s="1"/>
  <c r="D42" i="11" s="1"/>
  <c r="U42" i="11" s="1"/>
  <c r="M361" i="4"/>
  <c r="Q361" i="4" s="1"/>
  <c r="V361" i="4" s="1"/>
  <c r="L40" i="19" s="1"/>
  <c r="N353" i="6"/>
  <c r="N369" i="6"/>
  <c r="T369" i="6" s="1"/>
  <c r="Y369" i="6" s="1"/>
  <c r="L76" i="19" s="1"/>
  <c r="O257" i="6"/>
  <c r="N72" i="6"/>
  <c r="M141" i="4"/>
  <c r="Q141" i="4" s="1"/>
  <c r="V141" i="4" s="1"/>
  <c r="D45" i="18" s="1"/>
  <c r="M340" i="4"/>
  <c r="O168" i="6"/>
  <c r="N280" i="4"/>
  <c r="N134" i="6"/>
  <c r="M97" i="4"/>
  <c r="N79" i="6"/>
  <c r="N190" i="6"/>
  <c r="T190" i="6" s="1"/>
  <c r="Y190" i="6" s="1"/>
  <c r="F73" i="18" s="1"/>
  <c r="U73" i="18" s="1"/>
  <c r="N197" i="6"/>
  <c r="T166" i="6"/>
  <c r="Y166" i="6" s="1"/>
  <c r="F75" i="11" s="1"/>
  <c r="W75" i="11" s="1"/>
  <c r="M36" i="4"/>
  <c r="N254" i="4"/>
  <c r="M348" i="4"/>
  <c r="Q348" i="4" s="1"/>
  <c r="V348" i="4" s="1"/>
  <c r="J52" i="19" s="1"/>
  <c r="N52" i="19" s="1"/>
  <c r="N161" i="6"/>
  <c r="M34" i="4"/>
  <c r="N33" i="6"/>
  <c r="N241" i="6"/>
  <c r="T241" i="6" s="1"/>
  <c r="Y241" i="6" s="1"/>
  <c r="B73" i="19" s="1"/>
  <c r="N63" i="6"/>
  <c r="N169" i="6"/>
  <c r="N109" i="6"/>
  <c r="N39" i="6"/>
  <c r="N185" i="4"/>
  <c r="N116" i="6"/>
  <c r="N115" i="6"/>
  <c r="N28" i="6"/>
  <c r="N48" i="6"/>
  <c r="T48" i="6" s="1"/>
  <c r="N270" i="6"/>
  <c r="N59" i="6"/>
  <c r="T59" i="6" s="1"/>
  <c r="O259" i="6"/>
  <c r="N70" i="6"/>
  <c r="T70" i="6" s="1"/>
  <c r="N293" i="6"/>
  <c r="N41" i="6"/>
  <c r="N108" i="6"/>
  <c r="N69" i="6"/>
  <c r="O354" i="6"/>
  <c r="O265" i="6"/>
  <c r="N170" i="6"/>
  <c r="O105" i="6"/>
  <c r="N17" i="6"/>
  <c r="N162" i="6"/>
  <c r="N18" i="6"/>
  <c r="O359" i="6"/>
  <c r="N120" i="6"/>
  <c r="N320" i="6"/>
  <c r="N21" i="6"/>
  <c r="N284" i="4"/>
  <c r="R284" i="4" s="1"/>
  <c r="O262" i="6"/>
  <c r="N321" i="6"/>
  <c r="T321" i="6" s="1"/>
  <c r="M368" i="4"/>
  <c r="M119" i="4"/>
  <c r="N12" i="6"/>
  <c r="N44" i="6"/>
  <c r="N117" i="6"/>
  <c r="O115" i="6"/>
  <c r="N262" i="4"/>
  <c r="O97" i="6"/>
  <c r="N62" i="6"/>
  <c r="N257" i="4"/>
  <c r="N310" i="4"/>
  <c r="R310" i="4" s="1"/>
  <c r="W310" i="4" s="1"/>
  <c r="N97" i="4"/>
  <c r="O330" i="6"/>
  <c r="U330" i="6" s="1"/>
  <c r="Z330" i="6" s="1"/>
  <c r="N64" i="4"/>
  <c r="N65" i="4"/>
  <c r="O308" i="6"/>
  <c r="N305" i="4"/>
  <c r="N308" i="4"/>
  <c r="O231" i="6"/>
  <c r="N118" i="4"/>
  <c r="O143" i="6"/>
  <c r="O21" i="6"/>
  <c r="O48" i="6"/>
  <c r="Z3" i="6"/>
  <c r="O271" i="6"/>
  <c r="O196" i="6"/>
  <c r="O286" i="6"/>
  <c r="O305" i="6"/>
  <c r="N265" i="4"/>
  <c r="O209" i="6"/>
  <c r="O65" i="6"/>
  <c r="U65" i="6" s="1"/>
  <c r="O43" i="6"/>
  <c r="O113" i="6"/>
  <c r="U113" i="6" s="1"/>
  <c r="O260" i="6"/>
  <c r="O104" i="6"/>
  <c r="N79" i="4"/>
  <c r="N363" i="4"/>
  <c r="N11" i="4"/>
  <c r="O288" i="6"/>
  <c r="N369" i="4"/>
  <c r="O239" i="6"/>
  <c r="N78" i="4"/>
  <c r="O120" i="6"/>
  <c r="Q95" i="4"/>
  <c r="V95" i="4" s="1"/>
  <c r="B49" i="18" s="1"/>
  <c r="Q49" i="18" s="1"/>
  <c r="Q154" i="4"/>
  <c r="V154" i="4" s="1"/>
  <c r="F34" i="11" s="1"/>
  <c r="W34" i="11" s="1"/>
  <c r="Q262" i="4"/>
  <c r="V262" i="4" s="1"/>
  <c r="D41" i="19" s="1"/>
  <c r="Q210" i="4"/>
  <c r="V210" i="4" s="1"/>
  <c r="H39" i="18" s="1"/>
  <c r="W39" i="18" s="1"/>
  <c r="Q333" i="4"/>
  <c r="V333" i="4" s="1"/>
  <c r="J37" i="19" s="1"/>
  <c r="Q284" i="4"/>
  <c r="V284" i="4" s="1"/>
  <c r="F38" i="19" s="1"/>
  <c r="Q82" i="4"/>
  <c r="V82" i="4" s="1"/>
  <c r="B36" i="18" s="1"/>
  <c r="Q36" i="18" s="1"/>
  <c r="Q269" i="4"/>
  <c r="V269" i="4" s="1"/>
  <c r="D48" i="19" s="1"/>
  <c r="O173" i="6"/>
  <c r="O122" i="6"/>
  <c r="U122" i="6" s="1"/>
  <c r="Q292" i="4"/>
  <c r="V292" i="4" s="1"/>
  <c r="F46" i="19" s="1"/>
  <c r="Q181" i="4"/>
  <c r="V181" i="4" s="1"/>
  <c r="F35" i="18" s="1"/>
  <c r="U35" i="18" s="1"/>
  <c r="Q234" i="4"/>
  <c r="V234" i="4" s="1"/>
  <c r="B38" i="19" s="1"/>
  <c r="Q142" i="4"/>
  <c r="V142" i="4" s="1"/>
  <c r="D46" i="18" s="1"/>
  <c r="S46" i="18" s="1"/>
  <c r="Q90" i="4"/>
  <c r="V90" i="4" s="1"/>
  <c r="B44" i="18" s="1"/>
  <c r="Q44" i="18" s="1"/>
  <c r="N170" i="4"/>
  <c r="N334" i="4"/>
  <c r="Q332" i="4"/>
  <c r="V332" i="4" s="1"/>
  <c r="J36" i="19" s="1"/>
  <c r="O222" i="6"/>
  <c r="N110" i="4"/>
  <c r="Q305" i="4"/>
  <c r="V305" i="4" s="1"/>
  <c r="H34" i="19" s="1"/>
  <c r="O318" i="6"/>
  <c r="O234" i="6"/>
  <c r="Q110" i="4"/>
  <c r="V110" i="4" s="1"/>
  <c r="D40" i="11" s="1"/>
  <c r="U40" i="11" s="1"/>
  <c r="O31" i="6"/>
  <c r="U31" i="6" s="1"/>
  <c r="Q61" i="4"/>
  <c r="V61" i="4" s="1"/>
  <c r="J41" i="11" s="1"/>
  <c r="AA41" i="11" s="1"/>
  <c r="Q54" i="4"/>
  <c r="V54" i="4" s="1"/>
  <c r="J34" i="11" s="1"/>
  <c r="AA34" i="11" s="1"/>
  <c r="Q53" i="4"/>
  <c r="V53" i="4" s="1"/>
  <c r="J33" i="11" s="1"/>
  <c r="AA33" i="11" s="1"/>
  <c r="O269" i="6"/>
  <c r="N8" i="4"/>
  <c r="N333" i="4"/>
  <c r="R333" i="4" s="1"/>
  <c r="N120" i="4"/>
  <c r="O71" i="6"/>
  <c r="U71" i="6" s="1"/>
  <c r="N113" i="4"/>
  <c r="R113" i="4" s="1"/>
  <c r="N269" i="4"/>
  <c r="R269" i="4" s="1"/>
  <c r="N331" i="4"/>
  <c r="R331" i="4" s="1"/>
  <c r="N35" i="4"/>
  <c r="R35" i="4" s="1"/>
  <c r="N220" i="4"/>
  <c r="O141" i="6"/>
  <c r="N82" i="4"/>
  <c r="O263" i="6"/>
  <c r="N247" i="4"/>
  <c r="O107" i="6"/>
  <c r="U107" i="6" s="1"/>
  <c r="O344" i="6"/>
  <c r="N213" i="4"/>
  <c r="R213" i="4" s="1"/>
  <c r="O114" i="6"/>
  <c r="U114" i="6" s="1"/>
  <c r="O355" i="6"/>
  <c r="O267" i="6"/>
  <c r="O332" i="6"/>
  <c r="O348" i="6"/>
  <c r="O121" i="6"/>
  <c r="U121" i="6" s="1"/>
  <c r="O72" i="6"/>
  <c r="O81" i="6"/>
  <c r="O144" i="6"/>
  <c r="N141" i="4"/>
  <c r="O208" i="6"/>
  <c r="N263" i="4"/>
  <c r="R263" i="4" s="1"/>
  <c r="O204" i="6"/>
  <c r="N33" i="4"/>
  <c r="O282" i="6"/>
  <c r="N107" i="4"/>
  <c r="N344" i="4"/>
  <c r="O133" i="6"/>
  <c r="N341" i="4"/>
  <c r="O223" i="6"/>
  <c r="N355" i="4"/>
  <c r="O117" i="6"/>
  <c r="N239" i="4"/>
  <c r="N92" i="4"/>
  <c r="N13" i="4"/>
  <c r="O33" i="6"/>
  <c r="N215" i="4"/>
  <c r="N267" i="4"/>
  <c r="N332" i="4"/>
  <c r="R332" i="4" s="1"/>
  <c r="N348" i="4"/>
  <c r="O11" i="6"/>
  <c r="U11" i="6" s="1"/>
  <c r="N121" i="4"/>
  <c r="R121" i="4" s="1"/>
  <c r="N72" i="4"/>
  <c r="N81" i="4"/>
  <c r="N144" i="4"/>
  <c r="R144" i="4" s="1"/>
  <c r="O363" i="6"/>
  <c r="N208" i="4"/>
  <c r="R208" i="4" s="1"/>
  <c r="O79" i="6"/>
  <c r="N204" i="4"/>
  <c r="R204" i="4" s="1"/>
  <c r="O369" i="6"/>
  <c r="O78" i="6"/>
  <c r="U78" i="6" s="1"/>
  <c r="Z78" i="6" s="1"/>
  <c r="C61" i="18" s="1"/>
  <c r="R61" i="18" s="1"/>
  <c r="N282" i="4"/>
  <c r="R282" i="4" s="1"/>
  <c r="O281" i="6"/>
  <c r="O157" i="6"/>
  <c r="O333" i="6"/>
  <c r="O156" i="6"/>
  <c r="O218" i="6"/>
  <c r="N117" i="4"/>
  <c r="O311" i="6"/>
  <c r="O296" i="6"/>
  <c r="N156" i="4"/>
  <c r="O47" i="6"/>
  <c r="U47" i="6" s="1"/>
  <c r="O38" i="6"/>
  <c r="U38" i="6" s="1"/>
  <c r="O242" i="6"/>
  <c r="U242" i="6" s="1"/>
  <c r="N71" i="4"/>
  <c r="R71" i="4" s="1"/>
  <c r="N285" i="4"/>
  <c r="N179" i="4"/>
  <c r="R179" i="4" s="1"/>
  <c r="O236" i="6"/>
  <c r="O342" i="6"/>
  <c r="O179" i="6"/>
  <c r="N311" i="4"/>
  <c r="N296" i="4"/>
  <c r="R296" i="4" s="1"/>
  <c r="O158" i="6"/>
  <c r="O337" i="6"/>
  <c r="N47" i="4"/>
  <c r="R47" i="4" s="1"/>
  <c r="O4" i="6"/>
  <c r="U4" i="6" s="1"/>
  <c r="N38" i="4"/>
  <c r="R38" i="4" s="1"/>
  <c r="O54" i="6"/>
  <c r="U54" i="6" s="1"/>
  <c r="O166" i="6"/>
  <c r="U166" i="6" s="1"/>
  <c r="O138" i="6"/>
  <c r="N242" i="4"/>
  <c r="N106" i="4"/>
  <c r="R106" i="4" s="1"/>
  <c r="O297" i="6"/>
  <c r="N217" i="4"/>
  <c r="N342" i="4"/>
  <c r="N288" i="4"/>
  <c r="O285" i="6"/>
  <c r="O68" i="6"/>
  <c r="O331" i="6"/>
  <c r="N158" i="4"/>
  <c r="N337" i="4"/>
  <c r="R337" i="4" s="1"/>
  <c r="O35" i="6"/>
  <c r="N4" i="4"/>
  <c r="O220" i="6"/>
  <c r="N54" i="4"/>
  <c r="R54" i="4" s="1"/>
  <c r="N166" i="4"/>
  <c r="N138" i="4"/>
  <c r="O82" i="6"/>
  <c r="O13" i="6"/>
  <c r="U13" i="6" s="1"/>
  <c r="O247" i="6"/>
  <c r="O215" i="6"/>
  <c r="N297" i="4"/>
  <c r="R297" i="4" s="1"/>
  <c r="O213" i="6"/>
  <c r="O56" i="6"/>
  <c r="O8" i="6"/>
  <c r="O95" i="6"/>
  <c r="N157" i="4"/>
  <c r="R157" i="4" s="1"/>
  <c r="N119" i="4"/>
  <c r="N29" i="4"/>
  <c r="R29" i="4" s="1"/>
  <c r="O341" i="6"/>
  <c r="O92" i="6"/>
  <c r="U92" i="6" s="1"/>
  <c r="N223" i="4"/>
  <c r="R223" i="4" s="1"/>
  <c r="N218" i="4"/>
  <c r="N281" i="4"/>
  <c r="R281" i="4" s="1"/>
  <c r="N114" i="4"/>
  <c r="R114" i="4" s="1"/>
  <c r="O62" i="6"/>
  <c r="O55" i="6"/>
  <c r="U55" i="6" s="1"/>
  <c r="O205" i="6"/>
  <c r="N286" i="4"/>
  <c r="N203" i="4"/>
  <c r="R203" i="4" s="1"/>
  <c r="O309" i="6"/>
  <c r="N139" i="4"/>
  <c r="R139" i="4" s="1"/>
  <c r="N319" i="4"/>
  <c r="N309" i="4"/>
  <c r="O292" i="6"/>
  <c r="O353" i="6"/>
  <c r="N273" i="4"/>
  <c r="R273" i="4" s="1"/>
  <c r="O80" i="6"/>
  <c r="U80" i="6" s="1"/>
  <c r="O41" i="6"/>
  <c r="O197" i="6"/>
  <c r="O328" i="6"/>
  <c r="N84" i="4"/>
  <c r="N90" i="4"/>
  <c r="R90" i="4" s="1"/>
  <c r="O163" i="6"/>
  <c r="N289" i="4"/>
  <c r="O42" i="6"/>
  <c r="O372" i="6"/>
  <c r="O119" i="6"/>
  <c r="N236" i="4"/>
  <c r="R236" i="4" s="1"/>
  <c r="N190" i="4"/>
  <c r="O370" i="6"/>
  <c r="N68" i="4"/>
  <c r="O264" i="6"/>
  <c r="O32" i="6"/>
  <c r="N59" i="4"/>
  <c r="O165" i="6"/>
  <c r="N287" i="4"/>
  <c r="R287" i="4" s="1"/>
  <c r="O135" i="6"/>
  <c r="N165" i="4"/>
  <c r="R165" i="4" s="1"/>
  <c r="O112" i="6"/>
  <c r="O103" i="6"/>
  <c r="N42" i="4"/>
  <c r="N270" i="4"/>
  <c r="N132" i="4"/>
  <c r="R132" i="4" s="1"/>
  <c r="N357" i="4"/>
  <c r="R357" i="4" s="1"/>
  <c r="O73" i="6"/>
  <c r="U73" i="6" s="1"/>
  <c r="N358" i="4"/>
  <c r="R358" i="4" s="1"/>
  <c r="N291" i="4"/>
  <c r="R291" i="4" s="1"/>
  <c r="O53" i="6"/>
  <c r="U53" i="6" s="1"/>
  <c r="O314" i="6"/>
  <c r="N116" i="4"/>
  <c r="N133" i="4"/>
  <c r="N95" i="4"/>
  <c r="R95" i="4" s="1"/>
  <c r="O192" i="6"/>
  <c r="N32" i="4"/>
  <c r="N134" i="4"/>
  <c r="N148" i="4"/>
  <c r="R148" i="4" s="1"/>
  <c r="W148" i="4" s="1"/>
  <c r="E52" i="18" s="1"/>
  <c r="T52" i="18" s="1"/>
  <c r="O290" i="6"/>
  <c r="O291" i="6"/>
  <c r="O193" i="6"/>
  <c r="N15" i="4"/>
  <c r="N278" i="4"/>
  <c r="R278" i="4" s="1"/>
  <c r="N339" i="4"/>
  <c r="R339" i="4" s="1"/>
  <c r="N18" i="4"/>
  <c r="O360" i="6"/>
  <c r="U360" i="6" s="1"/>
  <c r="N53" i="4"/>
  <c r="R53" i="4" s="1"/>
  <c r="O329" i="6"/>
  <c r="O229" i="6"/>
  <c r="O28" i="6"/>
  <c r="N159" i="4"/>
  <c r="R159" i="4" s="1"/>
  <c r="O167" i="6"/>
  <c r="O189" i="6"/>
  <c r="U189" i="6" s="1"/>
  <c r="N192" i="4"/>
  <c r="R192" i="4" s="1"/>
  <c r="O22" i="6"/>
  <c r="U22" i="6" s="1"/>
  <c r="N272" i="4"/>
  <c r="R272" i="4" s="1"/>
  <c r="N345" i="4"/>
  <c r="R345" i="4" s="1"/>
  <c r="O364" i="6"/>
  <c r="O207" i="6"/>
  <c r="O340" i="6"/>
  <c r="N169" i="4"/>
  <c r="O365" i="6"/>
  <c r="N255" i="4"/>
  <c r="R255" i="4" s="1"/>
  <c r="N167" i="4"/>
  <c r="R167" i="4" s="1"/>
  <c r="N189" i="4"/>
  <c r="O336" i="6"/>
  <c r="N22" i="4"/>
  <c r="O335" i="6"/>
  <c r="O368" i="6"/>
  <c r="O183" i="6"/>
  <c r="N88" i="4"/>
  <c r="N20" i="4"/>
  <c r="N219" i="4"/>
  <c r="R219" i="4" s="1"/>
  <c r="O123" i="6"/>
  <c r="U123" i="6" s="1"/>
  <c r="N198" i="4"/>
  <c r="O66" i="6"/>
  <c r="U66" i="6" s="1"/>
  <c r="N340" i="4"/>
  <c r="N365" i="4"/>
  <c r="R365" i="4" s="1"/>
  <c r="N14" i="4"/>
  <c r="O106" i="6"/>
  <c r="U106" i="6" s="1"/>
  <c r="O217" i="6"/>
  <c r="N336" i="4"/>
  <c r="R336" i="4" s="1"/>
  <c r="N335" i="4"/>
  <c r="R335" i="4" s="1"/>
  <c r="N368" i="4"/>
  <c r="O29" i="6"/>
  <c r="N183" i="4"/>
  <c r="R183" i="4" s="1"/>
  <c r="N94" i="4"/>
  <c r="R94" i="4" s="1"/>
  <c r="O132" i="6"/>
  <c r="O186" i="6"/>
  <c r="O235" i="6"/>
  <c r="O109" i="6"/>
  <c r="N235" i="4"/>
  <c r="R235" i="4" s="1"/>
  <c r="O129" i="6"/>
  <c r="O188" i="6"/>
  <c r="O59" i="6"/>
  <c r="N87" i="4"/>
  <c r="R87" i="4" s="1"/>
  <c r="N371" i="4"/>
  <c r="N61" i="4"/>
  <c r="R61" i="4" s="1"/>
  <c r="O178" i="6"/>
  <c r="O153" i="6"/>
  <c r="N283" i="4"/>
  <c r="R283" i="4" s="1"/>
  <c r="N142" i="4"/>
  <c r="R142" i="4" s="1"/>
  <c r="N212" i="4"/>
  <c r="R212" i="4" s="1"/>
  <c r="O37" i="6"/>
  <c r="N182" i="4"/>
  <c r="N241" i="4"/>
  <c r="O361" i="6"/>
  <c r="N40" i="4"/>
  <c r="N279" i="4"/>
  <c r="O89" i="6"/>
  <c r="N128" i="4"/>
  <c r="R128" i="4" s="1"/>
  <c r="O187" i="6"/>
  <c r="N216" i="4"/>
  <c r="R216" i="4" s="1"/>
  <c r="O17" i="6"/>
  <c r="N6" i="4"/>
  <c r="N181" i="4"/>
  <c r="R181" i="4" s="1"/>
  <c r="O170" i="6"/>
  <c r="N178" i="4"/>
  <c r="R178" i="4" s="1"/>
  <c r="O334" i="6"/>
  <c r="N153" i="4"/>
  <c r="N37" i="4"/>
  <c r="R37" i="4" s="1"/>
  <c r="O110" i="6"/>
  <c r="N361" i="4"/>
  <c r="N89" i="4"/>
  <c r="O90" i="6"/>
  <c r="N187" i="4"/>
  <c r="O289" i="6"/>
  <c r="N17" i="4"/>
  <c r="O84" i="6"/>
  <c r="N318" i="4"/>
  <c r="O87" i="6"/>
  <c r="O36" i="6"/>
  <c r="N260" i="4"/>
  <c r="R260" i="4" s="1"/>
  <c r="O238" i="6"/>
  <c r="O180" i="6"/>
  <c r="N222" i="4"/>
  <c r="R222" i="4" s="1"/>
  <c r="N234" i="4"/>
  <c r="R234" i="4" s="1"/>
  <c r="O322" i="6"/>
  <c r="N173" i="4"/>
  <c r="R173" i="4" s="1"/>
  <c r="N104" i="4"/>
  <c r="N122" i="4"/>
  <c r="R122" i="4" s="1"/>
  <c r="O10" i="6"/>
  <c r="O266" i="6"/>
  <c r="O91" i="6"/>
  <c r="N370" i="4"/>
  <c r="N56" i="4"/>
  <c r="O83" i="6"/>
  <c r="U83" i="6" s="1"/>
  <c r="O307" i="6"/>
  <c r="N328" i="4"/>
  <c r="R328" i="4" s="1"/>
  <c r="O184" i="6"/>
  <c r="N163" i="4"/>
  <c r="R163" i="4" s="1"/>
  <c r="O245" i="6"/>
  <c r="N238" i="4"/>
  <c r="R238" i="4" s="1"/>
  <c r="N180" i="4"/>
  <c r="R180" i="4" s="1"/>
  <c r="O162" i="6"/>
  <c r="N322" i="4"/>
  <c r="R322" i="4" s="1"/>
  <c r="O57" i="6"/>
  <c r="U57" i="6" s="1"/>
  <c r="O154" i="6"/>
  <c r="O356" i="6"/>
  <c r="O256" i="6"/>
  <c r="O23" i="6"/>
  <c r="U23" i="6" s="1"/>
  <c r="Z23" i="6" s="1"/>
  <c r="AA23" i="6" s="1"/>
  <c r="O140" i="6"/>
  <c r="N10" i="4"/>
  <c r="N266" i="4"/>
  <c r="R266" i="4" s="1"/>
  <c r="O261" i="6"/>
  <c r="N91" i="4"/>
  <c r="R91" i="4" s="1"/>
  <c r="N83" i="4"/>
  <c r="N307" i="4"/>
  <c r="R307" i="4" s="1"/>
  <c r="N184" i="4"/>
  <c r="R184" i="4" s="1"/>
  <c r="O195" i="6"/>
  <c r="N245" i="4"/>
  <c r="R245" i="4" s="1"/>
  <c r="O303" i="6"/>
  <c r="N162" i="4"/>
  <c r="N57" i="4"/>
  <c r="R57" i="4" s="1"/>
  <c r="O137" i="6"/>
  <c r="O70" i="6"/>
  <c r="O317" i="6"/>
  <c r="N154" i="4"/>
  <c r="R154" i="4" s="1"/>
  <c r="N356" i="4"/>
  <c r="R356" i="4" s="1"/>
  <c r="N256" i="4"/>
  <c r="R256" i="4" s="1"/>
  <c r="N23" i="4"/>
  <c r="R23" i="4" s="1"/>
  <c r="W23" i="4" s="1"/>
  <c r="X23" i="4" s="1"/>
  <c r="N140" i="4"/>
  <c r="R140" i="4" s="1"/>
  <c r="O248" i="6"/>
  <c r="O306" i="6"/>
  <c r="O230" i="6"/>
  <c r="N261" i="4"/>
  <c r="O60" i="6"/>
  <c r="O268" i="6"/>
  <c r="N36" i="4"/>
  <c r="N195" i="4"/>
  <c r="R195" i="4" s="1"/>
  <c r="O155" i="6"/>
  <c r="N303" i="4"/>
  <c r="R303" i="4" s="1"/>
  <c r="O237" i="6"/>
  <c r="O161" i="6"/>
  <c r="N137" i="4"/>
  <c r="R137" i="4" s="1"/>
  <c r="N70" i="4"/>
  <c r="N317" i="4"/>
  <c r="R317" i="4" s="1"/>
  <c r="O39" i="6"/>
  <c r="O316" i="6"/>
  <c r="O93" i="6"/>
  <c r="N248" i="4"/>
  <c r="R248" i="4" s="1"/>
  <c r="N306" i="4"/>
  <c r="R306" i="4" s="1"/>
  <c r="O172" i="6"/>
  <c r="O253" i="6"/>
  <c r="U253" i="6" s="1"/>
  <c r="N230" i="4"/>
  <c r="R230" i="4" s="1"/>
  <c r="O45" i="6"/>
  <c r="U45" i="6" s="1"/>
  <c r="O191" i="6"/>
  <c r="N60" i="4"/>
  <c r="O258" i="6"/>
  <c r="N268" i="4"/>
  <c r="R268" i="4" s="1"/>
  <c r="O371" i="6"/>
  <c r="O61" i="6"/>
  <c r="N155" i="4"/>
  <c r="R155" i="4" s="1"/>
  <c r="N237" i="4"/>
  <c r="R237" i="4" s="1"/>
  <c r="N161" i="4"/>
  <c r="O283" i="6"/>
  <c r="O142" i="6"/>
  <c r="O212" i="6"/>
  <c r="N39" i="4"/>
  <c r="N316" i="4"/>
  <c r="R316" i="4" s="1"/>
  <c r="O182" i="6"/>
  <c r="N93" i="4"/>
  <c r="R93" i="4" s="1"/>
  <c r="O241" i="6"/>
  <c r="O40" i="6"/>
  <c r="O279" i="6"/>
  <c r="N172" i="4"/>
  <c r="R172" i="4" s="1"/>
  <c r="N253" i="4"/>
  <c r="N45" i="4"/>
  <c r="R45" i="4" s="1"/>
  <c r="N191" i="4"/>
  <c r="R191" i="4" s="1"/>
  <c r="O128" i="6"/>
  <c r="N258" i="4"/>
  <c r="R258" i="4" s="1"/>
  <c r="O216" i="6"/>
  <c r="O6" i="6"/>
  <c r="U6" i="6" s="1"/>
  <c r="O181" i="6"/>
  <c r="O86" i="6"/>
  <c r="N160" i="4"/>
  <c r="R160" i="4" s="1"/>
  <c r="O313" i="6"/>
  <c r="U313" i="6" s="1"/>
  <c r="N115" i="4"/>
  <c r="N31" i="4"/>
  <c r="R31" i="4" s="1"/>
  <c r="N105" i="4"/>
  <c r="R105" i="4" s="1"/>
  <c r="N143" i="4"/>
  <c r="R143" i="4" s="1"/>
  <c r="N354" i="4"/>
  <c r="R354" i="4" s="1"/>
  <c r="N259" i="4"/>
  <c r="R259" i="4" s="1"/>
  <c r="N231" i="4"/>
  <c r="R231" i="4" s="1"/>
  <c r="O246" i="6"/>
  <c r="O338" i="6"/>
  <c r="N292" i="4"/>
  <c r="R292" i="4" s="1"/>
  <c r="N41" i="4"/>
  <c r="N55" i="4"/>
  <c r="R55" i="4" s="1"/>
  <c r="N353" i="4"/>
  <c r="N197" i="4"/>
  <c r="N294" i="4"/>
  <c r="R294" i="4" s="1"/>
  <c r="N86" i="4"/>
  <c r="R86" i="4" s="1"/>
  <c r="N313" i="4"/>
  <c r="O206" i="6"/>
  <c r="O254" i="6"/>
  <c r="O64" i="6"/>
  <c r="O203" i="6"/>
  <c r="N246" i="4"/>
  <c r="R246" i="4" s="1"/>
  <c r="O273" i="6"/>
  <c r="N330" i="4"/>
  <c r="R330" i="4" s="1"/>
  <c r="N233" i="4"/>
  <c r="O58" i="6"/>
  <c r="U58" i="6" s="1"/>
  <c r="N21" i="4"/>
  <c r="O44" i="6"/>
  <c r="O240" i="6"/>
  <c r="N48" i="4"/>
  <c r="N271" i="4"/>
  <c r="R271" i="4" s="1"/>
  <c r="N359" i="4"/>
  <c r="R359" i="4" s="1"/>
  <c r="N209" i="4"/>
  <c r="O164" i="6"/>
  <c r="O304" i="6"/>
  <c r="N168" i="4"/>
  <c r="R168" i="4" s="1"/>
  <c r="O98" i="6"/>
  <c r="O136" i="6"/>
  <c r="N211" i="4"/>
  <c r="R211" i="4" s="1"/>
  <c r="O34" i="6"/>
  <c r="O171" i="6"/>
  <c r="O111" i="6"/>
  <c r="U111" i="6" s="1"/>
  <c r="O146" i="6"/>
  <c r="N80" i="4"/>
  <c r="N43" i="4"/>
  <c r="N196" i="4"/>
  <c r="R196" i="4" s="1"/>
  <c r="W196" i="4" s="1"/>
  <c r="X196" i="4" s="1"/>
  <c r="Z196" i="4" s="1"/>
  <c r="N244" i="4"/>
  <c r="O320" i="6"/>
  <c r="O321" i="6"/>
  <c r="O46" i="6"/>
  <c r="U46" i="6" s="1"/>
  <c r="N62" i="4"/>
  <c r="N58" i="4"/>
  <c r="R58" i="4" s="1"/>
  <c r="O232" i="6"/>
  <c r="N44" i="4"/>
  <c r="O63" i="6"/>
  <c r="N240" i="4"/>
  <c r="R240" i="4" s="1"/>
  <c r="N164" i="4"/>
  <c r="R164" i="4" s="1"/>
  <c r="N304" i="4"/>
  <c r="N98" i="4"/>
  <c r="O85" i="6"/>
  <c r="N136" i="4"/>
  <c r="R136" i="4" s="1"/>
  <c r="N34" i="4"/>
  <c r="N171" i="4"/>
  <c r="R171" i="4" s="1"/>
  <c r="O96" i="6"/>
  <c r="N111" i="4"/>
  <c r="R111" i="4" s="1"/>
  <c r="N146" i="4"/>
  <c r="R146" i="4" s="1"/>
  <c r="O12" i="6"/>
  <c r="N30" i="4"/>
  <c r="R30" i="4" s="1"/>
  <c r="N320" i="4"/>
  <c r="N321" i="4"/>
  <c r="O343" i="6"/>
  <c r="N46" i="4"/>
  <c r="R46" i="4" s="1"/>
  <c r="O315" i="6"/>
  <c r="O118" i="6"/>
  <c r="N232" i="4"/>
  <c r="R232" i="4" s="1"/>
  <c r="N63" i="4"/>
  <c r="O185" i="6"/>
  <c r="O310" i="6"/>
  <c r="O284" i="6"/>
  <c r="O280" i="6"/>
  <c r="N85" i="4"/>
  <c r="R85" i="4" s="1"/>
  <c r="N96" i="4"/>
  <c r="O319" i="6"/>
  <c r="N12" i="4"/>
  <c r="O139" i="6"/>
  <c r="N343" i="4"/>
  <c r="R343" i="4" s="1"/>
  <c r="O362" i="6"/>
  <c r="N315" i="4"/>
  <c r="R315" i="4" s="1"/>
  <c r="O69" i="6"/>
  <c r="N360" i="4"/>
  <c r="O255" i="6"/>
  <c r="O345" i="6"/>
  <c r="O94" i="6"/>
  <c r="N69" i="4"/>
  <c r="N290" i="4"/>
  <c r="R290" i="4" s="1"/>
  <c r="N372" i="4"/>
  <c r="R372" i="4" s="1"/>
  <c r="N193" i="4"/>
  <c r="R193" i="4" s="1"/>
  <c r="N112" i="4"/>
  <c r="N73" i="4"/>
  <c r="R73" i="4" s="1"/>
  <c r="N364" i="4"/>
  <c r="R364" i="4" s="1"/>
  <c r="N329" i="4"/>
  <c r="R329" i="4" s="1"/>
  <c r="N229" i="4"/>
  <c r="R229" i="4" s="1"/>
  <c r="N264" i="4"/>
  <c r="R264" i="4" s="1"/>
  <c r="N314" i="4"/>
  <c r="R314" i="4" s="1"/>
  <c r="N135" i="4"/>
  <c r="R135" i="4" s="1"/>
  <c r="N28" i="4"/>
  <c r="N103" i="4"/>
  <c r="O214" i="6"/>
  <c r="O30" i="6"/>
  <c r="U30" i="6" s="1"/>
  <c r="O312" i="6"/>
  <c r="U312" i="6" s="1"/>
  <c r="O244" i="6"/>
  <c r="O294" i="6"/>
  <c r="N186" i="4"/>
  <c r="R186" i="4" s="1"/>
  <c r="N129" i="4"/>
  <c r="R129" i="4" s="1"/>
  <c r="N109" i="4"/>
  <c r="N188" i="4"/>
  <c r="R188" i="4" s="1"/>
  <c r="O221" i="6"/>
  <c r="N205" i="4"/>
  <c r="R205" i="4" s="1"/>
  <c r="O15" i="6"/>
  <c r="U15" i="6" s="1"/>
  <c r="O278" i="6"/>
  <c r="O88" i="6"/>
  <c r="U88" i="6" s="1"/>
  <c r="O219" i="6"/>
  <c r="O67" i="6"/>
  <c r="U67" i="6" s="1"/>
  <c r="O194" i="6"/>
  <c r="O228" i="6"/>
  <c r="O298" i="6"/>
  <c r="O323" i="6"/>
  <c r="O366" i="6"/>
  <c r="O131" i="6"/>
  <c r="U131" i="6" s="1"/>
  <c r="N214" i="4"/>
  <c r="R214" i="4" s="1"/>
  <c r="N312" i="4"/>
  <c r="O293" i="6"/>
  <c r="N221" i="4"/>
  <c r="R221" i="4" s="1"/>
  <c r="N194" i="4"/>
  <c r="R194" i="4" s="1"/>
  <c r="N228" i="4"/>
  <c r="R228" i="4" s="1"/>
  <c r="N298" i="4"/>
  <c r="R298" i="4" s="1"/>
  <c r="N323" i="4"/>
  <c r="R323" i="4" s="1"/>
  <c r="N366" i="4"/>
  <c r="R366" i="4" s="1"/>
  <c r="N131" i="4"/>
  <c r="O19" i="6"/>
  <c r="O295" i="6"/>
  <c r="O243" i="6"/>
  <c r="O7" i="6"/>
  <c r="U7" i="6" s="1"/>
  <c r="O5" i="6"/>
  <c r="N293" i="4"/>
  <c r="O210" i="6"/>
  <c r="N67" i="4"/>
  <c r="R67" i="4" s="1"/>
  <c r="O357" i="6"/>
  <c r="O198" i="6"/>
  <c r="O190" i="6"/>
  <c r="O270" i="6"/>
  <c r="O358" i="6"/>
  <c r="O287" i="6"/>
  <c r="O339" i="6"/>
  <c r="O134" i="6"/>
  <c r="O18" i="6"/>
  <c r="O272" i="6"/>
  <c r="N207" i="4"/>
  <c r="R207" i="4" s="1"/>
  <c r="N123" i="4"/>
  <c r="R123" i="4" s="1"/>
  <c r="N66" i="4"/>
  <c r="R66" i="4" s="1"/>
  <c r="O169" i="6"/>
  <c r="O20" i="6"/>
  <c r="U20" i="6" s="1"/>
  <c r="O14" i="6"/>
  <c r="U14" i="6" s="1"/>
  <c r="O159" i="6"/>
  <c r="O116" i="6"/>
  <c r="N19" i="4"/>
  <c r="R19" i="4" s="1"/>
  <c r="N295" i="4"/>
  <c r="R295" i="4" s="1"/>
  <c r="N338" i="4"/>
  <c r="R338" i="4" s="1"/>
  <c r="N243" i="4"/>
  <c r="N7" i="4"/>
  <c r="N5" i="4"/>
  <c r="O108" i="6"/>
  <c r="N362" i="4"/>
  <c r="R362" i="4" s="1"/>
  <c r="N210" i="4"/>
  <c r="R210" i="4" s="1"/>
  <c r="O9" i="6"/>
  <c r="N9" i="4"/>
  <c r="R9" i="4" s="1"/>
  <c r="N108" i="4"/>
  <c r="O373" i="6"/>
  <c r="N373" i="4"/>
  <c r="R373" i="4" s="1"/>
  <c r="O367" i="6"/>
  <c r="N367" i="4"/>
  <c r="R367" i="4" s="1"/>
  <c r="O346" i="6"/>
  <c r="N346" i="4"/>
  <c r="R346" i="4" s="1"/>
  <c r="O347" i="6"/>
  <c r="N347" i="4"/>
  <c r="R347" i="4" s="1"/>
  <c r="O147" i="6"/>
  <c r="O148" i="6"/>
  <c r="O145" i="6"/>
  <c r="N147" i="4"/>
  <c r="R147" i="4" s="1"/>
  <c r="N145" i="4"/>
  <c r="R145" i="4" s="1"/>
  <c r="T54" i="6"/>
  <c r="T53" i="6"/>
  <c r="Z211" i="6"/>
  <c r="V211" i="6"/>
  <c r="W211" i="6" s="1"/>
  <c r="Z16" i="6"/>
  <c r="V16" i="6"/>
  <c r="W16" i="6" s="1"/>
  <c r="S3" i="4"/>
  <c r="W16" i="4"/>
  <c r="S16" i="4"/>
  <c r="Y57" i="6"/>
  <c r="J66" i="11" s="1"/>
  <c r="AA66" i="11" s="1"/>
  <c r="T253" i="6"/>
  <c r="Y253" i="6" s="1"/>
  <c r="D60" i="19" s="1"/>
  <c r="T131" i="6"/>
  <c r="Y131" i="6" s="1"/>
  <c r="D64" i="18" s="1"/>
  <c r="S64" i="18" s="1"/>
  <c r="T88" i="6"/>
  <c r="Y88" i="6" s="1"/>
  <c r="B71" i="18" s="1"/>
  <c r="Q71" i="18" s="1"/>
  <c r="Y71" i="18" s="1"/>
  <c r="T360" i="6"/>
  <c r="Y360" i="6" s="1"/>
  <c r="L67" i="19" s="1"/>
  <c r="T242" i="6"/>
  <c r="Y242" i="6" s="1"/>
  <c r="B74" i="19" s="1"/>
  <c r="T92" i="6"/>
  <c r="Y92" i="6" s="1"/>
  <c r="B75" i="18" s="1"/>
  <c r="Q75" i="18" s="1"/>
  <c r="T312" i="6"/>
  <c r="Y312" i="6" s="1"/>
  <c r="H69" i="19" s="1"/>
  <c r="Y38" i="6"/>
  <c r="H72" i="11" s="1"/>
  <c r="Y72" i="11" s="1"/>
  <c r="Y71" i="6"/>
  <c r="J80" i="11" s="1"/>
  <c r="AA80" i="11" s="1"/>
  <c r="Y67" i="6"/>
  <c r="J76" i="11" s="1"/>
  <c r="AA76" i="11" s="1"/>
  <c r="Y46" i="6"/>
  <c r="H80" i="11" s="1"/>
  <c r="Y80" i="11" s="1"/>
  <c r="T83" i="6"/>
  <c r="Y83" i="6" s="1"/>
  <c r="B66" i="18" s="1"/>
  <c r="Q66" i="18" s="1"/>
  <c r="T313" i="6"/>
  <c r="Y313" i="6" s="1"/>
  <c r="H70" i="19" s="1"/>
  <c r="N70" i="19" s="1"/>
  <c r="T80" i="6"/>
  <c r="Y80" i="6" s="1"/>
  <c r="B63" i="18" s="1"/>
  <c r="Q63" i="18" s="1"/>
  <c r="Y65" i="6"/>
  <c r="J74" i="11" s="1"/>
  <c r="AA74" i="11" s="1"/>
  <c r="Y58" i="6"/>
  <c r="J67" i="11" s="1"/>
  <c r="AA67" i="11" s="1"/>
  <c r="T189" i="6"/>
  <c r="Y189" i="6" s="1"/>
  <c r="F72" i="18" s="1"/>
  <c r="U72" i="18" s="1"/>
  <c r="Y65" i="18" l="1"/>
  <c r="Y39" i="18"/>
  <c r="Y73" i="18"/>
  <c r="Y35" i="18"/>
  <c r="Y63" i="18"/>
  <c r="AC45" i="11"/>
  <c r="Y36" i="18"/>
  <c r="Y52" i="18"/>
  <c r="Y43" i="18"/>
  <c r="Y74" i="18"/>
  <c r="Y75" i="18"/>
  <c r="Y68" i="18"/>
  <c r="Y44" i="18"/>
  <c r="Y61" i="18"/>
  <c r="Y49" i="18"/>
  <c r="Y66" i="18"/>
  <c r="Y64" i="18"/>
  <c r="Y38" i="18"/>
  <c r="Y46" i="18"/>
  <c r="AC43" i="11"/>
  <c r="L36" i="11"/>
  <c r="AA36" i="11"/>
  <c r="L37" i="11"/>
  <c r="Y37" i="11"/>
  <c r="AC33" i="11"/>
  <c r="AC47" i="11"/>
  <c r="AC52" i="11"/>
  <c r="J33" i="18"/>
  <c r="Q33" i="18"/>
  <c r="Y33" i="18" s="1"/>
  <c r="J79" i="18"/>
  <c r="J48" i="18"/>
  <c r="W48" i="18"/>
  <c r="Y48" i="18" s="1"/>
  <c r="J78" i="18"/>
  <c r="J41" i="18"/>
  <c r="Q41" i="18"/>
  <c r="Y41" i="18" s="1"/>
  <c r="J47" i="18"/>
  <c r="W47" i="18"/>
  <c r="Y47" i="18" s="1"/>
  <c r="J70" i="18"/>
  <c r="J34" i="18"/>
  <c r="Q34" i="18"/>
  <c r="Y34" i="18" s="1"/>
  <c r="J50" i="18"/>
  <c r="Q50" i="18"/>
  <c r="Y50" i="18" s="1"/>
  <c r="J71" i="18"/>
  <c r="J42" i="18"/>
  <c r="Q42" i="18"/>
  <c r="Y42" i="18" s="1"/>
  <c r="J45" i="18"/>
  <c r="S45" i="18"/>
  <c r="Y45" i="18" s="1"/>
  <c r="J68" i="18"/>
  <c r="U42" i="6"/>
  <c r="U234" i="6"/>
  <c r="V234" i="6" s="1"/>
  <c r="W234" i="6" s="1"/>
  <c r="U181" i="6"/>
  <c r="Z181" i="6" s="1"/>
  <c r="Z23" i="4"/>
  <c r="U9" i="6"/>
  <c r="V9" i="6" s="1"/>
  <c r="W9" i="6" s="1"/>
  <c r="R360" i="4"/>
  <c r="S360" i="4" s="1"/>
  <c r="T360" i="4" s="1"/>
  <c r="U110" i="6"/>
  <c r="Z110" i="6" s="1"/>
  <c r="R242" i="4"/>
  <c r="W242" i="4" s="1"/>
  <c r="U305" i="6"/>
  <c r="Z305" i="6" s="1"/>
  <c r="R131" i="4"/>
  <c r="S131" i="4" s="1"/>
  <c r="U61" i="6"/>
  <c r="U82" i="6"/>
  <c r="V82" i="6" s="1"/>
  <c r="W82" i="6" s="1"/>
  <c r="N49" i="19"/>
  <c r="J73" i="18"/>
  <c r="N51" i="19"/>
  <c r="N39" i="19"/>
  <c r="N67" i="19"/>
  <c r="N80" i="19"/>
  <c r="N76" i="19"/>
  <c r="N38" i="19"/>
  <c r="N32" i="19"/>
  <c r="N62" i="19"/>
  <c r="N34" i="19"/>
  <c r="N63" i="19"/>
  <c r="N66" i="19"/>
  <c r="N71" i="19"/>
  <c r="N72" i="19"/>
  <c r="N68" i="19"/>
  <c r="N74" i="19"/>
  <c r="N46" i="19"/>
  <c r="N41" i="19"/>
  <c r="N73" i="19"/>
  <c r="N69" i="19"/>
  <c r="J74" i="18"/>
  <c r="N48" i="19"/>
  <c r="N40" i="19"/>
  <c r="N37" i="19"/>
  <c r="N36" i="19"/>
  <c r="Y153" i="6"/>
  <c r="F62" i="11" s="1"/>
  <c r="W62" i="11" s="1"/>
  <c r="J66" i="18"/>
  <c r="L43" i="11"/>
  <c r="L45" i="11"/>
  <c r="J61" i="18"/>
  <c r="AB23" i="6"/>
  <c r="AC23" i="6"/>
  <c r="J63" i="18"/>
  <c r="J65" i="18"/>
  <c r="L52" i="11"/>
  <c r="L47" i="11"/>
  <c r="J75" i="18"/>
  <c r="L33" i="11"/>
  <c r="J64" i="18"/>
  <c r="Z130" i="6"/>
  <c r="AA130" i="6" s="1"/>
  <c r="U292" i="6"/>
  <c r="Z292" i="6" s="1"/>
  <c r="S130" i="4"/>
  <c r="T130" i="4" s="1"/>
  <c r="R101" i="20"/>
  <c r="W101" i="20" s="1"/>
  <c r="X101" i="20" s="1"/>
  <c r="Y101" i="20" s="1"/>
  <c r="X3" i="4"/>
  <c r="Z3" i="4" s="1"/>
  <c r="J49" i="18"/>
  <c r="R105" i="20"/>
  <c r="W105" i="20" s="1"/>
  <c r="X105" i="20" s="1"/>
  <c r="Y105" i="20" s="1"/>
  <c r="R79" i="22"/>
  <c r="S79" i="22" s="1"/>
  <c r="T79" i="22" s="1"/>
  <c r="R114" i="22"/>
  <c r="S114" i="22" s="1"/>
  <c r="T114" i="22" s="1"/>
  <c r="Z160" i="6"/>
  <c r="AA160" i="6" s="1"/>
  <c r="R62" i="22"/>
  <c r="S62" i="22" s="1"/>
  <c r="T62" i="22" s="1"/>
  <c r="R68" i="22"/>
  <c r="S68" i="22" s="1"/>
  <c r="T68" i="22" s="1"/>
  <c r="V330" i="6"/>
  <c r="W330" i="6" s="1"/>
  <c r="J36" i="18"/>
  <c r="R210" i="22"/>
  <c r="W210" i="22" s="1"/>
  <c r="X210" i="22" s="1"/>
  <c r="Y210" i="22" s="1"/>
  <c r="T233" i="6"/>
  <c r="Y233" i="6" s="1"/>
  <c r="B65" i="19" s="1"/>
  <c r="N65" i="19" s="1"/>
  <c r="R66" i="22"/>
  <c r="W66" i="22" s="1"/>
  <c r="X66" i="22" s="1"/>
  <c r="Y66" i="22" s="1"/>
  <c r="J39" i="18"/>
  <c r="R106" i="22"/>
  <c r="W106" i="22" s="1"/>
  <c r="X106" i="22" s="1"/>
  <c r="Y106" i="22" s="1"/>
  <c r="S310" i="4"/>
  <c r="T310" i="4" s="1"/>
  <c r="U48" i="6"/>
  <c r="U139" i="6"/>
  <c r="Z139" i="6" s="1"/>
  <c r="U203" i="6"/>
  <c r="Z203" i="6" s="1"/>
  <c r="R7" i="4"/>
  <c r="S7" i="4" s="1"/>
  <c r="T7" i="4" s="1"/>
  <c r="U339" i="6"/>
  <c r="V339" i="6" s="1"/>
  <c r="W339" i="6" s="1"/>
  <c r="U219" i="6"/>
  <c r="Z219" i="6" s="1"/>
  <c r="U164" i="6"/>
  <c r="Z164" i="6" s="1"/>
  <c r="U206" i="6"/>
  <c r="Z206" i="6" s="1"/>
  <c r="U191" i="6"/>
  <c r="Z191" i="6" s="1"/>
  <c r="U155" i="6"/>
  <c r="Z155" i="6" s="1"/>
  <c r="U248" i="6"/>
  <c r="Z248" i="6" s="1"/>
  <c r="U137" i="6"/>
  <c r="Z137" i="6" s="1"/>
  <c r="AA137" i="6" s="1"/>
  <c r="U356" i="6"/>
  <c r="Z356" i="6" s="1"/>
  <c r="U266" i="6"/>
  <c r="Z266" i="6" s="1"/>
  <c r="U180" i="6"/>
  <c r="V180" i="6" s="1"/>
  <c r="W180" i="6" s="1"/>
  <c r="U289" i="6"/>
  <c r="Z289" i="6" s="1"/>
  <c r="AA289" i="6" s="1"/>
  <c r="U334" i="6"/>
  <c r="Z334" i="6" s="1"/>
  <c r="U290" i="6"/>
  <c r="Z290" i="6" s="1"/>
  <c r="U314" i="6"/>
  <c r="V314" i="6" s="1"/>
  <c r="W314" i="6" s="1"/>
  <c r="R166" i="4"/>
  <c r="W166" i="4" s="1"/>
  <c r="U138" i="6"/>
  <c r="Z138" i="6" s="1"/>
  <c r="U156" i="6"/>
  <c r="V156" i="6" s="1"/>
  <c r="W156" i="6" s="1"/>
  <c r="U288" i="6"/>
  <c r="Z288" i="6" s="1"/>
  <c r="AA288" i="6" s="1"/>
  <c r="U143" i="6"/>
  <c r="Z143" i="6" s="1"/>
  <c r="T17" i="6"/>
  <c r="Y17" i="6" s="1"/>
  <c r="B76" i="11" s="1"/>
  <c r="S76" i="11" s="1"/>
  <c r="U17" i="6"/>
  <c r="Z17" i="6" s="1"/>
  <c r="T293" i="6"/>
  <c r="Y293" i="6" s="1"/>
  <c r="F75" i="19" s="1"/>
  <c r="N75" i="19" s="1"/>
  <c r="U293" i="6"/>
  <c r="Z293" i="6" s="1"/>
  <c r="T116" i="6"/>
  <c r="Y116" i="6" s="1"/>
  <c r="D75" i="11" s="1"/>
  <c r="U75" i="11" s="1"/>
  <c r="U116" i="6"/>
  <c r="Z116" i="6" s="1"/>
  <c r="U190" i="6"/>
  <c r="Z190" i="6" s="1"/>
  <c r="T72" i="6"/>
  <c r="Y72" i="6" s="1"/>
  <c r="J81" i="11" s="1"/>
  <c r="U72" i="6"/>
  <c r="T218" i="6"/>
  <c r="Y218" i="6" s="1"/>
  <c r="H76" i="18" s="1"/>
  <c r="W76" i="18" s="1"/>
  <c r="Y76" i="18" s="1"/>
  <c r="U218" i="6"/>
  <c r="Z218" i="6" s="1"/>
  <c r="R153" i="4"/>
  <c r="W153" i="4" s="1"/>
  <c r="U68" i="6"/>
  <c r="W358" i="20"/>
  <c r="X358" i="20" s="1"/>
  <c r="S358" i="20"/>
  <c r="T358" i="20" s="1"/>
  <c r="W239" i="20"/>
  <c r="X239" i="20" s="1"/>
  <c r="S239" i="20"/>
  <c r="T239" i="20" s="1"/>
  <c r="S235" i="20"/>
  <c r="T235" i="20" s="1"/>
  <c r="W235" i="20"/>
  <c r="X235" i="20" s="1"/>
  <c r="R14" i="4"/>
  <c r="W14" i="4" s="1"/>
  <c r="S350" i="20"/>
  <c r="T350" i="20" s="1"/>
  <c r="W350" i="20"/>
  <c r="X350" i="20" s="1"/>
  <c r="W126" i="20"/>
  <c r="X126" i="20" s="1"/>
  <c r="Y126" i="20" s="1"/>
  <c r="S126" i="20"/>
  <c r="T126" i="20" s="1"/>
  <c r="S72" i="20"/>
  <c r="T72" i="20" s="1"/>
  <c r="W72" i="20"/>
  <c r="X72" i="20" s="1"/>
  <c r="Y72" i="20" s="1"/>
  <c r="W135" i="22"/>
  <c r="X135" i="22" s="1"/>
  <c r="Y135" i="22" s="1"/>
  <c r="S135" i="22"/>
  <c r="T135" i="22" s="1"/>
  <c r="S270" i="20"/>
  <c r="T270" i="20" s="1"/>
  <c r="W270" i="20"/>
  <c r="X270" i="20" s="1"/>
  <c r="S123" i="22"/>
  <c r="T123" i="22" s="1"/>
  <c r="W123" i="22"/>
  <c r="X123" i="22" s="1"/>
  <c r="Y123" i="22" s="1"/>
  <c r="S299" i="20"/>
  <c r="T299" i="20" s="1"/>
  <c r="W299" i="20"/>
  <c r="X299" i="20" s="1"/>
  <c r="S361" i="22"/>
  <c r="T361" i="22" s="1"/>
  <c r="W361" i="22"/>
  <c r="X361" i="22" s="1"/>
  <c r="S108" i="20"/>
  <c r="T108" i="20" s="1"/>
  <c r="W108" i="20"/>
  <c r="X108" i="20" s="1"/>
  <c r="Y108" i="20" s="1"/>
  <c r="S274" i="20"/>
  <c r="T274" i="20" s="1"/>
  <c r="W274" i="20"/>
  <c r="X274" i="20" s="1"/>
  <c r="W262" i="22"/>
  <c r="X262" i="22" s="1"/>
  <c r="S262" i="22"/>
  <c r="T262" i="22" s="1"/>
  <c r="W237" i="20"/>
  <c r="X237" i="20" s="1"/>
  <c r="S237" i="20"/>
  <c r="T237" i="20" s="1"/>
  <c r="S187" i="22"/>
  <c r="T187" i="22" s="1"/>
  <c r="W187" i="22"/>
  <c r="X187" i="22" s="1"/>
  <c r="Y187" i="22" s="1"/>
  <c r="W124" i="22"/>
  <c r="X124" i="22" s="1"/>
  <c r="Y124" i="22" s="1"/>
  <c r="S124" i="22"/>
  <c r="T124" i="22" s="1"/>
  <c r="W226" i="22"/>
  <c r="X226" i="22" s="1"/>
  <c r="S226" i="22"/>
  <c r="T226" i="22" s="1"/>
  <c r="W301" i="20"/>
  <c r="X301" i="20" s="1"/>
  <c r="S301" i="20"/>
  <c r="T301" i="20" s="1"/>
  <c r="S83" i="20"/>
  <c r="T83" i="20" s="1"/>
  <c r="W83" i="20"/>
  <c r="X83" i="20" s="1"/>
  <c r="Y83" i="20" s="1"/>
  <c r="S197" i="20"/>
  <c r="T197" i="20" s="1"/>
  <c r="W197" i="20"/>
  <c r="X197" i="20" s="1"/>
  <c r="Y197" i="20" s="1"/>
  <c r="S357" i="22"/>
  <c r="T357" i="22" s="1"/>
  <c r="W357" i="22"/>
  <c r="X357" i="22" s="1"/>
  <c r="S162" i="20"/>
  <c r="T162" i="20" s="1"/>
  <c r="W162" i="20"/>
  <c r="X162" i="20" s="1"/>
  <c r="Y162" i="20" s="1"/>
  <c r="S151" i="20"/>
  <c r="T151" i="20" s="1"/>
  <c r="W151" i="20"/>
  <c r="X151" i="20" s="1"/>
  <c r="Y151" i="20" s="1"/>
  <c r="U184" i="6"/>
  <c r="Z184" i="6" s="1"/>
  <c r="U188" i="6"/>
  <c r="Z188" i="6" s="1"/>
  <c r="U183" i="6"/>
  <c r="Z183" i="6" s="1"/>
  <c r="U365" i="6"/>
  <c r="V365" i="6" s="1"/>
  <c r="W365" i="6" s="1"/>
  <c r="U264" i="6"/>
  <c r="V264" i="6" s="1"/>
  <c r="W264" i="6" s="1"/>
  <c r="R289" i="4"/>
  <c r="W289" i="4" s="1"/>
  <c r="R286" i="4"/>
  <c r="S286" i="4" s="1"/>
  <c r="T286" i="4" s="1"/>
  <c r="U213" i="6"/>
  <c r="Z213" i="6" s="1"/>
  <c r="AA213" i="6" s="1"/>
  <c r="R311" i="4"/>
  <c r="S311" i="4" s="1"/>
  <c r="T311" i="4" s="1"/>
  <c r="R355" i="4"/>
  <c r="W355" i="4" s="1"/>
  <c r="U204" i="6"/>
  <c r="Z204" i="6" s="1"/>
  <c r="R247" i="4"/>
  <c r="S247" i="4" s="1"/>
  <c r="T247" i="4" s="1"/>
  <c r="U70" i="6"/>
  <c r="R185" i="4"/>
  <c r="W185" i="4" s="1"/>
  <c r="Q34" i="4"/>
  <c r="V34" i="4" s="1"/>
  <c r="H39" i="11" s="1"/>
  <c r="Y39" i="11" s="1"/>
  <c r="R34" i="4"/>
  <c r="T79" i="6"/>
  <c r="Y79" i="6" s="1"/>
  <c r="B62" i="18" s="1"/>
  <c r="Q62" i="18" s="1"/>
  <c r="U79" i="6"/>
  <c r="Z79" i="6" s="1"/>
  <c r="U257" i="6"/>
  <c r="Z257" i="6" s="1"/>
  <c r="AA257" i="6" s="1"/>
  <c r="Q104" i="4"/>
  <c r="V104" i="4" s="1"/>
  <c r="D34" i="11" s="1"/>
  <c r="R104" i="4"/>
  <c r="W104" i="4" s="1"/>
  <c r="R118" i="4"/>
  <c r="W118" i="4" s="1"/>
  <c r="T89" i="6"/>
  <c r="Y89" i="6" s="1"/>
  <c r="B72" i="18" s="1"/>
  <c r="Q72" i="18" s="1"/>
  <c r="U89" i="6"/>
  <c r="Z89" i="6" s="1"/>
  <c r="U96" i="6"/>
  <c r="Z96" i="6" s="1"/>
  <c r="S335" i="22"/>
  <c r="T335" i="22" s="1"/>
  <c r="W335" i="22"/>
  <c r="X335" i="22" s="1"/>
  <c r="S132" i="22"/>
  <c r="T132" i="22" s="1"/>
  <c r="W132" i="22"/>
  <c r="X132" i="22" s="1"/>
  <c r="Y132" i="22" s="1"/>
  <c r="S321" i="20"/>
  <c r="T321" i="20" s="1"/>
  <c r="W321" i="20"/>
  <c r="X321" i="20" s="1"/>
  <c r="S289" i="20"/>
  <c r="T289" i="20" s="1"/>
  <c r="W289" i="20"/>
  <c r="X289" i="20" s="1"/>
  <c r="S173" i="20"/>
  <c r="T173" i="20" s="1"/>
  <c r="W173" i="20"/>
  <c r="X173" i="20" s="1"/>
  <c r="Y173" i="20" s="1"/>
  <c r="S311" i="20"/>
  <c r="T311" i="20" s="1"/>
  <c r="W311" i="20"/>
  <c r="X311" i="20" s="1"/>
  <c r="W125" i="22"/>
  <c r="X125" i="22" s="1"/>
  <c r="Y125" i="22" s="1"/>
  <c r="S125" i="22"/>
  <c r="T125" i="22" s="1"/>
  <c r="W71" i="22"/>
  <c r="X71" i="22" s="1"/>
  <c r="Y71" i="22" s="1"/>
  <c r="S71" i="22"/>
  <c r="T71" i="22" s="1"/>
  <c r="S269" i="22"/>
  <c r="T269" i="22" s="1"/>
  <c r="W269" i="22"/>
  <c r="X269" i="22" s="1"/>
  <c r="S298" i="22"/>
  <c r="T298" i="22" s="1"/>
  <c r="W298" i="22"/>
  <c r="X298" i="22" s="1"/>
  <c r="W320" i="20"/>
  <c r="X320" i="20" s="1"/>
  <c r="S320" i="20"/>
  <c r="T320" i="20" s="1"/>
  <c r="W107" i="22"/>
  <c r="X107" i="22" s="1"/>
  <c r="Y107" i="22" s="1"/>
  <c r="S107" i="22"/>
  <c r="T107" i="22" s="1"/>
  <c r="W273" i="22"/>
  <c r="X273" i="22" s="1"/>
  <c r="S273" i="22"/>
  <c r="T273" i="22" s="1"/>
  <c r="S236" i="22"/>
  <c r="T236" i="22" s="1"/>
  <c r="W236" i="22"/>
  <c r="X236" i="22" s="1"/>
  <c r="W349" i="20"/>
  <c r="X349" i="20" s="1"/>
  <c r="S349" i="20"/>
  <c r="T349" i="20" s="1"/>
  <c r="S310" i="22"/>
  <c r="T310" i="22" s="1"/>
  <c r="W310" i="22"/>
  <c r="X310" i="22" s="1"/>
  <c r="S278" i="20"/>
  <c r="T278" i="20" s="1"/>
  <c r="W278" i="20"/>
  <c r="X278" i="20" s="1"/>
  <c r="S328" i="20"/>
  <c r="T328" i="20" s="1"/>
  <c r="W328" i="20"/>
  <c r="X328" i="20" s="1"/>
  <c r="W179" i="20"/>
  <c r="X179" i="20" s="1"/>
  <c r="Y179" i="20" s="1"/>
  <c r="S179" i="20"/>
  <c r="T179" i="20" s="1"/>
  <c r="S196" i="20"/>
  <c r="T196" i="20" s="1"/>
  <c r="W196" i="20"/>
  <c r="X196" i="20" s="1"/>
  <c r="Y196" i="20" s="1"/>
  <c r="S300" i="22"/>
  <c r="T300" i="22" s="1"/>
  <c r="W300" i="22"/>
  <c r="X300" i="22" s="1"/>
  <c r="W82" i="22"/>
  <c r="X82" i="22" s="1"/>
  <c r="Y82" i="22" s="1"/>
  <c r="S82" i="22"/>
  <c r="T82" i="22" s="1"/>
  <c r="S85" i="20"/>
  <c r="T85" i="20" s="1"/>
  <c r="W85" i="20"/>
  <c r="X85" i="20" s="1"/>
  <c r="Y85" i="20" s="1"/>
  <c r="W189" i="20"/>
  <c r="X189" i="20" s="1"/>
  <c r="Y189" i="20" s="1"/>
  <c r="S189" i="20"/>
  <c r="T189" i="20" s="1"/>
  <c r="S213" i="22"/>
  <c r="T213" i="22" s="1"/>
  <c r="W213" i="22"/>
  <c r="X213" i="22" s="1"/>
  <c r="Y213" i="22" s="1"/>
  <c r="S216" i="20"/>
  <c r="T216" i="20" s="1"/>
  <c r="W216" i="20"/>
  <c r="X216" i="20" s="1"/>
  <c r="Y216" i="20" s="1"/>
  <c r="R243" i="4"/>
  <c r="S243" i="4" s="1"/>
  <c r="T243" i="4" s="1"/>
  <c r="U315" i="6"/>
  <c r="Z315" i="6" s="1"/>
  <c r="U238" i="6"/>
  <c r="Z238" i="6" s="1"/>
  <c r="U358" i="6"/>
  <c r="Z358" i="6" s="1"/>
  <c r="U366" i="6"/>
  <c r="V366" i="6" s="1"/>
  <c r="W366" i="6" s="1"/>
  <c r="U278" i="6"/>
  <c r="Z278" i="6" s="1"/>
  <c r="U294" i="6"/>
  <c r="Z294" i="6" s="1"/>
  <c r="U280" i="6"/>
  <c r="Z280" i="6" s="1"/>
  <c r="U246" i="6"/>
  <c r="V246" i="6" s="1"/>
  <c r="W246" i="6" s="1"/>
  <c r="R279" i="4"/>
  <c r="S279" i="4" s="1"/>
  <c r="T279" i="4" s="1"/>
  <c r="U129" i="6"/>
  <c r="Z129" i="6" s="1"/>
  <c r="U29" i="6"/>
  <c r="Z29" i="6" s="1"/>
  <c r="U163" i="6"/>
  <c r="V163" i="6" s="1"/>
  <c r="W163" i="6" s="1"/>
  <c r="U205" i="6"/>
  <c r="Z205" i="6" s="1"/>
  <c r="R288" i="4"/>
  <c r="S288" i="4" s="1"/>
  <c r="T288" i="4" s="1"/>
  <c r="U179" i="6"/>
  <c r="Z179" i="6" s="1"/>
  <c r="U157" i="6"/>
  <c r="Z157" i="6" s="1"/>
  <c r="AA157" i="6" s="1"/>
  <c r="U363" i="6"/>
  <c r="Z363" i="6" s="1"/>
  <c r="AA363" i="6" s="1"/>
  <c r="R267" i="4"/>
  <c r="S267" i="4" s="1"/>
  <c r="T267" i="4" s="1"/>
  <c r="U223" i="6"/>
  <c r="Z223" i="6" s="1"/>
  <c r="U263" i="6"/>
  <c r="V263" i="6" s="1"/>
  <c r="W263" i="6" s="1"/>
  <c r="R334" i="4"/>
  <c r="W334" i="4" s="1"/>
  <c r="U173" i="6"/>
  <c r="V173" i="6" s="1"/>
  <c r="W173" i="6" s="1"/>
  <c r="R363" i="4"/>
  <c r="W363" i="4" s="1"/>
  <c r="R265" i="4"/>
  <c r="S265" i="4" s="1"/>
  <c r="T265" i="4" s="1"/>
  <c r="U231" i="6"/>
  <c r="Z231" i="6" s="1"/>
  <c r="T117" i="6"/>
  <c r="Y117" i="6" s="1"/>
  <c r="D76" i="11" s="1"/>
  <c r="U76" i="11" s="1"/>
  <c r="U117" i="6"/>
  <c r="V117" i="6" s="1"/>
  <c r="W117" i="6" s="1"/>
  <c r="T21" i="6"/>
  <c r="Y21" i="6" s="1"/>
  <c r="B80" i="11" s="1"/>
  <c r="U21" i="6"/>
  <c r="Z21" i="6" s="1"/>
  <c r="T170" i="6"/>
  <c r="Y170" i="6" s="1"/>
  <c r="F79" i="11" s="1"/>
  <c r="W79" i="11" s="1"/>
  <c r="U170" i="6"/>
  <c r="Z170" i="6" s="1"/>
  <c r="U259" i="6"/>
  <c r="Z259" i="6" s="1"/>
  <c r="T39" i="6"/>
  <c r="Y39" i="6" s="1"/>
  <c r="H73" i="11" s="1"/>
  <c r="Y73" i="11" s="1"/>
  <c r="U39" i="6"/>
  <c r="T161" i="6"/>
  <c r="Y161" i="6" s="1"/>
  <c r="F70" i="11" s="1"/>
  <c r="W70" i="11" s="1"/>
  <c r="U161" i="6"/>
  <c r="Z161" i="6" s="1"/>
  <c r="Q97" i="4"/>
  <c r="V97" i="4" s="1"/>
  <c r="B51" i="18" s="1"/>
  <c r="R97" i="4"/>
  <c r="W97" i="4" s="1"/>
  <c r="U369" i="6"/>
  <c r="Z369" i="6" s="1"/>
  <c r="Q10" i="4"/>
  <c r="V10" i="4" s="1"/>
  <c r="B40" i="11" s="1"/>
  <c r="R10" i="4"/>
  <c r="S10" i="4" s="1"/>
  <c r="T10" i="4" s="1"/>
  <c r="T254" i="6"/>
  <c r="Y254" i="6" s="1"/>
  <c r="D61" i="19" s="1"/>
  <c r="N61" i="19" s="1"/>
  <c r="U254" i="6"/>
  <c r="V254" i="6" s="1"/>
  <c r="W254" i="6" s="1"/>
  <c r="T40" i="6"/>
  <c r="Y40" i="6" s="1"/>
  <c r="H74" i="11" s="1"/>
  <c r="Y74" i="11" s="1"/>
  <c r="U40" i="6"/>
  <c r="R233" i="4"/>
  <c r="W233" i="4" s="1"/>
  <c r="U98" i="6"/>
  <c r="Z98" i="6" s="1"/>
  <c r="U105" i="6"/>
  <c r="Z105" i="6" s="1"/>
  <c r="U367" i="6"/>
  <c r="V367" i="6" s="1"/>
  <c r="W367" i="6" s="1"/>
  <c r="S209" i="20"/>
  <c r="T209" i="20" s="1"/>
  <c r="W209" i="20"/>
  <c r="X209" i="20" s="1"/>
  <c r="Y209" i="20" s="1"/>
  <c r="W166" i="22"/>
  <c r="X166" i="22" s="1"/>
  <c r="Y166" i="22" s="1"/>
  <c r="S166" i="22"/>
  <c r="T166" i="22" s="1"/>
  <c r="S179" i="22"/>
  <c r="T179" i="22" s="1"/>
  <c r="W179" i="22"/>
  <c r="X179" i="22" s="1"/>
  <c r="Y179" i="22" s="1"/>
  <c r="W258" i="22"/>
  <c r="X258" i="22" s="1"/>
  <c r="S258" i="22"/>
  <c r="T258" i="22" s="1"/>
  <c r="S132" i="20"/>
  <c r="T132" i="20" s="1"/>
  <c r="W132" i="20"/>
  <c r="X132" i="20" s="1"/>
  <c r="Y132" i="20" s="1"/>
  <c r="S230" i="20"/>
  <c r="T230" i="20" s="1"/>
  <c r="W230" i="20"/>
  <c r="X230" i="20" s="1"/>
  <c r="S154" i="20"/>
  <c r="T154" i="20" s="1"/>
  <c r="W154" i="20"/>
  <c r="X154" i="20" s="1"/>
  <c r="Y154" i="20" s="1"/>
  <c r="W111" i="20"/>
  <c r="X111" i="20" s="1"/>
  <c r="Y111" i="20" s="1"/>
  <c r="S111" i="20"/>
  <c r="T111" i="20" s="1"/>
  <c r="S319" i="22"/>
  <c r="T319" i="22" s="1"/>
  <c r="W319" i="22"/>
  <c r="X319" i="22" s="1"/>
  <c r="W152" i="20"/>
  <c r="X152" i="20" s="1"/>
  <c r="Y152" i="20" s="1"/>
  <c r="S152" i="20"/>
  <c r="T152" i="20" s="1"/>
  <c r="S201" i="20"/>
  <c r="T201" i="20" s="1"/>
  <c r="W201" i="20"/>
  <c r="X201" i="20" s="1"/>
  <c r="Y201" i="20" s="1"/>
  <c r="W356" i="20"/>
  <c r="X356" i="20" s="1"/>
  <c r="S356" i="20"/>
  <c r="T356" i="20" s="1"/>
  <c r="S348" i="22"/>
  <c r="T348" i="22" s="1"/>
  <c r="W348" i="22"/>
  <c r="X348" i="22" s="1"/>
  <c r="S323" i="20"/>
  <c r="T323" i="20" s="1"/>
  <c r="W323" i="20"/>
  <c r="X323" i="20" s="1"/>
  <c r="S224" i="20"/>
  <c r="T224" i="20" s="1"/>
  <c r="W224" i="20"/>
  <c r="X224" i="20" s="1"/>
  <c r="W277" i="22"/>
  <c r="X277" i="22" s="1"/>
  <c r="S277" i="22"/>
  <c r="T277" i="22" s="1"/>
  <c r="W327" i="20"/>
  <c r="X327" i="20" s="1"/>
  <c r="S327" i="20"/>
  <c r="T327" i="20" s="1"/>
  <c r="S327" i="22"/>
  <c r="T327" i="22" s="1"/>
  <c r="W327" i="22"/>
  <c r="X327" i="22" s="1"/>
  <c r="S258" i="20"/>
  <c r="T258" i="20" s="1"/>
  <c r="W258" i="20"/>
  <c r="X258" i="20" s="1"/>
  <c r="S279" i="20"/>
  <c r="T279" i="20" s="1"/>
  <c r="W279" i="20"/>
  <c r="X279" i="20" s="1"/>
  <c r="W15" i="20"/>
  <c r="X15" i="20" s="1"/>
  <c r="Y15" i="20" s="1"/>
  <c r="S15" i="20"/>
  <c r="T15" i="20" s="1"/>
  <c r="S195" i="22"/>
  <c r="T195" i="22" s="1"/>
  <c r="W195" i="22"/>
  <c r="X195" i="22" s="1"/>
  <c r="Y195" i="22" s="1"/>
  <c r="S295" i="20"/>
  <c r="T295" i="20" s="1"/>
  <c r="W295" i="20"/>
  <c r="X295" i="20" s="1"/>
  <c r="S84" i="22"/>
  <c r="T84" i="22" s="1"/>
  <c r="W84" i="22"/>
  <c r="X84" i="22" s="1"/>
  <c r="Y84" i="22" s="1"/>
  <c r="S167" i="22"/>
  <c r="T167" i="22" s="1"/>
  <c r="W167" i="22"/>
  <c r="X167" i="22" s="1"/>
  <c r="Y167" i="22" s="1"/>
  <c r="S4" i="20"/>
  <c r="T4" i="20" s="1"/>
  <c r="W4" i="20"/>
  <c r="X4" i="20" s="1"/>
  <c r="Y4" i="20" s="1"/>
  <c r="S188" i="22"/>
  <c r="T188" i="22" s="1"/>
  <c r="W188" i="22"/>
  <c r="X188" i="22" s="1"/>
  <c r="Y188" i="22" s="1"/>
  <c r="W215" i="22"/>
  <c r="X215" i="22" s="1"/>
  <c r="Y215" i="22" s="1"/>
  <c r="S215" i="22"/>
  <c r="T215" i="22" s="1"/>
  <c r="S365" i="20"/>
  <c r="T365" i="20" s="1"/>
  <c r="W365" i="20"/>
  <c r="X365" i="20" s="1"/>
  <c r="S336" i="22"/>
  <c r="T336" i="22" s="1"/>
  <c r="W336" i="22"/>
  <c r="X336" i="22" s="1"/>
  <c r="U347" i="6"/>
  <c r="Z347" i="6" s="1"/>
  <c r="U287" i="6"/>
  <c r="Z287" i="6" s="1"/>
  <c r="R187" i="4"/>
  <c r="W187" i="4" s="1"/>
  <c r="U323" i="6"/>
  <c r="Z323" i="6" s="1"/>
  <c r="AA323" i="6" s="1"/>
  <c r="U244" i="6"/>
  <c r="V244" i="6" s="1"/>
  <c r="W244" i="6" s="1"/>
  <c r="U362" i="6"/>
  <c r="Z362" i="6" s="1"/>
  <c r="U343" i="6"/>
  <c r="V343" i="6" s="1"/>
  <c r="W343" i="6" s="1"/>
  <c r="R244" i="4"/>
  <c r="W244" i="4" s="1"/>
  <c r="U273" i="6"/>
  <c r="V273" i="6" s="1"/>
  <c r="W273" i="6" s="1"/>
  <c r="U268" i="6"/>
  <c r="V268" i="6" s="1"/>
  <c r="W268" i="6" s="1"/>
  <c r="U303" i="6"/>
  <c r="Z303" i="6" s="1"/>
  <c r="U307" i="6"/>
  <c r="Z307" i="6" s="1"/>
  <c r="U335" i="6"/>
  <c r="Z335" i="6" s="1"/>
  <c r="U167" i="6"/>
  <c r="Z167" i="6" s="1"/>
  <c r="U370" i="6"/>
  <c r="V370" i="6" s="1"/>
  <c r="W370" i="6" s="1"/>
  <c r="U215" i="6"/>
  <c r="V215" i="6" s="1"/>
  <c r="W215" i="6" s="1"/>
  <c r="R4" i="4"/>
  <c r="S4" i="4" s="1"/>
  <c r="T4" i="4" s="1"/>
  <c r="R342" i="4"/>
  <c r="S342" i="4" s="1"/>
  <c r="T342" i="4" s="1"/>
  <c r="U342" i="6"/>
  <c r="Z342" i="6" s="1"/>
  <c r="R156" i="4"/>
  <c r="W156" i="4" s="1"/>
  <c r="X156" i="4" s="1"/>
  <c r="U281" i="6"/>
  <c r="V281" i="6" s="1"/>
  <c r="W281" i="6" s="1"/>
  <c r="R215" i="4"/>
  <c r="W215" i="4" s="1"/>
  <c r="U208" i="6"/>
  <c r="Z208" i="6" s="1"/>
  <c r="U267" i="6"/>
  <c r="Z267" i="6" s="1"/>
  <c r="R82" i="4"/>
  <c r="S82" i="4" s="1"/>
  <c r="T82" i="4" s="1"/>
  <c r="R110" i="4"/>
  <c r="W110" i="4" s="1"/>
  <c r="J35" i="18"/>
  <c r="R308" i="4"/>
  <c r="W308" i="4" s="1"/>
  <c r="X308" i="4" s="1"/>
  <c r="T44" i="6"/>
  <c r="Y44" i="6" s="1"/>
  <c r="H78" i="11" s="1"/>
  <c r="Y78" i="11" s="1"/>
  <c r="U44" i="6"/>
  <c r="T320" i="6"/>
  <c r="Y320" i="6" s="1"/>
  <c r="H77" i="19" s="1"/>
  <c r="U320" i="6"/>
  <c r="Z320" i="6" s="1"/>
  <c r="U265" i="6"/>
  <c r="Z265" i="6" s="1"/>
  <c r="U59" i="6"/>
  <c r="T109" i="6"/>
  <c r="Y109" i="6" s="1"/>
  <c r="D68" i="11" s="1"/>
  <c r="U68" i="11" s="1"/>
  <c r="U109" i="6"/>
  <c r="Z109" i="6" s="1"/>
  <c r="R348" i="4"/>
  <c r="S348" i="4" s="1"/>
  <c r="T348" i="4" s="1"/>
  <c r="T134" i="6"/>
  <c r="Y134" i="6" s="1"/>
  <c r="D67" i="18" s="1"/>
  <c r="S67" i="18" s="1"/>
  <c r="Y67" i="18" s="1"/>
  <c r="U134" i="6"/>
  <c r="Z134" i="6" s="1"/>
  <c r="T353" i="6"/>
  <c r="Y353" i="6" s="1"/>
  <c r="L60" i="19" s="1"/>
  <c r="N60" i="19" s="1"/>
  <c r="U353" i="6"/>
  <c r="V353" i="6" s="1"/>
  <c r="W353" i="6" s="1"/>
  <c r="R84" i="4"/>
  <c r="S84" i="4" s="1"/>
  <c r="T84" i="4" s="1"/>
  <c r="Q5" i="4"/>
  <c r="V5" i="4" s="1"/>
  <c r="B35" i="11" s="1"/>
  <c r="R5" i="4"/>
  <c r="S5" i="4" s="1"/>
  <c r="T5" i="4" s="1"/>
  <c r="T103" i="6"/>
  <c r="Y103" i="6" s="1"/>
  <c r="D62" i="11" s="1"/>
  <c r="U62" i="11" s="1"/>
  <c r="U103" i="6"/>
  <c r="Z103" i="6" s="1"/>
  <c r="R60" i="4"/>
  <c r="S60" i="4" s="1"/>
  <c r="W168" i="20"/>
  <c r="X168" i="20" s="1"/>
  <c r="Y168" i="20" s="1"/>
  <c r="S168" i="20"/>
  <c r="T168" i="20" s="1"/>
  <c r="U220" i="6"/>
  <c r="Z220" i="6" s="1"/>
  <c r="S310" i="20"/>
  <c r="T310" i="20" s="1"/>
  <c r="W310" i="20"/>
  <c r="X310" i="20" s="1"/>
  <c r="S131" i="22"/>
  <c r="T131" i="22" s="1"/>
  <c r="W131" i="22"/>
  <c r="X131" i="22" s="1"/>
  <c r="Y131" i="22" s="1"/>
  <c r="W308" i="20"/>
  <c r="X308" i="20" s="1"/>
  <c r="S308" i="20"/>
  <c r="T308" i="20" s="1"/>
  <c r="W181" i="20"/>
  <c r="X181" i="20" s="1"/>
  <c r="Y181" i="20" s="1"/>
  <c r="S181" i="20"/>
  <c r="T181" i="20" s="1"/>
  <c r="W151" i="22"/>
  <c r="X151" i="22" s="1"/>
  <c r="Y151" i="22" s="1"/>
  <c r="S151" i="22"/>
  <c r="T151" i="22" s="1"/>
  <c r="S330" i="20"/>
  <c r="T330" i="20" s="1"/>
  <c r="W330" i="20"/>
  <c r="X330" i="20" s="1"/>
  <c r="W355" i="22"/>
  <c r="X355" i="22" s="1"/>
  <c r="S355" i="22"/>
  <c r="T355" i="22" s="1"/>
  <c r="S322" i="22"/>
  <c r="T322" i="22" s="1"/>
  <c r="W322" i="22"/>
  <c r="X322" i="22" s="1"/>
  <c r="S223" i="22"/>
  <c r="T223" i="22" s="1"/>
  <c r="W223" i="22"/>
  <c r="X223" i="22" s="1"/>
  <c r="S326" i="22"/>
  <c r="T326" i="22" s="1"/>
  <c r="W326" i="22"/>
  <c r="X326" i="22" s="1"/>
  <c r="S257" i="22"/>
  <c r="T257" i="22" s="1"/>
  <c r="W257" i="22"/>
  <c r="X257" i="22" s="1"/>
  <c r="S251" i="20"/>
  <c r="T251" i="20" s="1"/>
  <c r="W251" i="20"/>
  <c r="X251" i="20" s="1"/>
  <c r="W278" i="22"/>
  <c r="X278" i="22" s="1"/>
  <c r="S278" i="22"/>
  <c r="T278" i="22" s="1"/>
  <c r="S15" i="22"/>
  <c r="T15" i="22" s="1"/>
  <c r="W15" i="22"/>
  <c r="X15" i="22" s="1"/>
  <c r="Y15" i="22" s="1"/>
  <c r="W294" i="22"/>
  <c r="X294" i="22" s="1"/>
  <c r="S294" i="22"/>
  <c r="T294" i="22" s="1"/>
  <c r="W326" i="20"/>
  <c r="X326" i="20" s="1"/>
  <c r="S326" i="20"/>
  <c r="T326" i="20" s="1"/>
  <c r="S37" i="20"/>
  <c r="T37" i="20" s="1"/>
  <c r="W37" i="20"/>
  <c r="X37" i="20" s="1"/>
  <c r="Y37" i="20" s="1"/>
  <c r="S4" i="22"/>
  <c r="T4" i="22" s="1"/>
  <c r="W4" i="22"/>
  <c r="X4" i="22" s="1"/>
  <c r="Y4" i="22" s="1"/>
  <c r="S333" i="22"/>
  <c r="T333" i="22" s="1"/>
  <c r="W333" i="22"/>
  <c r="X333" i="22" s="1"/>
  <c r="W182" i="20"/>
  <c r="X182" i="20" s="1"/>
  <c r="Y182" i="20" s="1"/>
  <c r="S182" i="20"/>
  <c r="T182" i="20" s="1"/>
  <c r="S288" i="22"/>
  <c r="T288" i="22" s="1"/>
  <c r="W288" i="22"/>
  <c r="X288" i="22" s="1"/>
  <c r="S110" i="20"/>
  <c r="T110" i="20" s="1"/>
  <c r="W110" i="20"/>
  <c r="X110" i="20" s="1"/>
  <c r="Y110" i="20" s="1"/>
  <c r="U171" i="6"/>
  <c r="Z171" i="6" s="1"/>
  <c r="U338" i="6"/>
  <c r="V338" i="6" s="1"/>
  <c r="W338" i="6" s="1"/>
  <c r="U128" i="6"/>
  <c r="Z128" i="6" s="1"/>
  <c r="AA16" i="6"/>
  <c r="C75" i="11"/>
  <c r="T75" i="11" s="1"/>
  <c r="U346" i="6"/>
  <c r="V346" i="6" s="1"/>
  <c r="W346" i="6" s="1"/>
  <c r="U243" i="6"/>
  <c r="V243" i="6" s="1"/>
  <c r="W243" i="6" s="1"/>
  <c r="U298" i="6"/>
  <c r="V298" i="6" s="1"/>
  <c r="W298" i="6" s="1"/>
  <c r="U310" i="6"/>
  <c r="V310" i="6" s="1"/>
  <c r="W310" i="6" s="1"/>
  <c r="U136" i="6"/>
  <c r="Z136" i="6" s="1"/>
  <c r="U86" i="6"/>
  <c r="V86" i="6" s="1"/>
  <c r="W86" i="6" s="1"/>
  <c r="U371" i="6"/>
  <c r="Z371" i="6" s="1"/>
  <c r="U172" i="6"/>
  <c r="V172" i="6" s="1"/>
  <c r="W172" i="6" s="1"/>
  <c r="U87" i="6"/>
  <c r="V87" i="6" s="1"/>
  <c r="W87" i="6" s="1"/>
  <c r="R6" i="4"/>
  <c r="S6" i="4" s="1"/>
  <c r="T6" i="4" s="1"/>
  <c r="U178" i="6"/>
  <c r="Z178" i="6" s="1"/>
  <c r="R22" i="4"/>
  <c r="W22" i="4" s="1"/>
  <c r="U207" i="6"/>
  <c r="Z207" i="6" s="1"/>
  <c r="U192" i="6"/>
  <c r="V192" i="6" s="1"/>
  <c r="W192" i="6" s="1"/>
  <c r="U135" i="6"/>
  <c r="Z135" i="6" s="1"/>
  <c r="R309" i="4"/>
  <c r="W309" i="4" s="1"/>
  <c r="U247" i="6"/>
  <c r="Z247" i="6" s="1"/>
  <c r="U35" i="6"/>
  <c r="Z35" i="6" s="1"/>
  <c r="U236" i="6"/>
  <c r="V236" i="6" s="1"/>
  <c r="W236" i="6" s="1"/>
  <c r="U296" i="6"/>
  <c r="Z296" i="6" s="1"/>
  <c r="U355" i="6"/>
  <c r="V355" i="6" s="1"/>
  <c r="W355" i="6" s="1"/>
  <c r="U318" i="6"/>
  <c r="Z318" i="6" s="1"/>
  <c r="U286" i="6"/>
  <c r="V286" i="6" s="1"/>
  <c r="W286" i="6" s="1"/>
  <c r="R305" i="4"/>
  <c r="W305" i="4" s="1"/>
  <c r="R257" i="4"/>
  <c r="S257" i="4" s="1"/>
  <c r="T257" i="4" s="1"/>
  <c r="T12" i="6"/>
  <c r="Y12" i="6" s="1"/>
  <c r="B71" i="11" s="1"/>
  <c r="S71" i="11" s="1"/>
  <c r="U12" i="6"/>
  <c r="Z12" i="6" s="1"/>
  <c r="T120" i="6"/>
  <c r="Y120" i="6" s="1"/>
  <c r="D79" i="11" s="1"/>
  <c r="U79" i="11" s="1"/>
  <c r="U120" i="6"/>
  <c r="Z120" i="6" s="1"/>
  <c r="U354" i="6"/>
  <c r="Z354" i="6" s="1"/>
  <c r="T270" i="6"/>
  <c r="Y270" i="6" s="1"/>
  <c r="D77" i="19" s="1"/>
  <c r="U270" i="6"/>
  <c r="V270" i="6" s="1"/>
  <c r="W270" i="6" s="1"/>
  <c r="T169" i="6"/>
  <c r="Y169" i="6" s="1"/>
  <c r="F78" i="11" s="1"/>
  <c r="W78" i="11" s="1"/>
  <c r="U169" i="6"/>
  <c r="V169" i="6" s="1"/>
  <c r="W169" i="6" s="1"/>
  <c r="R280" i="4"/>
  <c r="W280" i="4" s="1"/>
  <c r="R361" i="4"/>
  <c r="W361" i="4" s="1"/>
  <c r="U285" i="6"/>
  <c r="V285" i="6" s="1"/>
  <c r="W285" i="6" s="1"/>
  <c r="U81" i="6"/>
  <c r="Z81" i="6" s="1"/>
  <c r="U56" i="6"/>
  <c r="U43" i="6"/>
  <c r="Z43" i="6" s="1"/>
  <c r="S364" i="20"/>
  <c r="T364" i="20" s="1"/>
  <c r="W364" i="20"/>
  <c r="X364" i="20" s="1"/>
  <c r="S207" i="20"/>
  <c r="T207" i="20" s="1"/>
  <c r="W207" i="20"/>
  <c r="X207" i="20" s="1"/>
  <c r="Y207" i="20" s="1"/>
  <c r="W187" i="20"/>
  <c r="X187" i="20" s="1"/>
  <c r="Y187" i="20" s="1"/>
  <c r="S187" i="20"/>
  <c r="T187" i="20" s="1"/>
  <c r="W274" i="22"/>
  <c r="X274" i="22" s="1"/>
  <c r="S274" i="22"/>
  <c r="T274" i="22" s="1"/>
  <c r="S221" i="22"/>
  <c r="T221" i="22" s="1"/>
  <c r="W221" i="22"/>
  <c r="X221" i="22" s="1"/>
  <c r="W229" i="22"/>
  <c r="X229" i="22" s="1"/>
  <c r="S229" i="22"/>
  <c r="T229" i="22" s="1"/>
  <c r="W158" i="20"/>
  <c r="X158" i="20" s="1"/>
  <c r="Y158" i="20" s="1"/>
  <c r="S158" i="20"/>
  <c r="T158" i="20" s="1"/>
  <c r="S160" i="20"/>
  <c r="T160" i="20" s="1"/>
  <c r="W160" i="20"/>
  <c r="X160" i="20" s="1"/>
  <c r="Y160" i="20" s="1"/>
  <c r="S264" i="20"/>
  <c r="T264" i="20" s="1"/>
  <c r="W264" i="20"/>
  <c r="X264" i="20" s="1"/>
  <c r="S155" i="20"/>
  <c r="T155" i="20" s="1"/>
  <c r="W155" i="20"/>
  <c r="X155" i="20" s="1"/>
  <c r="Y155" i="20" s="1"/>
  <c r="W307" i="22"/>
  <c r="X307" i="22" s="1"/>
  <c r="S307" i="22"/>
  <c r="T307" i="22" s="1"/>
  <c r="W64" i="20"/>
  <c r="X64" i="20" s="1"/>
  <c r="Y64" i="20" s="1"/>
  <c r="S64" i="20"/>
  <c r="T64" i="20" s="1"/>
  <c r="W180" i="22"/>
  <c r="X180" i="22" s="1"/>
  <c r="Y180" i="22" s="1"/>
  <c r="S180" i="22"/>
  <c r="T180" i="22" s="1"/>
  <c r="S7" i="20"/>
  <c r="T7" i="20" s="1"/>
  <c r="W7" i="20"/>
  <c r="X7" i="20" s="1"/>
  <c r="Y7" i="20" s="1"/>
  <c r="S329" i="22"/>
  <c r="T329" i="22" s="1"/>
  <c r="W329" i="22"/>
  <c r="X329" i="22" s="1"/>
  <c r="W363" i="20"/>
  <c r="X363" i="20" s="1"/>
  <c r="S363" i="20"/>
  <c r="T363" i="20" s="1"/>
  <c r="S346" i="20"/>
  <c r="T346" i="20" s="1"/>
  <c r="W346" i="20"/>
  <c r="X346" i="20" s="1"/>
  <c r="S250" i="20"/>
  <c r="T250" i="20" s="1"/>
  <c r="W250" i="20"/>
  <c r="X250" i="20" s="1"/>
  <c r="S256" i="20"/>
  <c r="T256" i="20" s="1"/>
  <c r="W256" i="20"/>
  <c r="X256" i="20" s="1"/>
  <c r="S250" i="22"/>
  <c r="T250" i="22" s="1"/>
  <c r="W250" i="22"/>
  <c r="X250" i="22" s="1"/>
  <c r="S303" i="20"/>
  <c r="T303" i="20" s="1"/>
  <c r="W303" i="20"/>
  <c r="X303" i="20" s="1"/>
  <c r="S271" i="20"/>
  <c r="T271" i="20" s="1"/>
  <c r="W271" i="20"/>
  <c r="X271" i="20" s="1"/>
  <c r="W36" i="22"/>
  <c r="X36" i="22" s="1"/>
  <c r="Y36" i="22" s="1"/>
  <c r="S36" i="22"/>
  <c r="T36" i="22" s="1"/>
  <c r="S231" i="20"/>
  <c r="T231" i="20" s="1"/>
  <c r="W231" i="20"/>
  <c r="X231" i="20" s="1"/>
  <c r="W252" i="20"/>
  <c r="X252" i="20" s="1"/>
  <c r="S252" i="20"/>
  <c r="T252" i="20" s="1"/>
  <c r="S53" i="20"/>
  <c r="T53" i="20" s="1"/>
  <c r="W53" i="20"/>
  <c r="X53" i="20" s="1"/>
  <c r="Y53" i="20" s="1"/>
  <c r="S181" i="22"/>
  <c r="T181" i="22" s="1"/>
  <c r="W181" i="22"/>
  <c r="X181" i="22" s="1"/>
  <c r="Y181" i="22" s="1"/>
  <c r="S234" i="22"/>
  <c r="T234" i="22" s="1"/>
  <c r="W234" i="22"/>
  <c r="X234" i="22" s="1"/>
  <c r="S238" i="22"/>
  <c r="T238" i="22" s="1"/>
  <c r="W238" i="22"/>
  <c r="X238" i="22" s="1"/>
  <c r="U272" i="6"/>
  <c r="Z272" i="6" s="1"/>
  <c r="U228" i="6"/>
  <c r="V228" i="6" s="1"/>
  <c r="W228" i="6" s="1"/>
  <c r="U94" i="6"/>
  <c r="Z94" i="6" s="1"/>
  <c r="AA94" i="6" s="1"/>
  <c r="U232" i="6"/>
  <c r="Z232" i="6" s="1"/>
  <c r="U235" i="6"/>
  <c r="Z235" i="6" s="1"/>
  <c r="U336" i="6"/>
  <c r="Z336" i="6" s="1"/>
  <c r="U364" i="6"/>
  <c r="V364" i="6" s="1"/>
  <c r="W364" i="6" s="1"/>
  <c r="R15" i="4"/>
  <c r="W15" i="4" s="1"/>
  <c r="U328" i="6"/>
  <c r="Z328" i="6" s="1"/>
  <c r="R319" i="4"/>
  <c r="S319" i="4" s="1"/>
  <c r="T319" i="4" s="1"/>
  <c r="U297" i="6"/>
  <c r="Z297" i="6" s="1"/>
  <c r="U311" i="6"/>
  <c r="V311" i="6" s="1"/>
  <c r="W311" i="6" s="1"/>
  <c r="R13" i="4"/>
  <c r="W13" i="4" s="1"/>
  <c r="R344" i="4"/>
  <c r="W344" i="4" s="1"/>
  <c r="U144" i="6"/>
  <c r="Z144" i="6" s="1"/>
  <c r="AA144" i="6" s="1"/>
  <c r="R220" i="4"/>
  <c r="W220" i="4" s="1"/>
  <c r="R78" i="4"/>
  <c r="W78" i="4" s="1"/>
  <c r="U260" i="6"/>
  <c r="V260" i="6" s="1"/>
  <c r="W260" i="6" s="1"/>
  <c r="U196" i="6"/>
  <c r="V196" i="6" s="1"/>
  <c r="W196" i="6" s="1"/>
  <c r="U308" i="6"/>
  <c r="Z308" i="6" s="1"/>
  <c r="T62" i="6"/>
  <c r="Y62" i="6" s="1"/>
  <c r="J71" i="11" s="1"/>
  <c r="AA71" i="11" s="1"/>
  <c r="U62" i="6"/>
  <c r="Q119" i="4"/>
  <c r="V119" i="4" s="1"/>
  <c r="D49" i="11" s="1"/>
  <c r="R119" i="4"/>
  <c r="W119" i="4" s="1"/>
  <c r="U359" i="6"/>
  <c r="Z359" i="6" s="1"/>
  <c r="T69" i="6"/>
  <c r="Y69" i="6" s="1"/>
  <c r="J78" i="11" s="1"/>
  <c r="AA78" i="11" s="1"/>
  <c r="U69" i="6"/>
  <c r="T63" i="6"/>
  <c r="Y63" i="6" s="1"/>
  <c r="J72" i="11" s="1"/>
  <c r="U63" i="6"/>
  <c r="R36" i="4"/>
  <c r="S36" i="4" s="1"/>
  <c r="U168" i="6"/>
  <c r="V168" i="6" s="1"/>
  <c r="W168" i="6" s="1"/>
  <c r="R112" i="4"/>
  <c r="W112" i="4" s="1"/>
  <c r="T198" i="6"/>
  <c r="Y198" i="6" s="1"/>
  <c r="F81" i="18" s="1"/>
  <c r="U81" i="18" s="1"/>
  <c r="U198" i="6"/>
  <c r="V198" i="6" s="1"/>
  <c r="W198" i="6" s="1"/>
  <c r="Q304" i="4"/>
  <c r="V304" i="4" s="1"/>
  <c r="H33" i="19" s="1"/>
  <c r="N33" i="19" s="1"/>
  <c r="R304" i="4"/>
  <c r="S304" i="4" s="1"/>
  <c r="U209" i="6"/>
  <c r="Z209" i="6" s="1"/>
  <c r="W159" i="22"/>
  <c r="X159" i="22" s="1"/>
  <c r="Y159" i="22" s="1"/>
  <c r="S159" i="22"/>
  <c r="T159" i="22" s="1"/>
  <c r="S348" i="20"/>
  <c r="T348" i="20" s="1"/>
  <c r="W348" i="20"/>
  <c r="X348" i="20" s="1"/>
  <c r="S263" i="22"/>
  <c r="T263" i="22" s="1"/>
  <c r="W263" i="22"/>
  <c r="X263" i="22" s="1"/>
  <c r="W280" i="20"/>
  <c r="X280" i="20" s="1"/>
  <c r="S280" i="20"/>
  <c r="T280" i="20" s="1"/>
  <c r="S154" i="22"/>
  <c r="T154" i="22" s="1"/>
  <c r="W154" i="22"/>
  <c r="X154" i="22" s="1"/>
  <c r="Y154" i="22" s="1"/>
  <c r="W249" i="20"/>
  <c r="X249" i="20" s="1"/>
  <c r="S249" i="20"/>
  <c r="T249" i="20" s="1"/>
  <c r="S200" i="20"/>
  <c r="T200" i="20" s="1"/>
  <c r="W200" i="20"/>
  <c r="X200" i="20" s="1"/>
  <c r="Y200" i="20" s="1"/>
  <c r="W103" i="22"/>
  <c r="X103" i="22" s="1"/>
  <c r="Y103" i="22" s="1"/>
  <c r="S103" i="22"/>
  <c r="T103" i="22" s="1"/>
  <c r="W57" i="20"/>
  <c r="X57" i="20" s="1"/>
  <c r="Y57" i="20" s="1"/>
  <c r="S57" i="20"/>
  <c r="T57" i="20" s="1"/>
  <c r="W362" i="22"/>
  <c r="X362" i="22" s="1"/>
  <c r="S362" i="22"/>
  <c r="T362" i="22" s="1"/>
  <c r="W23" i="20"/>
  <c r="X23" i="20" s="1"/>
  <c r="Y23" i="20" s="1"/>
  <c r="S23" i="20"/>
  <c r="T23" i="20" s="1"/>
  <c r="S345" i="22"/>
  <c r="T345" i="22" s="1"/>
  <c r="W345" i="22"/>
  <c r="X345" i="22" s="1"/>
  <c r="S255" i="22"/>
  <c r="T255" i="22" s="1"/>
  <c r="W255" i="22"/>
  <c r="X255" i="22" s="1"/>
  <c r="S29" i="20"/>
  <c r="T29" i="20" s="1"/>
  <c r="W29" i="20"/>
  <c r="X29" i="20" s="1"/>
  <c r="Y29" i="20" s="1"/>
  <c r="W186" i="20"/>
  <c r="X186" i="20" s="1"/>
  <c r="Y186" i="20" s="1"/>
  <c r="S186" i="20"/>
  <c r="T186" i="20" s="1"/>
  <c r="S322" i="20"/>
  <c r="T322" i="20" s="1"/>
  <c r="W322" i="20"/>
  <c r="X322" i="20" s="1"/>
  <c r="W270" i="22"/>
  <c r="X270" i="22" s="1"/>
  <c r="S270" i="22"/>
  <c r="T270" i="22" s="1"/>
  <c r="S251" i="22"/>
  <c r="T251" i="22" s="1"/>
  <c r="W251" i="22"/>
  <c r="X251" i="22" s="1"/>
  <c r="S351" i="20"/>
  <c r="T351" i="20" s="1"/>
  <c r="W351" i="20"/>
  <c r="X351" i="20" s="1"/>
  <c r="S178" i="20"/>
  <c r="T178" i="20" s="1"/>
  <c r="W178" i="20"/>
  <c r="X178" i="20" s="1"/>
  <c r="Y178" i="20" s="1"/>
  <c r="S228" i="20"/>
  <c r="T228" i="20" s="1"/>
  <c r="W228" i="20"/>
  <c r="X228" i="20" s="1"/>
  <c r="S320" i="22"/>
  <c r="T320" i="22" s="1"/>
  <c r="W320" i="22"/>
  <c r="X320" i="22" s="1"/>
  <c r="U221" i="6"/>
  <c r="V221" i="6" s="1"/>
  <c r="W221" i="6" s="1"/>
  <c r="U240" i="6"/>
  <c r="Z240" i="6" s="1"/>
  <c r="U195" i="6"/>
  <c r="Z195" i="6" s="1"/>
  <c r="AA195" i="6" s="1"/>
  <c r="R318" i="4"/>
  <c r="W318" i="4" s="1"/>
  <c r="U148" i="6"/>
  <c r="Z148" i="6" s="1"/>
  <c r="U159" i="6"/>
  <c r="Z159" i="6" s="1"/>
  <c r="U357" i="6"/>
  <c r="V357" i="6" s="1"/>
  <c r="W357" i="6" s="1"/>
  <c r="U194" i="6"/>
  <c r="Z194" i="6" s="1"/>
  <c r="U214" i="6"/>
  <c r="Z214" i="6" s="1"/>
  <c r="U345" i="6"/>
  <c r="Z345" i="6" s="1"/>
  <c r="U85" i="6"/>
  <c r="Z85" i="6" s="1"/>
  <c r="U279" i="6"/>
  <c r="Z279" i="6" s="1"/>
  <c r="U258" i="6"/>
  <c r="V258" i="6" s="1"/>
  <c r="W258" i="6" s="1"/>
  <c r="U237" i="6"/>
  <c r="V237" i="6" s="1"/>
  <c r="W237" i="6" s="1"/>
  <c r="U230" i="6"/>
  <c r="Z230" i="6" s="1"/>
  <c r="U317" i="6"/>
  <c r="Z317" i="6" s="1"/>
  <c r="R370" i="4"/>
  <c r="S370" i="4" s="1"/>
  <c r="T370" i="4" s="1"/>
  <c r="R371" i="4"/>
  <c r="W371" i="4" s="1"/>
  <c r="U186" i="6"/>
  <c r="Z186" i="6" s="1"/>
  <c r="U229" i="6"/>
  <c r="Z229" i="6" s="1"/>
  <c r="U193" i="6"/>
  <c r="Z193" i="6" s="1"/>
  <c r="U165" i="6"/>
  <c r="Z165" i="6" s="1"/>
  <c r="W281" i="4"/>
  <c r="G35" i="19" s="1"/>
  <c r="R158" i="4"/>
  <c r="W158" i="4" s="1"/>
  <c r="U337" i="6"/>
  <c r="Z337" i="6" s="1"/>
  <c r="R107" i="4"/>
  <c r="W107" i="4" s="1"/>
  <c r="U222" i="6"/>
  <c r="Z222" i="6" s="1"/>
  <c r="AA222" i="6" s="1"/>
  <c r="Q118" i="4"/>
  <c r="V118" i="4" s="1"/>
  <c r="D48" i="11" s="1"/>
  <c r="U48" i="11" s="1"/>
  <c r="U239" i="6"/>
  <c r="Z239" i="6" s="1"/>
  <c r="U271" i="6"/>
  <c r="Z271" i="6" s="1"/>
  <c r="R65" i="4"/>
  <c r="S65" i="4" s="1"/>
  <c r="T65" i="4" s="1"/>
  <c r="Q368" i="4"/>
  <c r="V368" i="4" s="1"/>
  <c r="L47" i="19" s="1"/>
  <c r="N47" i="19" s="1"/>
  <c r="R368" i="4"/>
  <c r="S368" i="4" s="1"/>
  <c r="T368" i="4" s="1"/>
  <c r="T18" i="6"/>
  <c r="Y18" i="6" s="1"/>
  <c r="B77" i="11" s="1"/>
  <c r="S77" i="11" s="1"/>
  <c r="U18" i="6"/>
  <c r="Z18" i="6" s="1"/>
  <c r="T108" i="6"/>
  <c r="Y108" i="6" s="1"/>
  <c r="D67" i="11" s="1"/>
  <c r="U67" i="11" s="1"/>
  <c r="U108" i="6"/>
  <c r="Z108" i="6" s="1"/>
  <c r="T28" i="6"/>
  <c r="Y28" i="6" s="1"/>
  <c r="H62" i="11" s="1"/>
  <c r="Y62" i="11" s="1"/>
  <c r="U28" i="6"/>
  <c r="U241" i="6"/>
  <c r="V241" i="6" s="1"/>
  <c r="W241" i="6" s="1"/>
  <c r="Q340" i="4"/>
  <c r="V340" i="4" s="1"/>
  <c r="J44" i="19" s="1"/>
  <c r="N44" i="19" s="1"/>
  <c r="R340" i="4"/>
  <c r="S340" i="4" s="1"/>
  <c r="T340" i="4" s="1"/>
  <c r="T64" i="6"/>
  <c r="Y64" i="6" s="1"/>
  <c r="J73" i="11" s="1"/>
  <c r="AA73" i="11" s="1"/>
  <c r="U64" i="6"/>
  <c r="T8" i="6"/>
  <c r="Y8" i="6" s="1"/>
  <c r="B67" i="11" s="1"/>
  <c r="S67" i="11" s="1"/>
  <c r="U8" i="6"/>
  <c r="Z8" i="6" s="1"/>
  <c r="U182" i="6"/>
  <c r="Z182" i="6" s="1"/>
  <c r="R32" i="4"/>
  <c r="W32" i="4" s="1"/>
  <c r="W63" i="22"/>
  <c r="X63" i="22" s="1"/>
  <c r="Y63" i="22" s="1"/>
  <c r="S63" i="22"/>
  <c r="T63" i="22" s="1"/>
  <c r="U316" i="6"/>
  <c r="Z316" i="6" s="1"/>
  <c r="S69" i="22"/>
  <c r="T69" i="22" s="1"/>
  <c r="W69" i="22"/>
  <c r="X69" i="22" s="1"/>
  <c r="Y69" i="22" s="1"/>
  <c r="S347" i="22"/>
  <c r="T347" i="22" s="1"/>
  <c r="W347" i="22"/>
  <c r="X347" i="22" s="1"/>
  <c r="W279" i="22"/>
  <c r="X279" i="22" s="1"/>
  <c r="S279" i="22"/>
  <c r="T279" i="22" s="1"/>
  <c r="S248" i="22"/>
  <c r="T248" i="22" s="1"/>
  <c r="W248" i="22"/>
  <c r="X248" i="22" s="1"/>
  <c r="S339" i="20"/>
  <c r="T339" i="20" s="1"/>
  <c r="W339" i="20"/>
  <c r="X339" i="20" s="1"/>
  <c r="W238" i="20"/>
  <c r="X238" i="20" s="1"/>
  <c r="S238" i="20"/>
  <c r="T238" i="20" s="1"/>
  <c r="S357" i="20"/>
  <c r="T357" i="20" s="1"/>
  <c r="W357" i="20"/>
  <c r="X357" i="20" s="1"/>
  <c r="S174" i="20"/>
  <c r="T174" i="20" s="1"/>
  <c r="W174" i="20"/>
  <c r="X174" i="20" s="1"/>
  <c r="Y174" i="20" s="1"/>
  <c r="W56" i="22"/>
  <c r="X56" i="22" s="1"/>
  <c r="Y56" i="22" s="1"/>
  <c r="S56" i="22"/>
  <c r="T56" i="22" s="1"/>
  <c r="S23" i="22"/>
  <c r="T23" i="22" s="1"/>
  <c r="W23" i="22"/>
  <c r="X23" i="22" s="1"/>
  <c r="Y23" i="22" s="1"/>
  <c r="W260" i="20"/>
  <c r="X260" i="20" s="1"/>
  <c r="S260" i="20"/>
  <c r="T260" i="20" s="1"/>
  <c r="S22" i="20"/>
  <c r="T22" i="20" s="1"/>
  <c r="W22" i="20"/>
  <c r="X22" i="20" s="1"/>
  <c r="Y22" i="20" s="1"/>
  <c r="S315" i="20"/>
  <c r="T315" i="20" s="1"/>
  <c r="W315" i="20"/>
  <c r="X315" i="20" s="1"/>
  <c r="W290" i="20"/>
  <c r="X290" i="20" s="1"/>
  <c r="S290" i="20"/>
  <c r="T290" i="20" s="1"/>
  <c r="S161" i="20"/>
  <c r="T161" i="20" s="1"/>
  <c r="W161" i="20"/>
  <c r="X161" i="20" s="1"/>
  <c r="Y161" i="20" s="1"/>
  <c r="S28" i="22"/>
  <c r="T28" i="22" s="1"/>
  <c r="W28" i="22"/>
  <c r="X28" i="22" s="1"/>
  <c r="Y28" i="22" s="1"/>
  <c r="W288" i="20"/>
  <c r="X288" i="20" s="1"/>
  <c r="S288" i="20"/>
  <c r="T288" i="20" s="1"/>
  <c r="S321" i="22"/>
  <c r="T321" i="22" s="1"/>
  <c r="W321" i="22"/>
  <c r="X321" i="22" s="1"/>
  <c r="S220" i="20"/>
  <c r="T220" i="20" s="1"/>
  <c r="W220" i="20"/>
  <c r="X220" i="20" s="1"/>
  <c r="S350" i="22"/>
  <c r="T350" i="22" s="1"/>
  <c r="W350" i="22"/>
  <c r="X350" i="22" s="1"/>
  <c r="W236" i="20"/>
  <c r="X236" i="20" s="1"/>
  <c r="S236" i="20"/>
  <c r="T236" i="20" s="1"/>
  <c r="S363" i="22"/>
  <c r="T363" i="22" s="1"/>
  <c r="W363" i="22"/>
  <c r="X363" i="22" s="1"/>
  <c r="W227" i="22"/>
  <c r="X227" i="22" s="1"/>
  <c r="S227" i="22"/>
  <c r="T227" i="22" s="1"/>
  <c r="S119" i="22"/>
  <c r="T119" i="22" s="1"/>
  <c r="W119" i="22"/>
  <c r="X119" i="22" s="1"/>
  <c r="Y119" i="22" s="1"/>
  <c r="U145" i="6"/>
  <c r="Z145" i="6" s="1"/>
  <c r="U295" i="6"/>
  <c r="Z295" i="6" s="1"/>
  <c r="U185" i="6"/>
  <c r="Z185" i="6" s="1"/>
  <c r="U212" i="6"/>
  <c r="Z212" i="6" s="1"/>
  <c r="U140" i="6"/>
  <c r="Z140" i="6" s="1"/>
  <c r="U322" i="6"/>
  <c r="V322" i="6" s="1"/>
  <c r="W322" i="6" s="1"/>
  <c r="U147" i="6"/>
  <c r="Z147" i="6" s="1"/>
  <c r="U373" i="6"/>
  <c r="V373" i="6" s="1"/>
  <c r="W373" i="6" s="1"/>
  <c r="U255" i="6"/>
  <c r="Z255" i="6" s="1"/>
  <c r="U319" i="6"/>
  <c r="V319" i="6" s="1"/>
  <c r="W319" i="6" s="1"/>
  <c r="U146" i="6"/>
  <c r="Z146" i="6" s="1"/>
  <c r="U216" i="6"/>
  <c r="Z216" i="6" s="1"/>
  <c r="U283" i="6"/>
  <c r="V283" i="6" s="1"/>
  <c r="W283" i="6" s="1"/>
  <c r="U93" i="6"/>
  <c r="Z93" i="6" s="1"/>
  <c r="AA93" i="6" s="1"/>
  <c r="U306" i="6"/>
  <c r="Z306" i="6" s="1"/>
  <c r="AA306" i="6" s="1"/>
  <c r="U256" i="6"/>
  <c r="Z256" i="6" s="1"/>
  <c r="U245" i="6"/>
  <c r="Z245" i="6" s="1"/>
  <c r="U91" i="6"/>
  <c r="Z91" i="6" s="1"/>
  <c r="U187" i="6"/>
  <c r="Z187" i="6" s="1"/>
  <c r="U37" i="6"/>
  <c r="Z37" i="6" s="1"/>
  <c r="U132" i="6"/>
  <c r="V132" i="6" s="1"/>
  <c r="W132" i="6" s="1"/>
  <c r="R20" i="4"/>
  <c r="W20" i="4" s="1"/>
  <c r="U329" i="6"/>
  <c r="Z329" i="6" s="1"/>
  <c r="U291" i="6"/>
  <c r="Z291" i="6" s="1"/>
  <c r="U372" i="6"/>
  <c r="Z372" i="6" s="1"/>
  <c r="U309" i="6"/>
  <c r="Z309" i="6" s="1"/>
  <c r="R138" i="4"/>
  <c r="W138" i="4" s="1"/>
  <c r="U331" i="6"/>
  <c r="V331" i="6" s="1"/>
  <c r="W331" i="6" s="1"/>
  <c r="U158" i="6"/>
  <c r="Z158" i="6" s="1"/>
  <c r="R239" i="4"/>
  <c r="S239" i="4" s="1"/>
  <c r="T239" i="4" s="1"/>
  <c r="U282" i="6"/>
  <c r="Z282" i="6" s="1"/>
  <c r="U344" i="6"/>
  <c r="Z344" i="6" s="1"/>
  <c r="Q36" i="4"/>
  <c r="V36" i="4" s="1"/>
  <c r="H41" i="11" s="1"/>
  <c r="Y41" i="11" s="1"/>
  <c r="AA3" i="6"/>
  <c r="C62" i="11"/>
  <c r="T62" i="11" s="1"/>
  <c r="R262" i="4"/>
  <c r="S262" i="4" s="1"/>
  <c r="T262" i="4" s="1"/>
  <c r="Y321" i="6"/>
  <c r="H78" i="19" s="1"/>
  <c r="N78" i="19" s="1"/>
  <c r="U321" i="6"/>
  <c r="Z321" i="6" s="1"/>
  <c r="T162" i="6"/>
  <c r="Y162" i="6" s="1"/>
  <c r="F71" i="11" s="1"/>
  <c r="W71" i="11" s="1"/>
  <c r="U162" i="6"/>
  <c r="Z162" i="6" s="1"/>
  <c r="T41" i="6"/>
  <c r="Y41" i="6" s="1"/>
  <c r="H75" i="11" s="1"/>
  <c r="Y75" i="11" s="1"/>
  <c r="U41" i="6"/>
  <c r="T115" i="6"/>
  <c r="Y115" i="6" s="1"/>
  <c r="D74" i="11" s="1"/>
  <c r="U74" i="11" s="1"/>
  <c r="U115" i="6"/>
  <c r="V115" i="6" s="1"/>
  <c r="W115" i="6" s="1"/>
  <c r="T33" i="6"/>
  <c r="Y33" i="6" s="1"/>
  <c r="H67" i="11" s="1"/>
  <c r="Y67" i="11" s="1"/>
  <c r="U33" i="6"/>
  <c r="T197" i="6"/>
  <c r="Y197" i="6" s="1"/>
  <c r="F80" i="18" s="1"/>
  <c r="U80" i="18" s="1"/>
  <c r="U197" i="6"/>
  <c r="V197" i="6" s="1"/>
  <c r="W197" i="6" s="1"/>
  <c r="R141" i="4"/>
  <c r="W141" i="4" s="1"/>
  <c r="R206" i="4"/>
  <c r="S206" i="4" s="1"/>
  <c r="T206" i="4" s="1"/>
  <c r="Q341" i="4"/>
  <c r="V341" i="4" s="1"/>
  <c r="J45" i="19" s="1"/>
  <c r="N45" i="19" s="1"/>
  <c r="R341" i="4"/>
  <c r="S341" i="4" s="1"/>
  <c r="T341" i="4" s="1"/>
  <c r="Q133" i="4"/>
  <c r="V133" i="4" s="1"/>
  <c r="D37" i="18" s="1"/>
  <c r="R133" i="4"/>
  <c r="W133" i="4" s="1"/>
  <c r="U217" i="6"/>
  <c r="V217" i="6" s="1"/>
  <c r="W217" i="6" s="1"/>
  <c r="R261" i="4"/>
  <c r="S261" i="4" s="1"/>
  <c r="T261" i="4" s="1"/>
  <c r="S214" i="20"/>
  <c r="T214" i="20" s="1"/>
  <c r="W214" i="20"/>
  <c r="X214" i="20" s="1"/>
  <c r="Y214" i="20" s="1"/>
  <c r="S152" i="22"/>
  <c r="T152" i="22" s="1"/>
  <c r="W152" i="22"/>
  <c r="X152" i="22" s="1"/>
  <c r="Y152" i="22" s="1"/>
  <c r="W231" i="22"/>
  <c r="X231" i="22" s="1"/>
  <c r="S231" i="22"/>
  <c r="T231" i="22" s="1"/>
  <c r="S354" i="22"/>
  <c r="T354" i="22" s="1"/>
  <c r="W354" i="22"/>
  <c r="X354" i="22" s="1"/>
  <c r="S136" i="20"/>
  <c r="T136" i="20" s="1"/>
  <c r="W136" i="20"/>
  <c r="X136" i="20" s="1"/>
  <c r="Y136" i="20" s="1"/>
  <c r="S338" i="22"/>
  <c r="T338" i="22" s="1"/>
  <c r="W338" i="22"/>
  <c r="X338" i="22" s="1"/>
  <c r="W124" i="20"/>
  <c r="X124" i="20" s="1"/>
  <c r="Y124" i="20" s="1"/>
  <c r="S124" i="20"/>
  <c r="T124" i="20" s="1"/>
  <c r="S237" i="22"/>
  <c r="T237" i="22" s="1"/>
  <c r="W237" i="22"/>
  <c r="X237" i="22" s="1"/>
  <c r="W362" i="20"/>
  <c r="X362" i="20" s="1"/>
  <c r="S362" i="20"/>
  <c r="T362" i="20" s="1"/>
  <c r="S356" i="22"/>
  <c r="T356" i="22" s="1"/>
  <c r="W356" i="22"/>
  <c r="X356" i="22" s="1"/>
  <c r="S309" i="20"/>
  <c r="T309" i="20" s="1"/>
  <c r="W309" i="20"/>
  <c r="X309" i="20" s="1"/>
  <c r="S173" i="22"/>
  <c r="T173" i="22" s="1"/>
  <c r="W173" i="22"/>
  <c r="X173" i="22" s="1"/>
  <c r="Y173" i="22" s="1"/>
  <c r="S263" i="20"/>
  <c r="T263" i="20" s="1"/>
  <c r="W263" i="20"/>
  <c r="X263" i="20" s="1"/>
  <c r="S188" i="20"/>
  <c r="T188" i="20" s="1"/>
  <c r="W188" i="20"/>
  <c r="X188" i="20" s="1"/>
  <c r="Y188" i="20" s="1"/>
  <c r="S259" i="22"/>
  <c r="T259" i="22" s="1"/>
  <c r="W259" i="22"/>
  <c r="X259" i="22" s="1"/>
  <c r="W125" i="20"/>
  <c r="X125" i="20" s="1"/>
  <c r="Y125" i="20" s="1"/>
  <c r="S125" i="20"/>
  <c r="T125" i="20" s="1"/>
  <c r="W22" i="22"/>
  <c r="X22" i="22" s="1"/>
  <c r="Y22" i="22" s="1"/>
  <c r="S22" i="22"/>
  <c r="T22" i="22" s="1"/>
  <c r="S314" i="22"/>
  <c r="T314" i="22" s="1"/>
  <c r="W314" i="22"/>
  <c r="X314" i="22" s="1"/>
  <c r="S329" i="20"/>
  <c r="T329" i="20" s="1"/>
  <c r="W329" i="20"/>
  <c r="X329" i="20" s="1"/>
  <c r="S160" i="22"/>
  <c r="T160" i="22" s="1"/>
  <c r="W160" i="22"/>
  <c r="X160" i="22" s="1"/>
  <c r="Y160" i="22" s="1"/>
  <c r="S227" i="20"/>
  <c r="T227" i="20" s="1"/>
  <c r="W227" i="20"/>
  <c r="X227" i="20" s="1"/>
  <c r="S287" i="22"/>
  <c r="T287" i="22" s="1"/>
  <c r="W287" i="22"/>
  <c r="X287" i="22" s="1"/>
  <c r="S219" i="22"/>
  <c r="T219" i="22" s="1"/>
  <c r="W219" i="22"/>
  <c r="X219" i="22" s="1"/>
  <c r="S159" i="20"/>
  <c r="T159" i="20" s="1"/>
  <c r="W159" i="20"/>
  <c r="X159" i="20" s="1"/>
  <c r="Y159" i="20" s="1"/>
  <c r="S141" i="20"/>
  <c r="T141" i="20" s="1"/>
  <c r="W141" i="20"/>
  <c r="X141" i="20" s="1"/>
  <c r="Y141" i="20" s="1"/>
  <c r="R276" i="22"/>
  <c r="Q276" i="22"/>
  <c r="V276" i="22" s="1"/>
  <c r="Q147" i="22"/>
  <c r="V147" i="22" s="1"/>
  <c r="R147" i="22"/>
  <c r="R55" i="20"/>
  <c r="Q55" i="20"/>
  <c r="V55" i="20" s="1"/>
  <c r="Q17" i="20"/>
  <c r="V17" i="20" s="1"/>
  <c r="R17" i="20"/>
  <c r="R120" i="4"/>
  <c r="S120" i="4" s="1"/>
  <c r="S198" i="22"/>
  <c r="T198" i="22" s="1"/>
  <c r="W198" i="22"/>
  <c r="X198" i="22" s="1"/>
  <c r="Y198" i="22" s="1"/>
  <c r="S275" i="20"/>
  <c r="T275" i="20" s="1"/>
  <c r="W275" i="20"/>
  <c r="X275" i="20" s="1"/>
  <c r="S171" i="22"/>
  <c r="T171" i="22" s="1"/>
  <c r="W171" i="22"/>
  <c r="X171" i="22" s="1"/>
  <c r="Y171" i="22" s="1"/>
  <c r="S286" i="22"/>
  <c r="T286" i="22" s="1"/>
  <c r="W286" i="22"/>
  <c r="X286" i="22" s="1"/>
  <c r="W353" i="22"/>
  <c r="X353" i="22" s="1"/>
  <c r="S353" i="22"/>
  <c r="T353" i="22" s="1"/>
  <c r="W37" i="22"/>
  <c r="X37" i="22" s="1"/>
  <c r="Y37" i="22" s="1"/>
  <c r="S37" i="22"/>
  <c r="T37" i="22" s="1"/>
  <c r="R183" i="20"/>
  <c r="Q183" i="20"/>
  <c r="V183" i="20" s="1"/>
  <c r="Q77" i="22"/>
  <c r="V77" i="22" s="1"/>
  <c r="R77" i="22"/>
  <c r="R92" i="4"/>
  <c r="W92" i="4" s="1"/>
  <c r="R201" i="22"/>
  <c r="Q201" i="22"/>
  <c r="V201" i="22" s="1"/>
  <c r="R340" i="20"/>
  <c r="Q340" i="20"/>
  <c r="V340" i="20" s="1"/>
  <c r="Q156" i="20"/>
  <c r="V156" i="20" s="1"/>
  <c r="R156" i="20"/>
  <c r="S204" i="22"/>
  <c r="T204" i="22" s="1"/>
  <c r="W204" i="22"/>
  <c r="X204" i="22" s="1"/>
  <c r="Y204" i="22" s="1"/>
  <c r="W104" i="20"/>
  <c r="X104" i="20" s="1"/>
  <c r="Y104" i="20" s="1"/>
  <c r="S104" i="20"/>
  <c r="T104" i="20" s="1"/>
  <c r="R58" i="22"/>
  <c r="S31" i="20"/>
  <c r="T31" i="20" s="1"/>
  <c r="W31" i="20"/>
  <c r="X31" i="20" s="1"/>
  <c r="Y31" i="20" s="1"/>
  <c r="S280" i="22"/>
  <c r="T280" i="22" s="1"/>
  <c r="W280" i="22"/>
  <c r="X280" i="22" s="1"/>
  <c r="W197" i="22"/>
  <c r="X197" i="22" s="1"/>
  <c r="Y197" i="22" s="1"/>
  <c r="S197" i="22"/>
  <c r="T197" i="22" s="1"/>
  <c r="W38" i="20"/>
  <c r="X38" i="20" s="1"/>
  <c r="Y38" i="20" s="1"/>
  <c r="S38" i="20"/>
  <c r="T38" i="20" s="1"/>
  <c r="W46" i="22"/>
  <c r="X46" i="22" s="1"/>
  <c r="Y46" i="22" s="1"/>
  <c r="S46" i="22"/>
  <c r="T46" i="22" s="1"/>
  <c r="R130" i="20"/>
  <c r="Q130" i="20"/>
  <c r="V130" i="20" s="1"/>
  <c r="R233" i="22"/>
  <c r="Q233" i="22"/>
  <c r="V233" i="22" s="1"/>
  <c r="R18" i="22"/>
  <c r="Q18" i="22"/>
  <c r="V18" i="22" s="1"/>
  <c r="Q312" i="22"/>
  <c r="V312" i="22" s="1"/>
  <c r="R312" i="22"/>
  <c r="W214" i="22"/>
  <c r="X214" i="22" s="1"/>
  <c r="Y214" i="22" s="1"/>
  <c r="S214" i="22"/>
  <c r="T214" i="22" s="1"/>
  <c r="R100" i="20"/>
  <c r="W338" i="20"/>
  <c r="X338" i="20" s="1"/>
  <c r="S338" i="20"/>
  <c r="T338" i="20" s="1"/>
  <c r="W220" i="22"/>
  <c r="X220" i="22" s="1"/>
  <c r="S220" i="22"/>
  <c r="T220" i="22" s="1"/>
  <c r="S281" i="22"/>
  <c r="T281" i="22" s="1"/>
  <c r="W281" i="22"/>
  <c r="X281" i="22" s="1"/>
  <c r="S140" i="20"/>
  <c r="T140" i="20" s="1"/>
  <c r="W140" i="20"/>
  <c r="X140" i="20" s="1"/>
  <c r="Y140" i="20" s="1"/>
  <c r="Q128" i="22"/>
  <c r="V128" i="22" s="1"/>
  <c r="R128" i="22"/>
  <c r="R175" i="20"/>
  <c r="Q175" i="20"/>
  <c r="V175" i="20" s="1"/>
  <c r="Q149" i="20"/>
  <c r="V149" i="20" s="1"/>
  <c r="R149" i="20"/>
  <c r="Q8" i="4"/>
  <c r="V8" i="4" s="1"/>
  <c r="B38" i="11" s="1"/>
  <c r="S38" i="11" s="1"/>
  <c r="R8" i="4"/>
  <c r="W8" i="4" s="1"/>
  <c r="Q332" i="22"/>
  <c r="V332" i="22" s="1"/>
  <c r="R332" i="22"/>
  <c r="R18" i="20"/>
  <c r="S52" i="22"/>
  <c r="T52" i="22" s="1"/>
  <c r="W52" i="22"/>
  <c r="X52" i="22" s="1"/>
  <c r="Y52" i="22" s="1"/>
  <c r="W45" i="22"/>
  <c r="X45" i="22" s="1"/>
  <c r="Y45" i="22" s="1"/>
  <c r="S45" i="22"/>
  <c r="T45" i="22" s="1"/>
  <c r="W206" i="20"/>
  <c r="X206" i="20" s="1"/>
  <c r="Y206" i="20" s="1"/>
  <c r="S206" i="20"/>
  <c r="T206" i="20" s="1"/>
  <c r="R209" i="22"/>
  <c r="Q209" i="22"/>
  <c r="V209" i="22" s="1"/>
  <c r="R40" i="4"/>
  <c r="S40" i="4" s="1"/>
  <c r="Q232" i="22"/>
  <c r="V232" i="22" s="1"/>
  <c r="R232" i="22"/>
  <c r="R115" i="22"/>
  <c r="Q115" i="22"/>
  <c r="V115" i="22" s="1"/>
  <c r="Q104" i="22"/>
  <c r="V104" i="22" s="1"/>
  <c r="R104" i="22"/>
  <c r="S206" i="22"/>
  <c r="T206" i="22" s="1"/>
  <c r="W206" i="22"/>
  <c r="X206" i="22" s="1"/>
  <c r="Y206" i="22" s="1"/>
  <c r="W166" i="20"/>
  <c r="X166" i="20" s="1"/>
  <c r="Y166" i="20" s="1"/>
  <c r="S166" i="20"/>
  <c r="T166" i="20" s="1"/>
  <c r="S158" i="22"/>
  <c r="T158" i="22" s="1"/>
  <c r="W158" i="22"/>
  <c r="X158" i="22" s="1"/>
  <c r="Y158" i="22" s="1"/>
  <c r="R351" i="22"/>
  <c r="Q351" i="22"/>
  <c r="V351" i="22" s="1"/>
  <c r="R191" i="20"/>
  <c r="Q191" i="20"/>
  <c r="V191" i="20" s="1"/>
  <c r="R218" i="4"/>
  <c r="W218" i="4" s="1"/>
  <c r="Q35" i="22"/>
  <c r="V35" i="22" s="1"/>
  <c r="R35" i="22"/>
  <c r="Q33" i="20"/>
  <c r="V33" i="20" s="1"/>
  <c r="R33" i="20"/>
  <c r="R39" i="4"/>
  <c r="W39" i="4" s="1"/>
  <c r="S163" i="20"/>
  <c r="T163" i="20" s="1"/>
  <c r="W163" i="20"/>
  <c r="X163" i="20" s="1"/>
  <c r="Y163" i="20" s="1"/>
  <c r="W208" i="20"/>
  <c r="X208" i="20" s="1"/>
  <c r="Y208" i="20" s="1"/>
  <c r="S208" i="20"/>
  <c r="T208" i="20" s="1"/>
  <c r="Q203" i="20"/>
  <c r="V203" i="20" s="1"/>
  <c r="R203" i="20"/>
  <c r="R260" i="22"/>
  <c r="Q260" i="22"/>
  <c r="V260" i="22" s="1"/>
  <c r="Q44" i="20"/>
  <c r="V44" i="20" s="1"/>
  <c r="R44" i="20"/>
  <c r="Q63" i="20"/>
  <c r="V63" i="20" s="1"/>
  <c r="R63" i="20"/>
  <c r="U118" i="6"/>
  <c r="Z118" i="6" s="1"/>
  <c r="S165" i="22"/>
  <c r="T165" i="22" s="1"/>
  <c r="W165" i="22"/>
  <c r="X165" i="22" s="1"/>
  <c r="Y165" i="22" s="1"/>
  <c r="U284" i="6"/>
  <c r="V284" i="6" s="1"/>
  <c r="W284" i="6" s="1"/>
  <c r="U332" i="6"/>
  <c r="Z332" i="6" s="1"/>
  <c r="U262" i="6"/>
  <c r="Z262" i="6" s="1"/>
  <c r="R67" i="22"/>
  <c r="Q67" i="22"/>
  <c r="V67" i="22" s="1"/>
  <c r="R285" i="20"/>
  <c r="Q285" i="20"/>
  <c r="V285" i="20" s="1"/>
  <c r="W118" i="22"/>
  <c r="X118" i="22" s="1"/>
  <c r="Y118" i="22" s="1"/>
  <c r="S118" i="22"/>
  <c r="T118" i="22" s="1"/>
  <c r="S355" i="20"/>
  <c r="T355" i="20" s="1"/>
  <c r="W355" i="20"/>
  <c r="X355" i="20" s="1"/>
  <c r="S199" i="20"/>
  <c r="T199" i="20" s="1"/>
  <c r="W199" i="20"/>
  <c r="X199" i="20" s="1"/>
  <c r="Y199" i="20" s="1"/>
  <c r="R285" i="4"/>
  <c r="W285" i="4" s="1"/>
  <c r="R312" i="20"/>
  <c r="Q312" i="20"/>
  <c r="V312" i="20" s="1"/>
  <c r="U153" i="6"/>
  <c r="Z153" i="6" s="1"/>
  <c r="Q17" i="22"/>
  <c r="V17" i="22" s="1"/>
  <c r="R17" i="22"/>
  <c r="Q114" i="20"/>
  <c r="V114" i="20" s="1"/>
  <c r="R114" i="20"/>
  <c r="S347" i="20"/>
  <c r="T347" i="20" s="1"/>
  <c r="W347" i="20"/>
  <c r="X347" i="20" s="1"/>
  <c r="S180" i="20"/>
  <c r="T180" i="20" s="1"/>
  <c r="W180" i="20"/>
  <c r="X180" i="20" s="1"/>
  <c r="Y180" i="20" s="1"/>
  <c r="W133" i="22"/>
  <c r="X133" i="22" s="1"/>
  <c r="Y133" i="22" s="1"/>
  <c r="S133" i="22"/>
  <c r="T133" i="22" s="1"/>
  <c r="R182" i="22"/>
  <c r="Q182" i="22"/>
  <c r="V182" i="22" s="1"/>
  <c r="R80" i="4"/>
  <c r="W80" i="4" s="1"/>
  <c r="Q96" i="20"/>
  <c r="V96" i="20" s="1"/>
  <c r="R96" i="20"/>
  <c r="R209" i="4"/>
  <c r="W209" i="4" s="1"/>
  <c r="R339" i="22"/>
  <c r="Q339" i="22"/>
  <c r="V339" i="22" s="1"/>
  <c r="Q155" i="22"/>
  <c r="V155" i="22" s="1"/>
  <c r="R155" i="22"/>
  <c r="S337" i="22"/>
  <c r="T337" i="22" s="1"/>
  <c r="W337" i="22"/>
  <c r="X337" i="22" s="1"/>
  <c r="S135" i="20"/>
  <c r="T135" i="20" s="1"/>
  <c r="W135" i="20"/>
  <c r="X135" i="20" s="1"/>
  <c r="Y135" i="20" s="1"/>
  <c r="W178" i="22"/>
  <c r="X178" i="22" s="1"/>
  <c r="Y178" i="22" s="1"/>
  <c r="S178" i="22"/>
  <c r="T178" i="22" s="1"/>
  <c r="S354" i="20"/>
  <c r="T354" i="20" s="1"/>
  <c r="W354" i="20"/>
  <c r="X354" i="20" s="1"/>
  <c r="W247" i="22"/>
  <c r="X247" i="22" s="1"/>
  <c r="S247" i="22"/>
  <c r="T247" i="22" s="1"/>
  <c r="R129" i="22"/>
  <c r="Q129" i="22"/>
  <c r="V129" i="22" s="1"/>
  <c r="R13" i="20"/>
  <c r="Q13" i="20"/>
  <c r="V13" i="20" s="1"/>
  <c r="Q18" i="4"/>
  <c r="V18" i="4" s="1"/>
  <c r="B48" i="11" s="1"/>
  <c r="S48" i="11" s="1"/>
  <c r="R18" i="4"/>
  <c r="W18" i="4" s="1"/>
  <c r="R321" i="4"/>
  <c r="S321" i="4" s="1"/>
  <c r="R175" i="22"/>
  <c r="W185" i="22"/>
  <c r="X185" i="22" s="1"/>
  <c r="Y185" i="22" s="1"/>
  <c r="S185" i="22"/>
  <c r="T185" i="22" s="1"/>
  <c r="W325" i="22"/>
  <c r="X325" i="22" s="1"/>
  <c r="S325" i="22"/>
  <c r="T325" i="22" s="1"/>
  <c r="S47" i="20"/>
  <c r="T47" i="20" s="1"/>
  <c r="W47" i="20"/>
  <c r="X47" i="20" s="1"/>
  <c r="Y47" i="20" s="1"/>
  <c r="S196" i="22"/>
  <c r="T196" i="22" s="1"/>
  <c r="W196" i="22"/>
  <c r="X196" i="22" s="1"/>
  <c r="Y196" i="22" s="1"/>
  <c r="U90" i="6"/>
  <c r="Z90" i="6" s="1"/>
  <c r="U133" i="6"/>
  <c r="Z133" i="6" s="1"/>
  <c r="R174" i="22"/>
  <c r="Q174" i="22"/>
  <c r="V174" i="22" s="1"/>
  <c r="R148" i="22"/>
  <c r="Q148" i="22"/>
  <c r="V148" i="22" s="1"/>
  <c r="R21" i="20"/>
  <c r="Q21" i="20"/>
  <c r="V21" i="20" s="1"/>
  <c r="U341" i="6"/>
  <c r="Z341" i="6" s="1"/>
  <c r="R87" i="22"/>
  <c r="S30" i="20"/>
  <c r="T30" i="20" s="1"/>
  <c r="W30" i="20"/>
  <c r="X30" i="20" s="1"/>
  <c r="Y30" i="20" s="1"/>
  <c r="R217" i="4"/>
  <c r="W217" i="4" s="1"/>
  <c r="Q28" i="20"/>
  <c r="V28" i="20" s="1"/>
  <c r="R28" i="20"/>
  <c r="R241" i="4"/>
  <c r="W241" i="4" s="1"/>
  <c r="U119" i="6"/>
  <c r="V119" i="6" s="1"/>
  <c r="W119" i="6" s="1"/>
  <c r="R108" i="4"/>
  <c r="W108" i="4" s="1"/>
  <c r="W128" i="20"/>
  <c r="X128" i="20" s="1"/>
  <c r="Y128" i="20" s="1"/>
  <c r="S128" i="20"/>
  <c r="T128" i="20" s="1"/>
  <c r="R190" i="22"/>
  <c r="Q190" i="22"/>
  <c r="V190" i="22" s="1"/>
  <c r="U36" i="6"/>
  <c r="Q32" i="22"/>
  <c r="V32" i="22" s="1"/>
  <c r="R32" i="22"/>
  <c r="S89" i="20"/>
  <c r="T89" i="20" s="1"/>
  <c r="W89" i="20"/>
  <c r="X89" i="20" s="1"/>
  <c r="Y89" i="20" s="1"/>
  <c r="R202" i="22"/>
  <c r="Q202" i="22"/>
  <c r="V202" i="22" s="1"/>
  <c r="Q109" i="20"/>
  <c r="V109" i="20" s="1"/>
  <c r="R109" i="20"/>
  <c r="U269" i="6"/>
  <c r="Z269" i="6" s="1"/>
  <c r="R43" i="22"/>
  <c r="Q43" i="22"/>
  <c r="V43" i="22" s="1"/>
  <c r="Q10" i="20"/>
  <c r="V10" i="20" s="1"/>
  <c r="R10" i="20"/>
  <c r="R138" i="20"/>
  <c r="Q138" i="20"/>
  <c r="V138" i="20" s="1"/>
  <c r="Q79" i="20"/>
  <c r="V79" i="20" s="1"/>
  <c r="R79" i="20"/>
  <c r="R297" i="20"/>
  <c r="Q297" i="20"/>
  <c r="V297" i="20" s="1"/>
  <c r="R304" i="20"/>
  <c r="Q304" i="20"/>
  <c r="V304" i="20" s="1"/>
  <c r="R69" i="4"/>
  <c r="W69" i="4" s="1"/>
  <c r="R284" i="22"/>
  <c r="Q284" i="22"/>
  <c r="V284" i="22" s="1"/>
  <c r="R296" i="20"/>
  <c r="Q296" i="20"/>
  <c r="V296" i="20" s="1"/>
  <c r="R311" i="22"/>
  <c r="Q59" i="20"/>
  <c r="V59" i="20" s="1"/>
  <c r="R59" i="20"/>
  <c r="R56" i="4"/>
  <c r="W56" i="4" s="1"/>
  <c r="R17" i="4"/>
  <c r="W17" i="4" s="1"/>
  <c r="R113" i="22"/>
  <c r="Q113" i="22"/>
  <c r="V113" i="22" s="1"/>
  <c r="S30" i="22"/>
  <c r="T30" i="22" s="1"/>
  <c r="W30" i="22"/>
  <c r="X30" i="22" s="1"/>
  <c r="Y30" i="22" s="1"/>
  <c r="S167" i="20"/>
  <c r="T167" i="20" s="1"/>
  <c r="W167" i="20"/>
  <c r="X167" i="20" s="1"/>
  <c r="Y167" i="20" s="1"/>
  <c r="W70" i="20"/>
  <c r="X70" i="20" s="1"/>
  <c r="Y70" i="20" s="1"/>
  <c r="S70" i="20"/>
  <c r="T70" i="20" s="1"/>
  <c r="S335" i="20"/>
  <c r="T335" i="20" s="1"/>
  <c r="W335" i="20"/>
  <c r="X335" i="20" s="1"/>
  <c r="R189" i="4"/>
  <c r="W189" i="4" s="1"/>
  <c r="Q192" i="20"/>
  <c r="V192" i="20" s="1"/>
  <c r="R192" i="20"/>
  <c r="Q95" i="20"/>
  <c r="V95" i="20" s="1"/>
  <c r="R95" i="20"/>
  <c r="R34" i="20"/>
  <c r="Q34" i="20"/>
  <c r="V34" i="20" s="1"/>
  <c r="U348" i="6"/>
  <c r="V348" i="6" s="1"/>
  <c r="W348" i="6" s="1"/>
  <c r="R161" i="4"/>
  <c r="S161" i="4" s="1"/>
  <c r="T161" i="4" s="1"/>
  <c r="S302" i="20"/>
  <c r="T302" i="20" s="1"/>
  <c r="W302" i="20"/>
  <c r="X302" i="20" s="1"/>
  <c r="S139" i="22"/>
  <c r="T139" i="22" s="1"/>
  <c r="W139" i="22"/>
  <c r="X139" i="22" s="1"/>
  <c r="Y139" i="22" s="1"/>
  <c r="W289" i="22"/>
  <c r="X289" i="22" s="1"/>
  <c r="S289" i="22"/>
  <c r="T289" i="22" s="1"/>
  <c r="W51" i="22"/>
  <c r="X51" i="22" s="1"/>
  <c r="Y51" i="22" s="1"/>
  <c r="S51" i="22"/>
  <c r="T51" i="22" s="1"/>
  <c r="S14" i="20"/>
  <c r="T14" i="20" s="1"/>
  <c r="W14" i="20"/>
  <c r="X14" i="20" s="1"/>
  <c r="Y14" i="20" s="1"/>
  <c r="R134" i="4"/>
  <c r="W134" i="4" s="1"/>
  <c r="Q13" i="22"/>
  <c r="V13" i="22" s="1"/>
  <c r="R13" i="22"/>
  <c r="Q9" i="20"/>
  <c r="V9" i="20" s="1"/>
  <c r="R9" i="20"/>
  <c r="R61" i="20"/>
  <c r="Q61" i="20"/>
  <c r="V61" i="20" s="1"/>
  <c r="S149" i="22"/>
  <c r="T149" i="22" s="1"/>
  <c r="W149" i="22"/>
  <c r="X149" i="22" s="1"/>
  <c r="Y149" i="22" s="1"/>
  <c r="S117" i="22"/>
  <c r="T117" i="22" s="1"/>
  <c r="W117" i="22"/>
  <c r="X117" i="22" s="1"/>
  <c r="Y117" i="22" s="1"/>
  <c r="S302" i="22"/>
  <c r="T302" i="22" s="1"/>
  <c r="W302" i="22"/>
  <c r="X302" i="22" s="1"/>
  <c r="W29" i="22"/>
  <c r="X29" i="22" s="1"/>
  <c r="Y29" i="22" s="1"/>
  <c r="S29" i="22"/>
  <c r="T29" i="22" s="1"/>
  <c r="S248" i="20"/>
  <c r="T248" i="20" s="1"/>
  <c r="W248" i="20"/>
  <c r="X248" i="20" s="1"/>
  <c r="Q246" i="20"/>
  <c r="V246" i="20" s="1"/>
  <c r="R246" i="20"/>
  <c r="U154" i="6"/>
  <c r="V154" i="6" s="1"/>
  <c r="W154" i="6" s="1"/>
  <c r="Q21" i="22"/>
  <c r="V21" i="22" s="1"/>
  <c r="R21" i="22"/>
  <c r="S161" i="22"/>
  <c r="T161" i="22" s="1"/>
  <c r="W161" i="22"/>
  <c r="X161" i="22" s="1"/>
  <c r="Y161" i="22" s="1"/>
  <c r="S143" i="22"/>
  <c r="T143" i="22" s="1"/>
  <c r="W143" i="22"/>
  <c r="X143" i="22" s="1"/>
  <c r="Y143" i="22" s="1"/>
  <c r="W103" i="20"/>
  <c r="X103" i="20" s="1"/>
  <c r="Y103" i="20" s="1"/>
  <c r="S103" i="20"/>
  <c r="T103" i="20" s="1"/>
  <c r="W20" i="20"/>
  <c r="X20" i="20" s="1"/>
  <c r="Y20" i="20" s="1"/>
  <c r="S20" i="20"/>
  <c r="T20" i="20" s="1"/>
  <c r="W235" i="22"/>
  <c r="X235" i="22" s="1"/>
  <c r="S235" i="22"/>
  <c r="T235" i="22" s="1"/>
  <c r="S127" i="22"/>
  <c r="T127" i="22" s="1"/>
  <c r="W127" i="22"/>
  <c r="X127" i="22" s="1"/>
  <c r="Y127" i="22" s="1"/>
  <c r="R245" i="20"/>
  <c r="Q245" i="20"/>
  <c r="V245" i="20" s="1"/>
  <c r="R27" i="22"/>
  <c r="Q27" i="22"/>
  <c r="V27" i="22" s="1"/>
  <c r="R157" i="20"/>
  <c r="Q157" i="20"/>
  <c r="V157" i="20" s="1"/>
  <c r="Q164" i="20"/>
  <c r="V164" i="20" s="1"/>
  <c r="R164" i="20"/>
  <c r="S239" i="22"/>
  <c r="T239" i="22" s="1"/>
  <c r="X239" i="22"/>
  <c r="Y239" i="22" s="1"/>
  <c r="W144" i="20"/>
  <c r="X144" i="20" s="1"/>
  <c r="Y144" i="20" s="1"/>
  <c r="S144" i="20"/>
  <c r="T144" i="20" s="1"/>
  <c r="W141" i="22"/>
  <c r="X141" i="22" s="1"/>
  <c r="Y141" i="22" s="1"/>
  <c r="S141" i="22"/>
  <c r="T141" i="22" s="1"/>
  <c r="R93" i="20"/>
  <c r="Q93" i="20"/>
  <c r="V93" i="20" s="1"/>
  <c r="R197" i="4"/>
  <c r="W197" i="4" s="1"/>
  <c r="Q112" i="20"/>
  <c r="V112" i="20" s="1"/>
  <c r="R112" i="20"/>
  <c r="R33" i="4"/>
  <c r="S33" i="4" s="1"/>
  <c r="S349" i="22"/>
  <c r="T349" i="22" s="1"/>
  <c r="W349" i="22"/>
  <c r="X349" i="22" s="1"/>
  <c r="W84" i="20"/>
  <c r="X84" i="20" s="1"/>
  <c r="Y84" i="20" s="1"/>
  <c r="S84" i="20"/>
  <c r="T84" i="20" s="1"/>
  <c r="W6" i="22"/>
  <c r="X6" i="22" s="1"/>
  <c r="Y6" i="22" s="1"/>
  <c r="S6" i="22"/>
  <c r="T6" i="22" s="1"/>
  <c r="U210" i="6"/>
  <c r="Z210" i="6" s="1"/>
  <c r="Q108" i="22"/>
  <c r="V108" i="22" s="1"/>
  <c r="R108" i="22"/>
  <c r="R44" i="4"/>
  <c r="S44" i="4" s="1"/>
  <c r="R64" i="4"/>
  <c r="W64" i="4" s="1"/>
  <c r="R10" i="22"/>
  <c r="Q10" i="22"/>
  <c r="V10" i="22" s="1"/>
  <c r="Q137" i="22"/>
  <c r="V137" i="22" s="1"/>
  <c r="R137" i="22"/>
  <c r="R78" i="22"/>
  <c r="Q78" i="22"/>
  <c r="V78" i="22" s="1"/>
  <c r="R296" i="22"/>
  <c r="Q296" i="22"/>
  <c r="V296" i="22" s="1"/>
  <c r="R303" i="22"/>
  <c r="Q303" i="22"/>
  <c r="V303" i="22" s="1"/>
  <c r="R262" i="20"/>
  <c r="Q262" i="20"/>
  <c r="V262" i="20" s="1"/>
  <c r="R293" i="4"/>
  <c r="W293" i="4" s="1"/>
  <c r="S228" i="22"/>
  <c r="T228" i="22" s="1"/>
  <c r="W228" i="22"/>
  <c r="X228" i="22" s="1"/>
  <c r="W138" i="22"/>
  <c r="X138" i="22" s="1"/>
  <c r="Y138" i="22" s="1"/>
  <c r="S138" i="22"/>
  <c r="T138" i="22" s="1"/>
  <c r="S331" i="20"/>
  <c r="T331" i="20" s="1"/>
  <c r="W331" i="20"/>
  <c r="X331" i="20" s="1"/>
  <c r="W334" i="22"/>
  <c r="X334" i="22" s="1"/>
  <c r="S334" i="22"/>
  <c r="T334" i="22" s="1"/>
  <c r="W176" i="22"/>
  <c r="X176" i="22" s="1"/>
  <c r="Y176" i="22" s="1"/>
  <c r="S176" i="22"/>
  <c r="T176" i="22" s="1"/>
  <c r="R295" i="22"/>
  <c r="Q295" i="22"/>
  <c r="V295" i="22" s="1"/>
  <c r="R320" i="4"/>
  <c r="W320" i="4" s="1"/>
  <c r="Q165" i="20"/>
  <c r="V165" i="20" s="1"/>
  <c r="R165" i="20"/>
  <c r="R117" i="4"/>
  <c r="S117" i="4" s="1"/>
  <c r="S153" i="22"/>
  <c r="T153" i="22" s="1"/>
  <c r="W153" i="22"/>
  <c r="X153" i="22" s="1"/>
  <c r="Y153" i="22" s="1"/>
  <c r="W110" i="22"/>
  <c r="X110" i="22" s="1"/>
  <c r="Y110" i="22" s="1"/>
  <c r="S110" i="22"/>
  <c r="T110" i="22" s="1"/>
  <c r="W336" i="20"/>
  <c r="X336" i="20" s="1"/>
  <c r="S336" i="20"/>
  <c r="T336" i="20" s="1"/>
  <c r="S134" i="22"/>
  <c r="T134" i="22" s="1"/>
  <c r="W134" i="22"/>
  <c r="X134" i="22" s="1"/>
  <c r="Y134" i="22" s="1"/>
  <c r="S301" i="22"/>
  <c r="T301" i="22" s="1"/>
  <c r="W301" i="22"/>
  <c r="X301" i="22" s="1"/>
  <c r="W222" i="20"/>
  <c r="X222" i="20" s="1"/>
  <c r="S222" i="20"/>
  <c r="T222" i="20" s="1"/>
  <c r="W229" i="20"/>
  <c r="X229" i="20" s="1"/>
  <c r="S229" i="20"/>
  <c r="T229" i="20" s="1"/>
  <c r="W232" i="20"/>
  <c r="X232" i="20" s="1"/>
  <c r="S232" i="20"/>
  <c r="T232" i="20" s="1"/>
  <c r="S177" i="20"/>
  <c r="T177" i="20" s="1"/>
  <c r="W177" i="20"/>
  <c r="X177" i="20" s="1"/>
  <c r="Y177" i="20" s="1"/>
  <c r="Q191" i="22"/>
  <c r="V191" i="22" s="1"/>
  <c r="R191" i="22"/>
  <c r="R98" i="4"/>
  <c r="W98" i="4" s="1"/>
  <c r="R94" i="22"/>
  <c r="Q94" i="22"/>
  <c r="V94" i="22" s="1"/>
  <c r="R33" i="22"/>
  <c r="Q33" i="22"/>
  <c r="V33" i="22" s="1"/>
  <c r="S119" i="20"/>
  <c r="T119" i="20" s="1"/>
  <c r="W119" i="20"/>
  <c r="X119" i="20" s="1"/>
  <c r="Y119" i="20" s="1"/>
  <c r="W328" i="22"/>
  <c r="X328" i="22" s="1"/>
  <c r="S328" i="22"/>
  <c r="T328" i="22" s="1"/>
  <c r="S313" i="22"/>
  <c r="T313" i="22" s="1"/>
  <c r="W313" i="22"/>
  <c r="X313" i="22" s="1"/>
  <c r="S222" i="22"/>
  <c r="T222" i="22" s="1"/>
  <c r="W222" i="22"/>
  <c r="X222" i="22" s="1"/>
  <c r="R345" i="20"/>
  <c r="Q345" i="20"/>
  <c r="V345" i="20" s="1"/>
  <c r="Q9" i="22"/>
  <c r="V9" i="22" s="1"/>
  <c r="R9" i="22"/>
  <c r="Q60" i="22"/>
  <c r="V60" i="22" s="1"/>
  <c r="R60" i="22"/>
  <c r="R95" i="22"/>
  <c r="W56" i="20"/>
  <c r="X56" i="20" s="1"/>
  <c r="Y56" i="20" s="1"/>
  <c r="S56" i="20"/>
  <c r="T56" i="20" s="1"/>
  <c r="R245" i="22"/>
  <c r="Q245" i="22"/>
  <c r="V245" i="22" s="1"/>
  <c r="Q71" i="20"/>
  <c r="V71" i="20" s="1"/>
  <c r="R71" i="20"/>
  <c r="Q21" i="4"/>
  <c r="V21" i="4" s="1"/>
  <c r="B51" i="11" s="1"/>
  <c r="R21" i="4"/>
  <c r="W21" i="4" s="1"/>
  <c r="W54" i="20"/>
  <c r="X54" i="20" s="1"/>
  <c r="Y54" i="20" s="1"/>
  <c r="S54" i="20"/>
  <c r="T54" i="20" s="1"/>
  <c r="W131" i="20"/>
  <c r="X131" i="20" s="1"/>
  <c r="Y131" i="20" s="1"/>
  <c r="S131" i="20"/>
  <c r="T131" i="20" s="1"/>
  <c r="S212" i="20"/>
  <c r="T212" i="20" s="1"/>
  <c r="W212" i="20"/>
  <c r="X212" i="20" s="1"/>
  <c r="Y212" i="20" s="1"/>
  <c r="W66" i="20"/>
  <c r="X66" i="20" s="1"/>
  <c r="Y66" i="20" s="1"/>
  <c r="S66" i="20"/>
  <c r="T66" i="20" s="1"/>
  <c r="S150" i="22"/>
  <c r="T150" i="22" s="1"/>
  <c r="W150" i="22"/>
  <c r="X150" i="22" s="1"/>
  <c r="Y150" i="22" s="1"/>
  <c r="Q244" i="22"/>
  <c r="V244" i="22" s="1"/>
  <c r="R244" i="22"/>
  <c r="R106" i="20"/>
  <c r="Q106" i="20"/>
  <c r="V106" i="20" s="1"/>
  <c r="R28" i="4"/>
  <c r="W28" i="4" s="1"/>
  <c r="R156" i="22"/>
  <c r="Q156" i="22"/>
  <c r="V156" i="22" s="1"/>
  <c r="Q163" i="22"/>
  <c r="V163" i="22" s="1"/>
  <c r="R163" i="22"/>
  <c r="W91" i="22"/>
  <c r="X91" i="22" s="1"/>
  <c r="Y91" i="22" s="1"/>
  <c r="S91" i="22"/>
  <c r="T91" i="22" s="1"/>
  <c r="S264" i="22"/>
  <c r="T264" i="22" s="1"/>
  <c r="W264" i="22"/>
  <c r="X264" i="22" s="1"/>
  <c r="R92" i="22"/>
  <c r="Q92" i="22"/>
  <c r="V92" i="22" s="1"/>
  <c r="R332" i="20"/>
  <c r="Q332" i="20"/>
  <c r="V332" i="20" s="1"/>
  <c r="R111" i="22"/>
  <c r="Q111" i="22"/>
  <c r="V111" i="22" s="1"/>
  <c r="Q48" i="20"/>
  <c r="V48" i="20" s="1"/>
  <c r="R48" i="20"/>
  <c r="S240" i="20"/>
  <c r="T240" i="20" s="1"/>
  <c r="W240" i="20"/>
  <c r="X240" i="20" s="1"/>
  <c r="S140" i="22"/>
  <c r="T140" i="22" s="1"/>
  <c r="W140" i="22"/>
  <c r="X140" i="22" s="1"/>
  <c r="Y140" i="22" s="1"/>
  <c r="S255" i="20"/>
  <c r="T255" i="20" s="1"/>
  <c r="W255" i="20"/>
  <c r="X255" i="20" s="1"/>
  <c r="Q94" i="20"/>
  <c r="V94" i="20" s="1"/>
  <c r="R94" i="20"/>
  <c r="U112" i="6"/>
  <c r="Z112" i="6" s="1"/>
  <c r="Q100" i="22"/>
  <c r="V100" i="22" s="1"/>
  <c r="R100" i="22"/>
  <c r="Q19" i="20"/>
  <c r="V19" i="20" s="1"/>
  <c r="R19" i="20"/>
  <c r="R361" i="20"/>
  <c r="Q361" i="20"/>
  <c r="V361" i="20" s="1"/>
  <c r="T10" i="6"/>
  <c r="Y10" i="6" s="1"/>
  <c r="B69" i="11" s="1"/>
  <c r="S69" i="11" s="1"/>
  <c r="U10" i="6"/>
  <c r="Z10" i="6" s="1"/>
  <c r="W83" i="22"/>
  <c r="X83" i="22" s="1"/>
  <c r="Y83" i="22" s="1"/>
  <c r="S83" i="22"/>
  <c r="T83" i="22" s="1"/>
  <c r="W309" i="22"/>
  <c r="X309" i="22" s="1"/>
  <c r="S309" i="22"/>
  <c r="T309" i="22" s="1"/>
  <c r="U142" i="6"/>
  <c r="Z142" i="6" s="1"/>
  <c r="R81" i="4"/>
  <c r="W81" i="4" s="1"/>
  <c r="R86" i="20"/>
  <c r="Q86" i="20"/>
  <c r="V86" i="20" s="1"/>
  <c r="R312" i="4"/>
  <c r="W312" i="4" s="1"/>
  <c r="Q261" i="22"/>
  <c r="V261" i="22" s="1"/>
  <c r="R261" i="22"/>
  <c r="R41" i="20"/>
  <c r="Q41" i="20"/>
  <c r="V41" i="20" s="1"/>
  <c r="U304" i="6"/>
  <c r="Z304" i="6" s="1"/>
  <c r="R32" i="20"/>
  <c r="Q32" i="20"/>
  <c r="V32" i="20" s="1"/>
  <c r="U60" i="6"/>
  <c r="R99" i="22"/>
  <c r="Q99" i="22"/>
  <c r="V99" i="22" s="1"/>
  <c r="R164" i="22"/>
  <c r="Q164" i="22"/>
  <c r="V164" i="22" s="1"/>
  <c r="S133" i="20"/>
  <c r="T133" i="20" s="1"/>
  <c r="W133" i="20"/>
  <c r="X133" i="20" s="1"/>
  <c r="Y133" i="20" s="1"/>
  <c r="W139" i="20"/>
  <c r="X139" i="20" s="1"/>
  <c r="Y139" i="20" s="1"/>
  <c r="S139" i="20"/>
  <c r="T139" i="20" s="1"/>
  <c r="S143" i="20"/>
  <c r="T143" i="20" s="1"/>
  <c r="W143" i="20"/>
  <c r="X143" i="20" s="1"/>
  <c r="Y143" i="20" s="1"/>
  <c r="S272" i="22"/>
  <c r="T272" i="22" s="1"/>
  <c r="W272" i="22"/>
  <c r="X272" i="22" s="1"/>
  <c r="W259" i="20"/>
  <c r="X259" i="20" s="1"/>
  <c r="S259" i="20"/>
  <c r="T259" i="20" s="1"/>
  <c r="W14" i="22"/>
  <c r="X14" i="22" s="1"/>
  <c r="Y14" i="22" s="1"/>
  <c r="S14" i="22"/>
  <c r="T14" i="22" s="1"/>
  <c r="R81" i="20"/>
  <c r="Q81" i="20"/>
  <c r="V81" i="20" s="1"/>
  <c r="R198" i="4"/>
  <c r="W198" i="4" s="1"/>
  <c r="R305" i="20"/>
  <c r="Q305" i="20"/>
  <c r="V305" i="20" s="1"/>
  <c r="U97" i="6"/>
  <c r="Z97" i="6" s="1"/>
  <c r="U34" i="6"/>
  <c r="W142" i="22"/>
  <c r="X142" i="22" s="1"/>
  <c r="Y142" i="22" s="1"/>
  <c r="S142" i="22"/>
  <c r="T142" i="22" s="1"/>
  <c r="S359" i="20"/>
  <c r="T359" i="20" s="1"/>
  <c r="W359" i="20"/>
  <c r="X359" i="20" s="1"/>
  <c r="S272" i="20"/>
  <c r="T272" i="20" s="1"/>
  <c r="W272" i="20"/>
  <c r="X272" i="20" s="1"/>
  <c r="W55" i="22"/>
  <c r="X55" i="22" s="1"/>
  <c r="Y55" i="22" s="1"/>
  <c r="S55" i="22"/>
  <c r="T55" i="22" s="1"/>
  <c r="S282" i="22"/>
  <c r="T282" i="22" s="1"/>
  <c r="W282" i="22"/>
  <c r="X282" i="22" s="1"/>
  <c r="R344" i="22"/>
  <c r="Q344" i="22"/>
  <c r="V344" i="22" s="1"/>
  <c r="Q11" i="20"/>
  <c r="V11" i="20" s="1"/>
  <c r="R11" i="20"/>
  <c r="R62" i="4"/>
  <c r="W62" i="4" s="1"/>
  <c r="W205" i="22"/>
  <c r="X205" i="22" s="1"/>
  <c r="Y205" i="22" s="1"/>
  <c r="S205" i="22"/>
  <c r="T205" i="22" s="1"/>
  <c r="W20" i="22"/>
  <c r="X20" i="22" s="1"/>
  <c r="Y20" i="22" s="1"/>
  <c r="S20" i="22"/>
  <c r="T20" i="22" s="1"/>
  <c r="S283" i="20"/>
  <c r="T283" i="20" s="1"/>
  <c r="W283" i="20"/>
  <c r="X283" i="20" s="1"/>
  <c r="S314" i="20"/>
  <c r="T314" i="20" s="1"/>
  <c r="W314" i="20"/>
  <c r="X314" i="20" s="1"/>
  <c r="S223" i="20"/>
  <c r="T223" i="20" s="1"/>
  <c r="W223" i="20"/>
  <c r="X223" i="20" s="1"/>
  <c r="R184" i="20"/>
  <c r="Q184" i="20"/>
  <c r="V184" i="20" s="1"/>
  <c r="R82" i="20"/>
  <c r="Q82" i="20"/>
  <c r="V82" i="20" s="1"/>
  <c r="R254" i="4"/>
  <c r="W254" i="4" s="1"/>
  <c r="Q70" i="22"/>
  <c r="V70" i="22" s="1"/>
  <c r="R70" i="22"/>
  <c r="Q12" i="20"/>
  <c r="V12" i="20" s="1"/>
  <c r="R12" i="20"/>
  <c r="S190" i="20"/>
  <c r="T190" i="20" s="1"/>
  <c r="W190" i="20"/>
  <c r="X190" i="20" s="1"/>
  <c r="Y190" i="20" s="1"/>
  <c r="R253" i="4"/>
  <c r="W253" i="4" s="1"/>
  <c r="R105" i="22"/>
  <c r="Q105" i="22"/>
  <c r="V105" i="22" s="1"/>
  <c r="Q62" i="20"/>
  <c r="V62" i="20" s="1"/>
  <c r="R62" i="20"/>
  <c r="R162" i="4"/>
  <c r="W162" i="4" s="1"/>
  <c r="R169" i="4"/>
  <c r="W169" i="4" s="1"/>
  <c r="S35" i="20"/>
  <c r="T35" i="20" s="1"/>
  <c r="W35" i="20"/>
  <c r="X35" i="20" s="1"/>
  <c r="Y35" i="20" s="1"/>
  <c r="S204" i="20"/>
  <c r="T204" i="20" s="1"/>
  <c r="W204" i="20"/>
  <c r="X204" i="20" s="1"/>
  <c r="Y204" i="20" s="1"/>
  <c r="W207" i="22"/>
  <c r="X207" i="22" s="1"/>
  <c r="Y207" i="22" s="1"/>
  <c r="S207" i="22"/>
  <c r="T207" i="22" s="1"/>
  <c r="Q225" i="20"/>
  <c r="V225" i="20" s="1"/>
  <c r="R225" i="20"/>
  <c r="U95" i="6"/>
  <c r="Z95" i="6" s="1"/>
  <c r="Q331" i="22"/>
  <c r="V331" i="22" s="1"/>
  <c r="R331" i="22"/>
  <c r="R115" i="4"/>
  <c r="W115" i="4" s="1"/>
  <c r="R47" i="22"/>
  <c r="Q47" i="22"/>
  <c r="V47" i="22" s="1"/>
  <c r="R54" i="22"/>
  <c r="Q93" i="22"/>
  <c r="V93" i="22" s="1"/>
  <c r="R93" i="22"/>
  <c r="Q5" i="20"/>
  <c r="V5" i="20" s="1"/>
  <c r="R5" i="20"/>
  <c r="U104" i="6"/>
  <c r="Z104" i="6" s="1"/>
  <c r="R19" i="22"/>
  <c r="Q19" i="22"/>
  <c r="V19" i="22" s="1"/>
  <c r="R360" i="22"/>
  <c r="Q360" i="22"/>
  <c r="V360" i="22" s="1"/>
  <c r="S6" i="20"/>
  <c r="T6" i="20" s="1"/>
  <c r="W6" i="20"/>
  <c r="X6" i="20" s="1"/>
  <c r="Y6" i="20" s="1"/>
  <c r="Q137" i="20"/>
  <c r="V137" i="20" s="1"/>
  <c r="R137" i="20"/>
  <c r="Q85" i="22"/>
  <c r="V85" i="22" s="1"/>
  <c r="R85" i="22"/>
  <c r="Q253" i="20"/>
  <c r="V253" i="20" s="1"/>
  <c r="R253" i="20"/>
  <c r="Q67" i="20"/>
  <c r="V67" i="20" s="1"/>
  <c r="R67" i="20"/>
  <c r="R270" i="4"/>
  <c r="W270" i="4" s="1"/>
  <c r="R40" i="22"/>
  <c r="Q40" i="22"/>
  <c r="V40" i="22" s="1"/>
  <c r="S256" i="22"/>
  <c r="T256" i="22" s="1"/>
  <c r="W256" i="22"/>
  <c r="X256" i="22" s="1"/>
  <c r="Q176" i="20"/>
  <c r="V176" i="20" s="1"/>
  <c r="R176" i="20"/>
  <c r="R31" i="22"/>
  <c r="Q31" i="22"/>
  <c r="V31" i="22" s="1"/>
  <c r="Q43" i="20"/>
  <c r="V43" i="20" s="1"/>
  <c r="R43" i="20"/>
  <c r="R103" i="4"/>
  <c r="S103" i="4" s="1"/>
  <c r="T103" i="4" s="1"/>
  <c r="R170" i="4"/>
  <c r="W170" i="4" s="1"/>
  <c r="S7" i="22"/>
  <c r="T7" i="22" s="1"/>
  <c r="W7" i="22"/>
  <c r="X7" i="22" s="1"/>
  <c r="Y7" i="22" s="1"/>
  <c r="S358" i="22"/>
  <c r="T358" i="22" s="1"/>
  <c r="W358" i="22"/>
  <c r="X358" i="22" s="1"/>
  <c r="S271" i="22"/>
  <c r="T271" i="22" s="1"/>
  <c r="W271" i="22"/>
  <c r="X271" i="22" s="1"/>
  <c r="S101" i="22"/>
  <c r="T101" i="22" s="1"/>
  <c r="W101" i="22"/>
  <c r="X101" i="22" s="1"/>
  <c r="Y101" i="22" s="1"/>
  <c r="S153" i="20"/>
  <c r="T153" i="20" s="1"/>
  <c r="W153" i="20"/>
  <c r="X153" i="20" s="1"/>
  <c r="Y153" i="20" s="1"/>
  <c r="S199" i="22"/>
  <c r="T199" i="22" s="1"/>
  <c r="W199" i="22"/>
  <c r="X199" i="22" s="1"/>
  <c r="Y199" i="22" s="1"/>
  <c r="S150" i="20"/>
  <c r="T150" i="20" s="1"/>
  <c r="W150" i="20"/>
  <c r="X150" i="20" s="1"/>
  <c r="Y150" i="20" s="1"/>
  <c r="S308" i="22"/>
  <c r="T308" i="22" s="1"/>
  <c r="W308" i="22"/>
  <c r="X308" i="22" s="1"/>
  <c r="S257" i="20"/>
  <c r="T257" i="20" s="1"/>
  <c r="W257" i="20"/>
  <c r="X257" i="20" s="1"/>
  <c r="S205" i="20"/>
  <c r="T205" i="20" s="1"/>
  <c r="W205" i="20"/>
  <c r="X205" i="20" s="1"/>
  <c r="Y205" i="20" s="1"/>
  <c r="R325" i="20"/>
  <c r="Q325" i="20"/>
  <c r="V325" i="20" s="1"/>
  <c r="R80" i="22"/>
  <c r="Q80" i="22"/>
  <c r="V80" i="22" s="1"/>
  <c r="Q304" i="22"/>
  <c r="V304" i="22" s="1"/>
  <c r="R304" i="22"/>
  <c r="R360" i="20"/>
  <c r="Q360" i="20"/>
  <c r="V360" i="20" s="1"/>
  <c r="Q42" i="20"/>
  <c r="V42" i="20" s="1"/>
  <c r="R42" i="20"/>
  <c r="S172" i="22"/>
  <c r="T172" i="22" s="1"/>
  <c r="W172" i="22"/>
  <c r="X172" i="22" s="1"/>
  <c r="Y172" i="22" s="1"/>
  <c r="S213" i="20"/>
  <c r="T213" i="20" s="1"/>
  <c r="W213" i="20"/>
  <c r="X213" i="20" s="1"/>
  <c r="Y213" i="20" s="1"/>
  <c r="S172" i="20"/>
  <c r="T172" i="20" s="1"/>
  <c r="W172" i="20"/>
  <c r="X172" i="20" s="1"/>
  <c r="Y172" i="20" s="1"/>
  <c r="R353" i="4"/>
  <c r="W353" i="4" s="1"/>
  <c r="R11" i="22"/>
  <c r="Q11" i="22"/>
  <c r="V11" i="22" s="1"/>
  <c r="Q60" i="20"/>
  <c r="V60" i="20" s="1"/>
  <c r="R60" i="20"/>
  <c r="R284" i="20"/>
  <c r="Q284" i="20"/>
  <c r="V284" i="20" s="1"/>
  <c r="S185" i="20"/>
  <c r="T185" i="20" s="1"/>
  <c r="W185" i="20"/>
  <c r="X185" i="20" s="1"/>
  <c r="Y185" i="20" s="1"/>
  <c r="S285" i="22"/>
  <c r="T285" i="22" s="1"/>
  <c r="W285" i="22"/>
  <c r="X285" i="22" s="1"/>
  <c r="W306" i="20"/>
  <c r="X306" i="20" s="1"/>
  <c r="S306" i="20"/>
  <c r="T306" i="20" s="1"/>
  <c r="W211" i="22"/>
  <c r="X211" i="22" s="1"/>
  <c r="Y211" i="22" s="1"/>
  <c r="S211" i="22"/>
  <c r="T211" i="22" s="1"/>
  <c r="R353" i="20"/>
  <c r="Q353" i="20"/>
  <c r="V353" i="20" s="1"/>
  <c r="Q183" i="22"/>
  <c r="V183" i="22" s="1"/>
  <c r="R183" i="22"/>
  <c r="Q81" i="22"/>
  <c r="V81" i="22" s="1"/>
  <c r="R81" i="22"/>
  <c r="Q87" i="20"/>
  <c r="V87" i="20" s="1"/>
  <c r="R87" i="20"/>
  <c r="R72" i="4"/>
  <c r="S72" i="4" s="1"/>
  <c r="R12" i="22"/>
  <c r="Q12" i="22"/>
  <c r="V12" i="22" s="1"/>
  <c r="S157" i="22"/>
  <c r="T157" i="22" s="1"/>
  <c r="W157" i="22"/>
  <c r="X157" i="22" s="1"/>
  <c r="Y157" i="22" s="1"/>
  <c r="S118" i="20"/>
  <c r="T118" i="20" s="1"/>
  <c r="W118" i="20"/>
  <c r="X118" i="20" s="1"/>
  <c r="Y118" i="20" s="1"/>
  <c r="S221" i="20"/>
  <c r="T221" i="20" s="1"/>
  <c r="W221" i="20"/>
  <c r="X221" i="20" s="1"/>
  <c r="W286" i="20"/>
  <c r="X286" i="20" s="1"/>
  <c r="S286" i="20"/>
  <c r="T286" i="20" s="1"/>
  <c r="S246" i="22"/>
  <c r="T246" i="22" s="1"/>
  <c r="W246" i="22"/>
  <c r="X246" i="22" s="1"/>
  <c r="S307" i="20"/>
  <c r="T307" i="20" s="1"/>
  <c r="W307" i="20"/>
  <c r="X307" i="20" s="1"/>
  <c r="S177" i="22"/>
  <c r="T177" i="22" s="1"/>
  <c r="W177" i="22"/>
  <c r="X177" i="22" s="1"/>
  <c r="Y177" i="22" s="1"/>
  <c r="Q127" i="20"/>
  <c r="V127" i="20" s="1"/>
  <c r="R127" i="20"/>
  <c r="R109" i="4"/>
  <c r="S109" i="4" s="1"/>
  <c r="T109" i="4" s="1"/>
  <c r="R61" i="22"/>
  <c r="Q61" i="22"/>
  <c r="V61" i="22" s="1"/>
  <c r="S247" i="20"/>
  <c r="T247" i="20" s="1"/>
  <c r="W247" i="20"/>
  <c r="X247" i="20" s="1"/>
  <c r="S162" i="22"/>
  <c r="T162" i="22" s="1"/>
  <c r="W162" i="22"/>
  <c r="X162" i="22" s="1"/>
  <c r="Y162" i="22" s="1"/>
  <c r="Q224" i="22"/>
  <c r="V224" i="22" s="1"/>
  <c r="R224" i="22"/>
  <c r="Q77" i="20"/>
  <c r="V77" i="20" s="1"/>
  <c r="R77" i="20"/>
  <c r="U340" i="6"/>
  <c r="Z340" i="6" s="1"/>
  <c r="Q113" i="20"/>
  <c r="V113" i="20" s="1"/>
  <c r="R113" i="20"/>
  <c r="Q48" i="4"/>
  <c r="V48" i="4" s="1"/>
  <c r="H53" i="11" s="1"/>
  <c r="R48" i="4"/>
  <c r="W48" i="4" s="1"/>
  <c r="W208" i="22"/>
  <c r="X208" i="22" s="1"/>
  <c r="Y208" i="22" s="1"/>
  <c r="S208" i="22"/>
  <c r="T208" i="22" s="1"/>
  <c r="S142" i="20"/>
  <c r="T142" i="20" s="1"/>
  <c r="W142" i="20"/>
  <c r="X142" i="20" s="1"/>
  <c r="Y142" i="20" s="1"/>
  <c r="S109" i="22"/>
  <c r="T109" i="22" s="1"/>
  <c r="W109" i="22"/>
  <c r="X109" i="22" s="1"/>
  <c r="Y109" i="22" s="1"/>
  <c r="R96" i="4"/>
  <c r="S96" i="4" s="1"/>
  <c r="Q5" i="22"/>
  <c r="V5" i="22" s="1"/>
  <c r="R5" i="22"/>
  <c r="Q58" i="20"/>
  <c r="V58" i="20" s="1"/>
  <c r="R58" i="20"/>
  <c r="U19" i="6"/>
  <c r="Z19" i="6" s="1"/>
  <c r="R369" i="4"/>
  <c r="W369" i="4" s="1"/>
  <c r="R136" i="22"/>
  <c r="Q136" i="22"/>
  <c r="V136" i="22" s="1"/>
  <c r="R88" i="4"/>
  <c r="W88" i="4" s="1"/>
  <c r="R252" i="22"/>
  <c r="Q252" i="22"/>
  <c r="V252" i="22" s="1"/>
  <c r="Q69" i="20"/>
  <c r="V69" i="20" s="1"/>
  <c r="R69" i="20"/>
  <c r="R41" i="4"/>
  <c r="S41" i="4" s="1"/>
  <c r="U32" i="6"/>
  <c r="R42" i="22"/>
  <c r="Q42" i="22"/>
  <c r="V42" i="22" s="1"/>
  <c r="Q117" i="20"/>
  <c r="V117" i="20" s="1"/>
  <c r="R117" i="20"/>
  <c r="S212" i="22"/>
  <c r="T212" i="22" s="1"/>
  <c r="W212" i="22"/>
  <c r="X212" i="22" s="1"/>
  <c r="Y212" i="22" s="1"/>
  <c r="S297" i="22"/>
  <c r="T297" i="22" s="1"/>
  <c r="W297" i="22"/>
  <c r="X297" i="22" s="1"/>
  <c r="S76" i="20"/>
  <c r="T76" i="20" s="1"/>
  <c r="W76" i="20"/>
  <c r="X76" i="20" s="1"/>
  <c r="Y76" i="20" s="1"/>
  <c r="W249" i="22"/>
  <c r="X249" i="22" s="1"/>
  <c r="S249" i="22"/>
  <c r="T249" i="22" s="1"/>
  <c r="W92" i="20"/>
  <c r="X92" i="20" s="1"/>
  <c r="Y92" i="20" s="1"/>
  <c r="S92" i="20"/>
  <c r="T92" i="20" s="1"/>
  <c r="R324" i="22"/>
  <c r="Q324" i="22"/>
  <c r="V324" i="22" s="1"/>
  <c r="R83" i="4"/>
  <c r="W83" i="4" s="1"/>
  <c r="Q90" i="20"/>
  <c r="V90" i="20" s="1"/>
  <c r="R90" i="20"/>
  <c r="R313" i="4"/>
  <c r="W313" i="4" s="1"/>
  <c r="Q359" i="22"/>
  <c r="V359" i="22" s="1"/>
  <c r="R359" i="22"/>
  <c r="R41" i="22"/>
  <c r="Q41" i="22"/>
  <c r="V41" i="22" s="1"/>
  <c r="W65" i="20"/>
  <c r="X65" i="20" s="1"/>
  <c r="Y65" i="20" s="1"/>
  <c r="S65" i="20"/>
  <c r="T65" i="20" s="1"/>
  <c r="S298" i="20"/>
  <c r="T298" i="20" s="1"/>
  <c r="W298" i="20"/>
  <c r="X298" i="20" s="1"/>
  <c r="S102" i="20"/>
  <c r="T102" i="20" s="1"/>
  <c r="W102" i="20"/>
  <c r="X102" i="20" s="1"/>
  <c r="Y102" i="20" s="1"/>
  <c r="S287" i="20"/>
  <c r="T287" i="20" s="1"/>
  <c r="W287" i="20"/>
  <c r="X287" i="20" s="1"/>
  <c r="W305" i="22"/>
  <c r="X305" i="22" s="1"/>
  <c r="S305" i="22"/>
  <c r="T305" i="22" s="1"/>
  <c r="Q11" i="4"/>
  <c r="V11" i="4" s="1"/>
  <c r="B41" i="11" s="1"/>
  <c r="S41" i="11" s="1"/>
  <c r="R11" i="4"/>
  <c r="W11" i="4" s="1"/>
  <c r="R59" i="22"/>
  <c r="Q59" i="22"/>
  <c r="V59" i="22" s="1"/>
  <c r="R283" i="22"/>
  <c r="Q283" i="22"/>
  <c r="V283" i="22" s="1"/>
  <c r="S184" i="22"/>
  <c r="T184" i="22" s="1"/>
  <c r="W184" i="22"/>
  <c r="X184" i="22" s="1"/>
  <c r="Y184" i="22" s="1"/>
  <c r="S130" i="22"/>
  <c r="T130" i="22" s="1"/>
  <c r="W130" i="22"/>
  <c r="X130" i="22" s="1"/>
  <c r="Y130" i="22" s="1"/>
  <c r="S198" i="20"/>
  <c r="T198" i="20" s="1"/>
  <c r="W198" i="20"/>
  <c r="X198" i="20" s="1"/>
  <c r="Y198" i="20" s="1"/>
  <c r="S52" i="20"/>
  <c r="T52" i="20" s="1"/>
  <c r="W52" i="20"/>
  <c r="X52" i="20" s="1"/>
  <c r="Y52" i="20" s="1"/>
  <c r="S65" i="22"/>
  <c r="T65" i="22" s="1"/>
  <c r="W65" i="22"/>
  <c r="X65" i="22" s="1"/>
  <c r="Y65" i="22" s="1"/>
  <c r="S306" i="22"/>
  <c r="T306" i="22" s="1"/>
  <c r="W306" i="22"/>
  <c r="X306" i="22" s="1"/>
  <c r="R352" i="22"/>
  <c r="Q352" i="22"/>
  <c r="V352" i="22" s="1"/>
  <c r="R190" i="4"/>
  <c r="W190" i="4" s="1"/>
  <c r="U84" i="6"/>
  <c r="Z84" i="6" s="1"/>
  <c r="R86" i="22"/>
  <c r="Q86" i="22"/>
  <c r="V86" i="22" s="1"/>
  <c r="Q8" i="20"/>
  <c r="V8" i="20" s="1"/>
  <c r="R8" i="20"/>
  <c r="Q12" i="4"/>
  <c r="V12" i="4" s="1"/>
  <c r="B42" i="11" s="1"/>
  <c r="R12" i="4"/>
  <c r="S12" i="4" s="1"/>
  <c r="T12" i="4" s="1"/>
  <c r="W282" i="20"/>
  <c r="X282" i="20" s="1"/>
  <c r="S282" i="20"/>
  <c r="T282" i="20" s="1"/>
  <c r="S230" i="22"/>
  <c r="T230" i="22" s="1"/>
  <c r="W230" i="22"/>
  <c r="X230" i="22" s="1"/>
  <c r="R126" i="22"/>
  <c r="Q126" i="22"/>
  <c r="V126" i="22" s="1"/>
  <c r="Q40" i="20"/>
  <c r="V40" i="20" s="1"/>
  <c r="R40" i="20"/>
  <c r="R63" i="4"/>
  <c r="W63" i="4" s="1"/>
  <c r="S364" i="22"/>
  <c r="T364" i="22" s="1"/>
  <c r="W364" i="22"/>
  <c r="X364" i="22" s="1"/>
  <c r="W88" i="22"/>
  <c r="X88" i="22" s="1"/>
  <c r="Y88" i="22" s="1"/>
  <c r="S88" i="22"/>
  <c r="T88" i="22" s="1"/>
  <c r="S44" i="22"/>
  <c r="T44" i="22" s="1"/>
  <c r="W44" i="22"/>
  <c r="X44" i="22" s="1"/>
  <c r="Y44" i="22" s="1"/>
  <c r="Q80" i="20"/>
  <c r="V80" i="20" s="1"/>
  <c r="R80" i="20"/>
  <c r="R76" i="22"/>
  <c r="Q76" i="22"/>
  <c r="V76" i="22" s="1"/>
  <c r="Q211" i="20"/>
  <c r="V211" i="20" s="1"/>
  <c r="R211" i="20"/>
  <c r="Q112" i="22"/>
  <c r="V112" i="22" s="1"/>
  <c r="R112" i="22"/>
  <c r="R39" i="20"/>
  <c r="Q39" i="20"/>
  <c r="V39" i="20" s="1"/>
  <c r="S299" i="22"/>
  <c r="T299" i="22" s="1"/>
  <c r="W299" i="22"/>
  <c r="X299" i="22" s="1"/>
  <c r="Q226" i="20"/>
  <c r="V226" i="20" s="1"/>
  <c r="R226" i="20"/>
  <c r="T5" i="6"/>
  <c r="Y5" i="6" s="1"/>
  <c r="B64" i="11" s="1"/>
  <c r="U5" i="6"/>
  <c r="V5" i="6" s="1"/>
  <c r="W5" i="6" s="1"/>
  <c r="R57" i="22"/>
  <c r="Q57" i="22"/>
  <c r="V57" i="22" s="1"/>
  <c r="R115" i="20"/>
  <c r="Q115" i="20"/>
  <c r="V115" i="20" s="1"/>
  <c r="W186" i="22"/>
  <c r="X186" i="22" s="1"/>
  <c r="Y186" i="22" s="1"/>
  <c r="S186" i="22"/>
  <c r="T186" i="22" s="1"/>
  <c r="R276" i="20"/>
  <c r="Q276" i="20"/>
  <c r="V276" i="20" s="1"/>
  <c r="R324" i="20"/>
  <c r="Q324" i="20"/>
  <c r="V324" i="20" s="1"/>
  <c r="U141" i="6"/>
  <c r="V141" i="6" s="1"/>
  <c r="W141" i="6" s="1"/>
  <c r="Q254" i="20"/>
  <c r="V254" i="20" s="1"/>
  <c r="R254" i="20"/>
  <c r="U261" i="6"/>
  <c r="Z261" i="6" s="1"/>
  <c r="R68" i="4"/>
  <c r="W68" i="4" s="1"/>
  <c r="W75" i="22"/>
  <c r="X75" i="22" s="1"/>
  <c r="Y75" i="22" s="1"/>
  <c r="S75" i="22"/>
  <c r="T75" i="22" s="1"/>
  <c r="S337" i="20"/>
  <c r="T337" i="20" s="1"/>
  <c r="W337" i="20"/>
  <c r="X337" i="20" s="1"/>
  <c r="S215" i="20"/>
  <c r="T215" i="20" s="1"/>
  <c r="W215" i="20"/>
  <c r="X215" i="20" s="1"/>
  <c r="Y215" i="20" s="1"/>
  <c r="S120" i="20"/>
  <c r="T120" i="20" s="1"/>
  <c r="W120" i="20"/>
  <c r="X120" i="20" s="1"/>
  <c r="Y120" i="20" s="1"/>
  <c r="S346" i="22"/>
  <c r="T346" i="22" s="1"/>
  <c r="W346" i="22"/>
  <c r="X346" i="22" s="1"/>
  <c r="S334" i="20"/>
  <c r="T334" i="20" s="1"/>
  <c r="W334" i="20"/>
  <c r="X334" i="20" s="1"/>
  <c r="R277" i="20"/>
  <c r="Q277" i="20"/>
  <c r="V277" i="20" s="1"/>
  <c r="R182" i="4"/>
  <c r="S182" i="4" s="1"/>
  <c r="T182" i="4" s="1"/>
  <c r="R148" i="20"/>
  <c r="Q148" i="20"/>
  <c r="V148" i="20" s="1"/>
  <c r="R43" i="4"/>
  <c r="S43" i="4" s="1"/>
  <c r="Q116" i="22"/>
  <c r="V116" i="22" s="1"/>
  <c r="R116" i="22"/>
  <c r="S64" i="22"/>
  <c r="T64" i="22" s="1"/>
  <c r="W64" i="22"/>
  <c r="X64" i="22" s="1"/>
  <c r="Y64" i="22" s="1"/>
  <c r="W90" i="22"/>
  <c r="X90" i="22" s="1"/>
  <c r="Y90" i="22" s="1"/>
  <c r="S90" i="22"/>
  <c r="T90" i="22" s="1"/>
  <c r="S200" i="22"/>
  <c r="T200" i="22" s="1"/>
  <c r="W200" i="22"/>
  <c r="X200" i="22" s="1"/>
  <c r="Y200" i="22" s="1"/>
  <c r="U333" i="6"/>
  <c r="Z333" i="6" s="1"/>
  <c r="R78" i="20"/>
  <c r="Q78" i="20"/>
  <c r="V78" i="20" s="1"/>
  <c r="Q89" i="22"/>
  <c r="V89" i="22" s="1"/>
  <c r="R89" i="22"/>
  <c r="R202" i="20"/>
  <c r="Q202" i="20"/>
  <c r="V202" i="20" s="1"/>
  <c r="U368" i="6"/>
  <c r="V368" i="6" s="1"/>
  <c r="W368" i="6" s="1"/>
  <c r="R42" i="4"/>
  <c r="S42" i="4" s="1"/>
  <c r="S91" i="20"/>
  <c r="T91" i="20" s="1"/>
  <c r="W91" i="20"/>
  <c r="X91" i="20" s="1"/>
  <c r="Y91" i="20" s="1"/>
  <c r="S273" i="20"/>
  <c r="T273" i="20" s="1"/>
  <c r="W273" i="20"/>
  <c r="X273" i="20" s="1"/>
  <c r="S134" i="20"/>
  <c r="T134" i="20" s="1"/>
  <c r="W134" i="20"/>
  <c r="X134" i="20" s="1"/>
  <c r="Y134" i="20" s="1"/>
  <c r="R234" i="20"/>
  <c r="Q234" i="20"/>
  <c r="V234" i="20" s="1"/>
  <c r="R313" i="20"/>
  <c r="Q313" i="20"/>
  <c r="V313" i="20" s="1"/>
  <c r="R107" i="20"/>
  <c r="Q107" i="20"/>
  <c r="V107" i="20" s="1"/>
  <c r="S53" i="22"/>
  <c r="T53" i="22" s="1"/>
  <c r="W53" i="22"/>
  <c r="X53" i="22" s="1"/>
  <c r="Y53" i="22" s="1"/>
  <c r="S281" i="20"/>
  <c r="T281" i="20" s="1"/>
  <c r="W281" i="20"/>
  <c r="X281" i="20" s="1"/>
  <c r="U361" i="6"/>
  <c r="Z361" i="6" s="1"/>
  <c r="R88" i="20"/>
  <c r="Q88" i="20"/>
  <c r="V88" i="20" s="1"/>
  <c r="Q129" i="20"/>
  <c r="V129" i="20" s="1"/>
  <c r="R129" i="20"/>
  <c r="R89" i="4"/>
  <c r="W89" i="4" s="1"/>
  <c r="R8" i="22"/>
  <c r="Q8" i="22"/>
  <c r="V8" i="22" s="1"/>
  <c r="R333" i="20"/>
  <c r="Q333" i="20"/>
  <c r="V333" i="20" s="1"/>
  <c r="S34" i="22"/>
  <c r="T34" i="22" s="1"/>
  <c r="W34" i="22"/>
  <c r="X34" i="22" s="1"/>
  <c r="Y34" i="22" s="1"/>
  <c r="S203" i="22"/>
  <c r="T203" i="22" s="1"/>
  <c r="W203" i="22"/>
  <c r="X203" i="22" s="1"/>
  <c r="Y203" i="22" s="1"/>
  <c r="R210" i="20"/>
  <c r="Q210" i="20"/>
  <c r="V210" i="20" s="1"/>
  <c r="R39" i="22"/>
  <c r="Q39" i="22"/>
  <c r="V39" i="22" s="1"/>
  <c r="R233" i="20"/>
  <c r="Q233" i="20"/>
  <c r="V233" i="20" s="1"/>
  <c r="Q116" i="20"/>
  <c r="V116" i="20" s="1"/>
  <c r="R116" i="20"/>
  <c r="S102" i="22"/>
  <c r="T102" i="22" s="1"/>
  <c r="W102" i="22"/>
  <c r="X102" i="22" s="1"/>
  <c r="Y102" i="22" s="1"/>
  <c r="S46" i="20"/>
  <c r="T46" i="20" s="1"/>
  <c r="W46" i="20"/>
  <c r="X46" i="20" s="1"/>
  <c r="Y46" i="20" s="1"/>
  <c r="S254" i="22"/>
  <c r="T254" i="22" s="1"/>
  <c r="W254" i="22"/>
  <c r="X254" i="22" s="1"/>
  <c r="R352" i="20"/>
  <c r="Q352" i="20"/>
  <c r="V352" i="20" s="1"/>
  <c r="R79" i="4"/>
  <c r="W79" i="4" s="1"/>
  <c r="Q36" i="20"/>
  <c r="V36" i="20" s="1"/>
  <c r="R36" i="20"/>
  <c r="R116" i="4"/>
  <c r="W116" i="4" s="1"/>
  <c r="R38" i="22"/>
  <c r="Q38" i="22"/>
  <c r="V38" i="22" s="1"/>
  <c r="S45" i="20"/>
  <c r="T45" i="20" s="1"/>
  <c r="W45" i="20"/>
  <c r="X45" i="20" s="1"/>
  <c r="Y45" i="20" s="1"/>
  <c r="S265" i="20"/>
  <c r="T265" i="20" s="1"/>
  <c r="W265" i="20"/>
  <c r="X265" i="20" s="1"/>
  <c r="Q225" i="22"/>
  <c r="V225" i="22" s="1"/>
  <c r="R225" i="22"/>
  <c r="Q261" i="20"/>
  <c r="V261" i="20" s="1"/>
  <c r="R261" i="20"/>
  <c r="R59" i="4"/>
  <c r="W59" i="4" s="1"/>
  <c r="S189" i="22"/>
  <c r="T189" i="22" s="1"/>
  <c r="W189" i="22"/>
  <c r="X189" i="22" s="1"/>
  <c r="Y189" i="22" s="1"/>
  <c r="W300" i="20"/>
  <c r="X300" i="20" s="1"/>
  <c r="S300" i="20"/>
  <c r="T300" i="20" s="1"/>
  <c r="S330" i="22"/>
  <c r="T330" i="22" s="1"/>
  <c r="W330" i="22"/>
  <c r="X330" i="22" s="1"/>
  <c r="Q275" i="22"/>
  <c r="V275" i="22" s="1"/>
  <c r="R275" i="22"/>
  <c r="Q323" i="22"/>
  <c r="V323" i="22" s="1"/>
  <c r="R323" i="22"/>
  <c r="Q253" i="22"/>
  <c r="V253" i="22" s="1"/>
  <c r="R253" i="22"/>
  <c r="R68" i="20"/>
  <c r="Q68" i="20"/>
  <c r="V68" i="20" s="1"/>
  <c r="R70" i="4"/>
  <c r="W70" i="4" s="1"/>
  <c r="J52" i="18"/>
  <c r="J43" i="18"/>
  <c r="J46" i="18"/>
  <c r="J44" i="18"/>
  <c r="J38" i="18"/>
  <c r="X16" i="4"/>
  <c r="C46" i="11"/>
  <c r="T46" i="11" s="1"/>
  <c r="AA330" i="6"/>
  <c r="K62" i="19"/>
  <c r="X130" i="4"/>
  <c r="E34" i="18"/>
  <c r="T34" i="18" s="1"/>
  <c r="X310" i="4"/>
  <c r="I39" i="19"/>
  <c r="AA211" i="6"/>
  <c r="I69" i="18"/>
  <c r="X69" i="18" s="1"/>
  <c r="Z166" i="6"/>
  <c r="W323" i="4"/>
  <c r="S323" i="4"/>
  <c r="V78" i="6"/>
  <c r="W78" i="6" s="1"/>
  <c r="V3" i="6"/>
  <c r="W3" i="6" s="1"/>
  <c r="Z121" i="6"/>
  <c r="V20" i="6"/>
  <c r="W20" i="6" s="1"/>
  <c r="Z123" i="6"/>
  <c r="Z107" i="6"/>
  <c r="Z106" i="6"/>
  <c r="V23" i="6"/>
  <c r="W23" i="6" s="1"/>
  <c r="Z113" i="6"/>
  <c r="Z111" i="6"/>
  <c r="Z114" i="6"/>
  <c r="Z22" i="6"/>
  <c r="Z122" i="6"/>
  <c r="Z6" i="6"/>
  <c r="Z7" i="6"/>
  <c r="Z14" i="6"/>
  <c r="Z15" i="6"/>
  <c r="Z4" i="6"/>
  <c r="S281" i="4"/>
  <c r="T281" i="4" s="1"/>
  <c r="V43" i="4"/>
  <c r="H48" i="11" s="1"/>
  <c r="Y48" i="11" s="1"/>
  <c r="V39" i="4"/>
  <c r="H44" i="11" s="1"/>
  <c r="V68" i="4"/>
  <c r="J48" i="11" s="1"/>
  <c r="AA48" i="11" s="1"/>
  <c r="V70" i="4"/>
  <c r="J50" i="11" s="1"/>
  <c r="V59" i="4"/>
  <c r="J39" i="11" s="1"/>
  <c r="AA39" i="11" s="1"/>
  <c r="V41" i="4"/>
  <c r="H46" i="11" s="1"/>
  <c r="S343" i="4"/>
  <c r="T343" i="4" s="1"/>
  <c r="W216" i="4"/>
  <c r="S335" i="4"/>
  <c r="T335" i="4" s="1"/>
  <c r="S159" i="4"/>
  <c r="T159" i="4" s="1"/>
  <c r="W357" i="4"/>
  <c r="S47" i="4"/>
  <c r="T47" i="4" s="1"/>
  <c r="W228" i="4"/>
  <c r="W347" i="4"/>
  <c r="S295" i="4"/>
  <c r="T295" i="4" s="1"/>
  <c r="W366" i="4"/>
  <c r="W188" i="4"/>
  <c r="W329" i="4"/>
  <c r="W372" i="4"/>
  <c r="S85" i="4"/>
  <c r="T85" i="4" s="1"/>
  <c r="W46" i="4"/>
  <c r="S111" i="4"/>
  <c r="T111" i="4" s="1"/>
  <c r="W294" i="4"/>
  <c r="W258" i="4"/>
  <c r="S172" i="4"/>
  <c r="T172" i="4" s="1"/>
  <c r="W155" i="4"/>
  <c r="W303" i="4"/>
  <c r="S307" i="4"/>
  <c r="T307" i="4" s="1"/>
  <c r="W87" i="4"/>
  <c r="W167" i="4"/>
  <c r="W272" i="4"/>
  <c r="W165" i="4"/>
  <c r="W255" i="4"/>
  <c r="W204" i="4"/>
  <c r="S346" i="4"/>
  <c r="T346" i="4" s="1"/>
  <c r="S298" i="4"/>
  <c r="T298" i="4" s="1"/>
  <c r="S364" i="4"/>
  <c r="T364" i="4" s="1"/>
  <c r="S164" i="4"/>
  <c r="T164" i="4" s="1"/>
  <c r="W359" i="4"/>
  <c r="W259" i="4"/>
  <c r="S248" i="4"/>
  <c r="T248" i="4" s="1"/>
  <c r="W91" i="4"/>
  <c r="W260" i="4"/>
  <c r="W178" i="4"/>
  <c r="W132" i="4"/>
  <c r="W287" i="4"/>
  <c r="S139" i="4"/>
  <c r="T139" i="4" s="1"/>
  <c r="S121" i="4"/>
  <c r="T121" i="4" s="1"/>
  <c r="W290" i="4"/>
  <c r="W240" i="4"/>
  <c r="S211" i="4"/>
  <c r="T211" i="4" s="1"/>
  <c r="W137" i="4"/>
  <c r="S245" i="4"/>
  <c r="T245" i="4" s="1"/>
  <c r="S322" i="4"/>
  <c r="T322" i="4" s="1"/>
  <c r="S328" i="4"/>
  <c r="T328" i="4" s="1"/>
  <c r="S339" i="4"/>
  <c r="T339" i="4" s="1"/>
  <c r="S291" i="4"/>
  <c r="T291" i="4" s="1"/>
  <c r="W273" i="4"/>
  <c r="S208" i="4"/>
  <c r="T208" i="4" s="1"/>
  <c r="W213" i="4"/>
  <c r="W113" i="4"/>
  <c r="W54" i="4"/>
  <c r="W232" i="4"/>
  <c r="W246" i="4"/>
  <c r="W163" i="4"/>
  <c r="W129" i="4"/>
  <c r="S73" i="4"/>
  <c r="T73" i="4" s="1"/>
  <c r="W171" i="4"/>
  <c r="W191" i="4"/>
  <c r="W147" i="4"/>
  <c r="W367" i="4"/>
  <c r="W123" i="4"/>
  <c r="W194" i="4"/>
  <c r="W186" i="4"/>
  <c r="W135" i="4"/>
  <c r="W330" i="4"/>
  <c r="W354" i="4"/>
  <c r="S45" i="4"/>
  <c r="T45" i="4" s="1"/>
  <c r="W195" i="4"/>
  <c r="W256" i="4"/>
  <c r="W266" i="4"/>
  <c r="S128" i="4"/>
  <c r="T128" i="4" s="1"/>
  <c r="W336" i="4"/>
  <c r="S365" i="4"/>
  <c r="T365" i="4" s="1"/>
  <c r="W219" i="4"/>
  <c r="S192" i="4"/>
  <c r="T192" i="4" s="1"/>
  <c r="S278" i="4"/>
  <c r="T278" i="4" s="1"/>
  <c r="W358" i="4"/>
  <c r="W203" i="4"/>
  <c r="W114" i="4"/>
  <c r="S179" i="4"/>
  <c r="T179" i="4" s="1"/>
  <c r="W306" i="4"/>
  <c r="W140" i="4"/>
  <c r="W283" i="4"/>
  <c r="W223" i="4"/>
  <c r="S66" i="4"/>
  <c r="T66" i="4" s="1"/>
  <c r="S196" i="4"/>
  <c r="T196" i="4" s="1"/>
  <c r="W271" i="4"/>
  <c r="W207" i="4"/>
  <c r="S205" i="4"/>
  <c r="T205" i="4" s="1"/>
  <c r="W314" i="4"/>
  <c r="S136" i="4"/>
  <c r="T136" i="4" s="1"/>
  <c r="W86" i="4"/>
  <c r="W143" i="4"/>
  <c r="S93" i="4"/>
  <c r="T93" i="4" s="1"/>
  <c r="W268" i="4"/>
  <c r="W230" i="4"/>
  <c r="W180" i="4"/>
  <c r="W235" i="4"/>
  <c r="W94" i="4"/>
  <c r="W297" i="4"/>
  <c r="W337" i="4"/>
  <c r="W106" i="4"/>
  <c r="W296" i="4"/>
  <c r="S282" i="4"/>
  <c r="T282" i="4" s="1"/>
  <c r="W144" i="4"/>
  <c r="W263" i="4"/>
  <c r="S331" i="4"/>
  <c r="T331" i="4" s="1"/>
  <c r="W269" i="4"/>
  <c r="W95" i="4"/>
  <c r="W231" i="4"/>
  <c r="W236" i="4"/>
  <c r="W373" i="4"/>
  <c r="S67" i="4"/>
  <c r="T67" i="4" s="1"/>
  <c r="S221" i="4"/>
  <c r="T221" i="4" s="1"/>
  <c r="W214" i="4"/>
  <c r="W264" i="4"/>
  <c r="W168" i="4"/>
  <c r="W292" i="4"/>
  <c r="W105" i="4"/>
  <c r="W160" i="4"/>
  <c r="W317" i="4"/>
  <c r="S356" i="4"/>
  <c r="T356" i="4" s="1"/>
  <c r="W184" i="4"/>
  <c r="W238" i="4"/>
  <c r="W222" i="4"/>
  <c r="W183" i="4"/>
  <c r="S148" i="4"/>
  <c r="T148" i="4" s="1"/>
  <c r="W157" i="4"/>
  <c r="W90" i="4"/>
  <c r="W173" i="4"/>
  <c r="S145" i="4"/>
  <c r="T145" i="4" s="1"/>
  <c r="W362" i="4"/>
  <c r="W338" i="4"/>
  <c r="S229" i="4"/>
  <c r="T229" i="4" s="1"/>
  <c r="W193" i="4"/>
  <c r="W315" i="4"/>
  <c r="W146" i="4"/>
  <c r="W316" i="4"/>
  <c r="S237" i="4"/>
  <c r="T237" i="4" s="1"/>
  <c r="W122" i="4"/>
  <c r="S212" i="4"/>
  <c r="T212" i="4" s="1"/>
  <c r="S345" i="4"/>
  <c r="T345" i="4" s="1"/>
  <c r="V33" i="4"/>
  <c r="H38" i="11" s="1"/>
  <c r="Y38" i="11" s="1"/>
  <c r="W30" i="4"/>
  <c r="S29" i="4"/>
  <c r="T29" i="4" s="1"/>
  <c r="S35" i="4"/>
  <c r="T35" i="4" s="1"/>
  <c r="S37" i="4"/>
  <c r="T37" i="4" s="1"/>
  <c r="W38" i="4"/>
  <c r="W31" i="4"/>
  <c r="W55" i="4"/>
  <c r="S61" i="4"/>
  <c r="S57" i="4"/>
  <c r="T57" i="4" s="1"/>
  <c r="S58" i="4"/>
  <c r="T58" i="4" s="1"/>
  <c r="W53" i="4"/>
  <c r="W19" i="4"/>
  <c r="S19" i="4"/>
  <c r="T19" i="4" s="1"/>
  <c r="W210" i="4"/>
  <c r="S210" i="4"/>
  <c r="T210" i="4" s="1"/>
  <c r="S292" i="4"/>
  <c r="T292" i="4" s="1"/>
  <c r="Z360" i="6"/>
  <c r="V360" i="6"/>
  <c r="W360" i="6" s="1"/>
  <c r="Z312" i="6"/>
  <c r="V312" i="6"/>
  <c r="W312" i="6" s="1"/>
  <c r="Z313" i="6"/>
  <c r="V313" i="6"/>
  <c r="W313" i="6" s="1"/>
  <c r="Z253" i="6"/>
  <c r="V253" i="6"/>
  <c r="W253" i="6" s="1"/>
  <c r="Z242" i="6"/>
  <c r="V242" i="6"/>
  <c r="W242" i="6" s="1"/>
  <c r="Z233" i="6"/>
  <c r="V233" i="6"/>
  <c r="W233" i="6" s="1"/>
  <c r="Z57" i="6"/>
  <c r="V57" i="6"/>
  <c r="W57" i="6" s="1"/>
  <c r="Z189" i="6"/>
  <c r="V189" i="6"/>
  <c r="W189" i="6" s="1"/>
  <c r="Z80" i="6"/>
  <c r="V80" i="6"/>
  <c r="W80" i="6" s="1"/>
  <c r="Z67" i="6"/>
  <c r="V67" i="6"/>
  <c r="W67" i="6" s="1"/>
  <c r="Z13" i="6"/>
  <c r="V13" i="6"/>
  <c r="W13" i="6" s="1"/>
  <c r="Z47" i="6"/>
  <c r="V47" i="6"/>
  <c r="W47" i="6" s="1"/>
  <c r="Z88" i="6"/>
  <c r="V88" i="6"/>
  <c r="W88" i="6" s="1"/>
  <c r="Z58" i="6"/>
  <c r="V58" i="6"/>
  <c r="W58" i="6" s="1"/>
  <c r="Z73" i="6"/>
  <c r="V73" i="6"/>
  <c r="W73" i="6" s="1"/>
  <c r="Z92" i="6"/>
  <c r="V92" i="6"/>
  <c r="W92" i="6" s="1"/>
  <c r="Z66" i="6"/>
  <c r="V66" i="6"/>
  <c r="W66" i="6" s="1"/>
  <c r="Z55" i="6"/>
  <c r="V55" i="6"/>
  <c r="W55" i="6" s="1"/>
  <c r="Z65" i="6"/>
  <c r="V65" i="6"/>
  <c r="W65" i="6" s="1"/>
  <c r="Z46" i="6"/>
  <c r="V46" i="6"/>
  <c r="W46" i="6" s="1"/>
  <c r="Z30" i="6"/>
  <c r="V30" i="6"/>
  <c r="W30" i="6" s="1"/>
  <c r="Z83" i="6"/>
  <c r="V83" i="6"/>
  <c r="W83" i="6" s="1"/>
  <c r="Z71" i="6"/>
  <c r="V71" i="6"/>
  <c r="W71" i="6" s="1"/>
  <c r="Z11" i="6"/>
  <c r="V11" i="6"/>
  <c r="W11" i="6" s="1"/>
  <c r="Z31" i="6"/>
  <c r="V31" i="6"/>
  <c r="W31" i="6" s="1"/>
  <c r="Z131" i="6"/>
  <c r="V131" i="6"/>
  <c r="W131" i="6" s="1"/>
  <c r="Z38" i="6"/>
  <c r="V38" i="6"/>
  <c r="W38" i="6" s="1"/>
  <c r="Z45" i="6"/>
  <c r="V45" i="6"/>
  <c r="W45" i="6" s="1"/>
  <c r="W142" i="4"/>
  <c r="S142" i="4"/>
  <c r="W9" i="4"/>
  <c r="S9" i="4"/>
  <c r="T16" i="4"/>
  <c r="W154" i="4"/>
  <c r="S154" i="4"/>
  <c r="W234" i="4"/>
  <c r="S234" i="4"/>
  <c r="T3" i="4"/>
  <c r="W181" i="4"/>
  <c r="S181" i="4"/>
  <c r="W332" i="4"/>
  <c r="S332" i="4"/>
  <c r="W284" i="4"/>
  <c r="S284" i="4"/>
  <c r="W333" i="4"/>
  <c r="S333" i="4"/>
  <c r="Y61" i="6"/>
  <c r="J70" i="11" s="1"/>
  <c r="AA70" i="11" s="1"/>
  <c r="Y60" i="6"/>
  <c r="J69" i="11" s="1"/>
  <c r="AA69" i="11" s="1"/>
  <c r="Y36" i="6"/>
  <c r="H70" i="11" s="1"/>
  <c r="Y70" i="11" s="1"/>
  <c r="Y42" i="6"/>
  <c r="H76" i="11" s="1"/>
  <c r="Y76" i="11" s="1"/>
  <c r="Y68" i="6"/>
  <c r="J77" i="11" s="1"/>
  <c r="AA77" i="11" s="1"/>
  <c r="Y56" i="6"/>
  <c r="J65" i="11" s="1"/>
  <c r="Y53" i="6"/>
  <c r="J62" i="11" s="1"/>
  <c r="AA62" i="11" s="1"/>
  <c r="Y70" i="6"/>
  <c r="J79" i="11" s="1"/>
  <c r="AA79" i="11" s="1"/>
  <c r="Y59" i="6"/>
  <c r="J68" i="11" s="1"/>
  <c r="AA68" i="11" s="1"/>
  <c r="Y54" i="6"/>
  <c r="J63" i="11" s="1"/>
  <c r="Y32" i="6"/>
  <c r="H66" i="11" s="1"/>
  <c r="Y34" i="6"/>
  <c r="H68" i="11" s="1"/>
  <c r="Y68" i="11" s="1"/>
  <c r="Y48" i="6"/>
  <c r="H82" i="11" s="1"/>
  <c r="Z234" i="6" l="1"/>
  <c r="AC75" i="11"/>
  <c r="Z9" i="6"/>
  <c r="AC67" i="11"/>
  <c r="AC74" i="11"/>
  <c r="AC69" i="11"/>
  <c r="AC76" i="11"/>
  <c r="AC71" i="11"/>
  <c r="AC38" i="11"/>
  <c r="Y80" i="18"/>
  <c r="Y81" i="18"/>
  <c r="Y72" i="18"/>
  <c r="Y62" i="18"/>
  <c r="L34" i="11"/>
  <c r="U34" i="11"/>
  <c r="AC37" i="11"/>
  <c r="L80" i="11"/>
  <c r="S80" i="11"/>
  <c r="L81" i="11"/>
  <c r="AA81" i="11"/>
  <c r="AC81" i="11" s="1"/>
  <c r="L53" i="11"/>
  <c r="Y53" i="11"/>
  <c r="L35" i="11"/>
  <c r="S35" i="11"/>
  <c r="AC35" i="11" s="1"/>
  <c r="L46" i="11"/>
  <c r="Y46" i="11"/>
  <c r="AC39" i="11"/>
  <c r="L50" i="11"/>
  <c r="AA50" i="11"/>
  <c r="AC48" i="11"/>
  <c r="L44" i="11"/>
  <c r="Y44" i="11"/>
  <c r="L63" i="11"/>
  <c r="AA63" i="11"/>
  <c r="AC63" i="11" s="1"/>
  <c r="AC36" i="11"/>
  <c r="AC62" i="11"/>
  <c r="L42" i="11"/>
  <c r="S42" i="11"/>
  <c r="AC42" i="11" s="1"/>
  <c r="AC73" i="11"/>
  <c r="L72" i="11"/>
  <c r="AA72" i="11"/>
  <c r="AC72" i="11" s="1"/>
  <c r="L64" i="11"/>
  <c r="S64" i="11"/>
  <c r="L66" i="11"/>
  <c r="Y66" i="11"/>
  <c r="AC78" i="11"/>
  <c r="L51" i="11"/>
  <c r="S51" i="11"/>
  <c r="AC51" i="11" s="1"/>
  <c r="L49" i="11"/>
  <c r="U49" i="11"/>
  <c r="AC41" i="11"/>
  <c r="L82" i="11"/>
  <c r="Y82" i="11"/>
  <c r="AC68" i="11"/>
  <c r="AC79" i="11"/>
  <c r="L65" i="11"/>
  <c r="AA65" i="11"/>
  <c r="AC65" i="11" s="1"/>
  <c r="AC77" i="11"/>
  <c r="AC70" i="11"/>
  <c r="L40" i="11"/>
  <c r="S40" i="11"/>
  <c r="AC40" i="11" s="1"/>
  <c r="J37" i="18"/>
  <c r="S37" i="18"/>
  <c r="Y37" i="18" s="1"/>
  <c r="J81" i="18"/>
  <c r="J72" i="18"/>
  <c r="J51" i="18"/>
  <c r="Q51" i="18"/>
  <c r="Y51" i="18" s="1"/>
  <c r="J67" i="18"/>
  <c r="J62" i="18"/>
  <c r="J80" i="18"/>
  <c r="J76" i="18"/>
  <c r="V369" i="6"/>
  <c r="W369" i="6" s="1"/>
  <c r="V181" i="6"/>
  <c r="W181" i="6" s="1"/>
  <c r="V170" i="6"/>
  <c r="W170" i="6" s="1"/>
  <c r="W131" i="4"/>
  <c r="V305" i="6"/>
  <c r="W305" i="6" s="1"/>
  <c r="V232" i="6"/>
  <c r="W232" i="6" s="1"/>
  <c r="W114" i="22"/>
  <c r="X114" i="22" s="1"/>
  <c r="Y114" i="22" s="1"/>
  <c r="V110" i="6"/>
  <c r="W110" i="6" s="1"/>
  <c r="V179" i="6"/>
  <c r="W179" i="6" s="1"/>
  <c r="V218" i="6"/>
  <c r="W218" i="6" s="1"/>
  <c r="V371" i="6"/>
  <c r="W371" i="6" s="1"/>
  <c r="V287" i="6"/>
  <c r="W287" i="6" s="1"/>
  <c r="S105" i="20"/>
  <c r="T105" i="20" s="1"/>
  <c r="V248" i="6"/>
  <c r="W248" i="6" s="1"/>
  <c r="V98" i="6"/>
  <c r="W98" i="6" s="1"/>
  <c r="S242" i="4"/>
  <c r="T242" i="4" s="1"/>
  <c r="V257" i="6"/>
  <c r="W257" i="6" s="1"/>
  <c r="V334" i="6"/>
  <c r="W334" i="6" s="1"/>
  <c r="L77" i="11"/>
  <c r="V85" i="6"/>
  <c r="W85" i="6" s="1"/>
  <c r="Z82" i="6"/>
  <c r="AA82" i="6" s="1"/>
  <c r="V159" i="6"/>
  <c r="W159" i="6" s="1"/>
  <c r="L39" i="11"/>
  <c r="L76" i="11"/>
  <c r="G69" i="11"/>
  <c r="X69" i="11" s="1"/>
  <c r="V292" i="6"/>
  <c r="W292" i="6" s="1"/>
  <c r="Z339" i="6"/>
  <c r="K71" i="19" s="1"/>
  <c r="Z244" i="6"/>
  <c r="AA244" i="6" s="1"/>
  <c r="V307" i="6"/>
  <c r="W307" i="6" s="1"/>
  <c r="V35" i="6"/>
  <c r="W35" i="6" s="1"/>
  <c r="V96" i="6"/>
  <c r="W96" i="6" s="1"/>
  <c r="Z180" i="6"/>
  <c r="AA180" i="6" s="1"/>
  <c r="V288" i="6"/>
  <c r="W288" i="6" s="1"/>
  <c r="V190" i="6"/>
  <c r="W190" i="6" s="1"/>
  <c r="Z254" i="6"/>
  <c r="E61" i="19" s="1"/>
  <c r="W68" i="22"/>
  <c r="X68" i="22" s="1"/>
  <c r="Y68" i="22" s="1"/>
  <c r="V290" i="6"/>
  <c r="W290" i="6" s="1"/>
  <c r="V195" i="6"/>
  <c r="W195" i="6" s="1"/>
  <c r="V256" i="6"/>
  <c r="W256" i="6" s="1"/>
  <c r="V81" i="6"/>
  <c r="W81" i="6" s="1"/>
  <c r="Z192" i="6"/>
  <c r="AA192" i="6" s="1"/>
  <c r="V318" i="6"/>
  <c r="W318" i="6" s="1"/>
  <c r="Z273" i="6"/>
  <c r="AA273" i="6" s="1"/>
  <c r="V265" i="6"/>
  <c r="W265" i="6" s="1"/>
  <c r="V308" i="6"/>
  <c r="W308" i="6" s="1"/>
  <c r="W82" i="4"/>
  <c r="X82" i="4" s="1"/>
  <c r="V186" i="6"/>
  <c r="W186" i="6" s="1"/>
  <c r="V344" i="6"/>
  <c r="W344" i="6" s="1"/>
  <c r="Z198" i="6"/>
  <c r="G81" i="18" s="1"/>
  <c r="V81" i="18" s="1"/>
  <c r="S101" i="20"/>
  <c r="T101" i="20" s="1"/>
  <c r="Z221" i="6"/>
  <c r="AA221" i="6" s="1"/>
  <c r="L71" i="11"/>
  <c r="V354" i="6"/>
  <c r="W354" i="6" s="1"/>
  <c r="S313" i="4"/>
  <c r="T313" i="4" s="1"/>
  <c r="N77" i="19"/>
  <c r="Y310" i="4"/>
  <c r="Z310" i="4"/>
  <c r="Y300" i="20"/>
  <c r="Z300" i="20"/>
  <c r="Y265" i="20"/>
  <c r="Z265" i="20"/>
  <c r="Y286" i="20"/>
  <c r="Z286" i="20"/>
  <c r="Y223" i="20"/>
  <c r="Z223" i="20"/>
  <c r="Y240" i="20"/>
  <c r="Z240" i="20"/>
  <c r="Y222" i="20"/>
  <c r="Z222" i="20"/>
  <c r="Y354" i="20"/>
  <c r="Z354" i="20"/>
  <c r="Y281" i="22"/>
  <c r="Z281" i="22"/>
  <c r="Y227" i="20"/>
  <c r="Z227" i="20"/>
  <c r="Y263" i="20"/>
  <c r="Z263" i="20"/>
  <c r="Y315" i="20"/>
  <c r="Z315" i="20"/>
  <c r="Y339" i="20"/>
  <c r="Z339" i="20"/>
  <c r="Y270" i="22"/>
  <c r="Z270" i="22"/>
  <c r="Y234" i="22"/>
  <c r="Z234" i="22"/>
  <c r="Y231" i="20"/>
  <c r="Z231" i="20"/>
  <c r="Y278" i="22"/>
  <c r="Z278" i="22"/>
  <c r="Y277" i="22"/>
  <c r="Z277" i="22"/>
  <c r="Y356" i="20"/>
  <c r="Z356" i="20"/>
  <c r="Y258" i="22"/>
  <c r="Z258" i="22"/>
  <c r="Y320" i="20"/>
  <c r="Z320" i="20"/>
  <c r="Y361" i="22"/>
  <c r="Z361" i="22"/>
  <c r="Y281" i="20"/>
  <c r="Z281" i="20"/>
  <c r="Y282" i="20"/>
  <c r="Z282" i="20"/>
  <c r="Y305" i="22"/>
  <c r="Z305" i="22"/>
  <c r="Y289" i="22"/>
  <c r="Z289" i="22"/>
  <c r="Y346" i="22"/>
  <c r="Z346" i="22"/>
  <c r="Y287" i="20"/>
  <c r="Z287" i="20"/>
  <c r="Y221" i="20"/>
  <c r="Z221" i="20"/>
  <c r="Y358" i="22"/>
  <c r="Z358" i="22"/>
  <c r="Y228" i="22"/>
  <c r="Z228" i="22"/>
  <c r="Y349" i="22"/>
  <c r="Z349" i="22"/>
  <c r="Y362" i="20"/>
  <c r="Z362" i="20"/>
  <c r="Y236" i="20"/>
  <c r="Z236" i="20"/>
  <c r="Y288" i="20"/>
  <c r="Z288" i="20"/>
  <c r="Y322" i="20"/>
  <c r="Z322" i="20"/>
  <c r="Y345" i="22"/>
  <c r="Z345" i="22"/>
  <c r="Y363" i="20"/>
  <c r="Z363" i="20"/>
  <c r="Y274" i="22"/>
  <c r="Z274" i="22"/>
  <c r="Y295" i="20"/>
  <c r="Z295" i="20"/>
  <c r="Y258" i="20"/>
  <c r="Z258" i="20"/>
  <c r="Y224" i="20"/>
  <c r="Z224" i="20"/>
  <c r="Y328" i="20"/>
  <c r="Z328" i="20"/>
  <c r="Y236" i="22"/>
  <c r="Z236" i="22"/>
  <c r="Y311" i="20"/>
  <c r="Z311" i="20"/>
  <c r="Y301" i="20"/>
  <c r="Z301" i="20"/>
  <c r="Y237" i="20"/>
  <c r="Z237" i="20"/>
  <c r="Y235" i="20"/>
  <c r="Z235" i="20"/>
  <c r="Y350" i="22"/>
  <c r="Z350" i="22"/>
  <c r="Y256" i="20"/>
  <c r="Z256" i="20"/>
  <c r="Y357" i="22"/>
  <c r="Z357" i="22"/>
  <c r="Y307" i="20"/>
  <c r="Z307" i="20"/>
  <c r="Y257" i="20"/>
  <c r="Z257" i="20"/>
  <c r="Y272" i="20"/>
  <c r="Z272" i="20"/>
  <c r="Y259" i="20"/>
  <c r="Z259" i="20"/>
  <c r="Y302" i="20"/>
  <c r="Z302" i="20"/>
  <c r="Y220" i="22"/>
  <c r="Z220" i="22"/>
  <c r="Y275" i="20"/>
  <c r="Z275" i="20"/>
  <c r="AB306" i="6"/>
  <c r="AC306" i="6"/>
  <c r="Y263" i="22"/>
  <c r="Z263" i="22"/>
  <c r="Y307" i="22"/>
  <c r="Z307" i="22"/>
  <c r="Y333" i="22"/>
  <c r="Z333" i="22"/>
  <c r="Y257" i="22"/>
  <c r="Z257" i="22"/>
  <c r="Y336" i="22"/>
  <c r="Z336" i="22"/>
  <c r="Y327" i="22"/>
  <c r="Z327" i="22"/>
  <c r="Y323" i="20"/>
  <c r="Z323" i="20"/>
  <c r="Y230" i="20"/>
  <c r="Z230" i="20"/>
  <c r="Y278" i="20"/>
  <c r="Z278" i="20"/>
  <c r="Y269" i="22"/>
  <c r="Z269" i="22"/>
  <c r="Y335" i="22"/>
  <c r="Z335" i="22"/>
  <c r="AB257" i="6"/>
  <c r="AC257" i="6"/>
  <c r="Y226" i="22"/>
  <c r="Z226" i="22"/>
  <c r="Y262" i="22"/>
  <c r="Z262" i="22"/>
  <c r="AB330" i="6"/>
  <c r="AC330" i="6"/>
  <c r="Y254" i="22"/>
  <c r="Z254" i="22"/>
  <c r="Y273" i="20"/>
  <c r="Z273" i="20"/>
  <c r="Y283" i="20"/>
  <c r="Z283" i="20"/>
  <c r="Y272" i="22"/>
  <c r="Z272" i="22"/>
  <c r="Y255" i="20"/>
  <c r="Z255" i="20"/>
  <c r="Y313" i="22"/>
  <c r="Z313" i="22"/>
  <c r="Y232" i="20"/>
  <c r="Z232" i="20"/>
  <c r="Y334" i="22"/>
  <c r="Z334" i="22"/>
  <c r="Y219" i="22"/>
  <c r="Z219" i="22"/>
  <c r="Y329" i="20"/>
  <c r="Z329" i="20"/>
  <c r="Y259" i="22"/>
  <c r="Z259" i="22"/>
  <c r="Y309" i="20"/>
  <c r="Z309" i="20"/>
  <c r="Y220" i="20"/>
  <c r="Z220" i="20"/>
  <c r="Y357" i="20"/>
  <c r="Z357" i="20"/>
  <c r="Y271" i="20"/>
  <c r="Z271" i="20"/>
  <c r="Y355" i="22"/>
  <c r="Z355" i="22"/>
  <c r="Y308" i="20"/>
  <c r="Z308" i="20"/>
  <c r="Y273" i="22"/>
  <c r="Z273" i="22"/>
  <c r="Y274" i="20"/>
  <c r="Z274" i="20"/>
  <c r="Y239" i="20"/>
  <c r="Z239" i="20"/>
  <c r="AB289" i="6"/>
  <c r="AC289" i="6"/>
  <c r="Y222" i="22"/>
  <c r="Z222" i="22"/>
  <c r="Y354" i="22"/>
  <c r="Z354" i="22"/>
  <c r="Z239" i="22"/>
  <c r="Y338" i="20"/>
  <c r="Z338" i="20"/>
  <c r="Y231" i="22"/>
  <c r="Z231" i="22"/>
  <c r="L67" i="11"/>
  <c r="Y227" i="22"/>
  <c r="Z227" i="22"/>
  <c r="Y260" i="20"/>
  <c r="Z260" i="20"/>
  <c r="Y279" i="22"/>
  <c r="Z279" i="22"/>
  <c r="Y229" i="22"/>
  <c r="Z229" i="22"/>
  <c r="Y330" i="20"/>
  <c r="Z330" i="20"/>
  <c r="Y365" i="20"/>
  <c r="Z365" i="20"/>
  <c r="Y348" i="22"/>
  <c r="Z348" i="22"/>
  <c r="Y310" i="22"/>
  <c r="Z310" i="22"/>
  <c r="Y289" i="20"/>
  <c r="Z289" i="20"/>
  <c r="AB288" i="6"/>
  <c r="AC288" i="6"/>
  <c r="Y235" i="22"/>
  <c r="Z235" i="22"/>
  <c r="Y237" i="22"/>
  <c r="Z237" i="22"/>
  <c r="Y329" i="22"/>
  <c r="Z329" i="22"/>
  <c r="Y299" i="20"/>
  <c r="Z299" i="20"/>
  <c r="Y330" i="22"/>
  <c r="Z330" i="22"/>
  <c r="Y306" i="22"/>
  <c r="Z306" i="22"/>
  <c r="Y298" i="20"/>
  <c r="Z298" i="20"/>
  <c r="Y306" i="20"/>
  <c r="Z306" i="20"/>
  <c r="Y308" i="22"/>
  <c r="Z308" i="22"/>
  <c r="Y256" i="22"/>
  <c r="Z256" i="22"/>
  <c r="Y364" i="22"/>
  <c r="Z364" i="22"/>
  <c r="Y285" i="22"/>
  <c r="Z285" i="22"/>
  <c r="Y309" i="22"/>
  <c r="Z309" i="22"/>
  <c r="Y229" i="20"/>
  <c r="Z229" i="20"/>
  <c r="Y336" i="20"/>
  <c r="Z336" i="20"/>
  <c r="Y302" i="22"/>
  <c r="Z302" i="22"/>
  <c r="Y335" i="20"/>
  <c r="Z335" i="20"/>
  <c r="Y337" i="22"/>
  <c r="Z337" i="22"/>
  <c r="Y353" i="22"/>
  <c r="Z353" i="22"/>
  <c r="Y287" i="22"/>
  <c r="Z287" i="22"/>
  <c r="Y314" i="22"/>
  <c r="Z314" i="22"/>
  <c r="Y356" i="22"/>
  <c r="Z356" i="22"/>
  <c r="Y338" i="22"/>
  <c r="Z338" i="22"/>
  <c r="Y363" i="22"/>
  <c r="Z363" i="22"/>
  <c r="Y347" i="22"/>
  <c r="Z347" i="22"/>
  <c r="Y362" i="22"/>
  <c r="Z362" i="22"/>
  <c r="Y238" i="22"/>
  <c r="Z238" i="22"/>
  <c r="Y303" i="20"/>
  <c r="Z303" i="20"/>
  <c r="Y264" i="20"/>
  <c r="Z264" i="20"/>
  <c r="Y221" i="22"/>
  <c r="Z221" i="22"/>
  <c r="Y364" i="20"/>
  <c r="Z364" i="20"/>
  <c r="Y327" i="20"/>
  <c r="Z327" i="20"/>
  <c r="Y270" i="20"/>
  <c r="Z270" i="20"/>
  <c r="Y358" i="20"/>
  <c r="Z358" i="20"/>
  <c r="Y314" i="20"/>
  <c r="Z314" i="20"/>
  <c r="Y264" i="22"/>
  <c r="Z264" i="22"/>
  <c r="Y355" i="20"/>
  <c r="Z355" i="20"/>
  <c r="Y280" i="20"/>
  <c r="Z280" i="20"/>
  <c r="Y326" i="20"/>
  <c r="Z326" i="20"/>
  <c r="Y230" i="22"/>
  <c r="Z230" i="22"/>
  <c r="Y359" i="20"/>
  <c r="Z359" i="20"/>
  <c r="Y331" i="20"/>
  <c r="Z331" i="20"/>
  <c r="Y334" i="20"/>
  <c r="Z334" i="20"/>
  <c r="Y337" i="20"/>
  <c r="Z337" i="20"/>
  <c r="Y271" i="22"/>
  <c r="Z271" i="22"/>
  <c r="Y282" i="22"/>
  <c r="Z282" i="22"/>
  <c r="Y328" i="22"/>
  <c r="Z328" i="22"/>
  <c r="Y280" i="22"/>
  <c r="Z280" i="22"/>
  <c r="Y286" i="22"/>
  <c r="Z286" i="22"/>
  <c r="Y290" i="20"/>
  <c r="Z290" i="20"/>
  <c r="Y238" i="20"/>
  <c r="Z238" i="20"/>
  <c r="Y228" i="20"/>
  <c r="Z228" i="20"/>
  <c r="Y255" i="22"/>
  <c r="Z255" i="22"/>
  <c r="Y288" i="22"/>
  <c r="Z288" i="22"/>
  <c r="Y223" i="22"/>
  <c r="Z223" i="22"/>
  <c r="Y310" i="20"/>
  <c r="Z310" i="20"/>
  <c r="Y308" i="4"/>
  <c r="Z308" i="4"/>
  <c r="AB323" i="6"/>
  <c r="AC323" i="6"/>
  <c r="Y279" i="20"/>
  <c r="Z279" i="20"/>
  <c r="AB363" i="6"/>
  <c r="AC363" i="6"/>
  <c r="Y321" i="20"/>
  <c r="Z321" i="20"/>
  <c r="S185" i="4"/>
  <c r="T185" i="4" s="1"/>
  <c r="E63" i="18"/>
  <c r="T63" i="18" s="1"/>
  <c r="S118" i="4"/>
  <c r="T118" i="4" s="1"/>
  <c r="Y321" i="22"/>
  <c r="Z321" i="22"/>
  <c r="Y322" i="22"/>
  <c r="Z322" i="22"/>
  <c r="Y325" i="22"/>
  <c r="Z325" i="22"/>
  <c r="Y320" i="22"/>
  <c r="Z320" i="22"/>
  <c r="Y326" i="22"/>
  <c r="Z326" i="22"/>
  <c r="Y319" i="22"/>
  <c r="Z319" i="22"/>
  <c r="Y249" i="22"/>
  <c r="Z249" i="22"/>
  <c r="Y247" i="22"/>
  <c r="Z247" i="22"/>
  <c r="Y250" i="22"/>
  <c r="Z250" i="22"/>
  <c r="Y248" i="22"/>
  <c r="Z248" i="22"/>
  <c r="Y246" i="22"/>
  <c r="Z246" i="22"/>
  <c r="Y251" i="22"/>
  <c r="Z251" i="22"/>
  <c r="Y299" i="22"/>
  <c r="Z299" i="22"/>
  <c r="Y297" i="22"/>
  <c r="Z297" i="22"/>
  <c r="Y301" i="22"/>
  <c r="Z301" i="22"/>
  <c r="Y298" i="22"/>
  <c r="Z298" i="22"/>
  <c r="Y300" i="22"/>
  <c r="Z300" i="22"/>
  <c r="Y294" i="22"/>
  <c r="Z294" i="22"/>
  <c r="Y349" i="20"/>
  <c r="Z349" i="20"/>
  <c r="Y347" i="20"/>
  <c r="Z347" i="20"/>
  <c r="Y346" i="20"/>
  <c r="Z346" i="20"/>
  <c r="Y350" i="20"/>
  <c r="Z350" i="20"/>
  <c r="Y351" i="20"/>
  <c r="Z351" i="20"/>
  <c r="Y348" i="20"/>
  <c r="Z348" i="20"/>
  <c r="Y249" i="20"/>
  <c r="Z249" i="20"/>
  <c r="Y252" i="20"/>
  <c r="Z252" i="20"/>
  <c r="Y251" i="20"/>
  <c r="Z251" i="20"/>
  <c r="Y247" i="20"/>
  <c r="Z247" i="20"/>
  <c r="Y248" i="20"/>
  <c r="Z248" i="20"/>
  <c r="Y250" i="20"/>
  <c r="Z250" i="20"/>
  <c r="Z284" i="6"/>
  <c r="AA284" i="6" s="1"/>
  <c r="V278" i="6"/>
  <c r="W278" i="6" s="1"/>
  <c r="L62" i="11"/>
  <c r="L75" i="11"/>
  <c r="L73" i="11"/>
  <c r="L79" i="11"/>
  <c r="L74" i="11"/>
  <c r="L38" i="11"/>
  <c r="L48" i="11"/>
  <c r="L70" i="11"/>
  <c r="L69" i="11"/>
  <c r="L68" i="11"/>
  <c r="L78" i="11"/>
  <c r="AB3" i="6"/>
  <c r="AC3" i="6"/>
  <c r="L41" i="11"/>
  <c r="AB16" i="6"/>
  <c r="AC16" i="6"/>
  <c r="AB94" i="6"/>
  <c r="AC94" i="6"/>
  <c r="Y3" i="4"/>
  <c r="AB93" i="6"/>
  <c r="AC93" i="6"/>
  <c r="AB211" i="6"/>
  <c r="AC211" i="6"/>
  <c r="V184" i="6"/>
  <c r="W184" i="6" s="1"/>
  <c r="AB213" i="6"/>
  <c r="AC213" i="6"/>
  <c r="AB144" i="6"/>
  <c r="AC144" i="6"/>
  <c r="Y156" i="4"/>
  <c r="Z156" i="4"/>
  <c r="AB157" i="6"/>
  <c r="AC157" i="6"/>
  <c r="AB137" i="6"/>
  <c r="AC137" i="6"/>
  <c r="Y130" i="4"/>
  <c r="Z130" i="4"/>
  <c r="AB130" i="6"/>
  <c r="AC130" i="6"/>
  <c r="AB160" i="6"/>
  <c r="AC160" i="6"/>
  <c r="Y16" i="4"/>
  <c r="Z16" i="4"/>
  <c r="V183" i="6"/>
  <c r="W183" i="6" s="1"/>
  <c r="V205" i="6"/>
  <c r="W205" i="6" s="1"/>
  <c r="AB222" i="6"/>
  <c r="AC222" i="6"/>
  <c r="AB195" i="6"/>
  <c r="AC195" i="6"/>
  <c r="V204" i="6"/>
  <c r="W204" i="6" s="1"/>
  <c r="Z169" i="6"/>
  <c r="AA169" i="6" s="1"/>
  <c r="Z5" i="6"/>
  <c r="AA5" i="6" s="1"/>
  <c r="W4" i="4"/>
  <c r="X4" i="4" s="1"/>
  <c r="W62" i="22"/>
  <c r="X62" i="22" s="1"/>
  <c r="Y62" i="22" s="1"/>
  <c r="Z241" i="6"/>
  <c r="AA241" i="6" s="1"/>
  <c r="V103" i="6"/>
  <c r="W103" i="6" s="1"/>
  <c r="V79" i="6"/>
  <c r="W79" i="6" s="1"/>
  <c r="V188" i="6"/>
  <c r="W188" i="6" s="1"/>
  <c r="V143" i="6"/>
  <c r="W143" i="6" s="1"/>
  <c r="V161" i="6"/>
  <c r="W161" i="6" s="1"/>
  <c r="V317" i="6"/>
  <c r="W317" i="6" s="1"/>
  <c r="V206" i="6"/>
  <c r="W206" i="6" s="1"/>
  <c r="V194" i="6"/>
  <c r="W194" i="6" s="1"/>
  <c r="V289" i="6"/>
  <c r="W289" i="6" s="1"/>
  <c r="V90" i="6"/>
  <c r="W90" i="6" s="1"/>
  <c r="Z263" i="6"/>
  <c r="AA263" i="6" s="1"/>
  <c r="Z141" i="6"/>
  <c r="AA141" i="6" s="1"/>
  <c r="Z298" i="6"/>
  <c r="AA298" i="6" s="1"/>
  <c r="S98" i="4"/>
  <c r="T98" i="4" s="1"/>
  <c r="S215" i="4"/>
  <c r="T215" i="4" s="1"/>
  <c r="S158" i="4"/>
  <c r="T158" i="4" s="1"/>
  <c r="S320" i="4"/>
  <c r="T320" i="4" s="1"/>
  <c r="S169" i="4"/>
  <c r="T169" i="4" s="1"/>
  <c r="W319" i="4"/>
  <c r="I48" i="19" s="1"/>
  <c r="S108" i="4"/>
  <c r="T108" i="4" s="1"/>
  <c r="W120" i="4"/>
  <c r="E50" i="11" s="1"/>
  <c r="V50" i="11" s="1"/>
  <c r="W311" i="4"/>
  <c r="I40" i="19" s="1"/>
  <c r="S312" i="4"/>
  <c r="T312" i="4" s="1"/>
  <c r="S355" i="4"/>
  <c r="T355" i="4" s="1"/>
  <c r="V359" i="6"/>
  <c r="W359" i="6" s="1"/>
  <c r="V362" i="6"/>
  <c r="W362" i="6" s="1"/>
  <c r="V333" i="6"/>
  <c r="W333" i="6" s="1"/>
  <c r="V341" i="6"/>
  <c r="W341" i="6" s="1"/>
  <c r="V328" i="6"/>
  <c r="W328" i="6" s="1"/>
  <c r="Z348" i="6"/>
  <c r="AA348" i="6" s="1"/>
  <c r="Z115" i="6"/>
  <c r="AA115" i="6" s="1"/>
  <c r="V147" i="6"/>
  <c r="W147" i="6" s="1"/>
  <c r="X281" i="4"/>
  <c r="V358" i="6"/>
  <c r="W358" i="6" s="1"/>
  <c r="S112" i="4"/>
  <c r="T112" i="4" s="1"/>
  <c r="Z154" i="6"/>
  <c r="AA154" i="6" s="1"/>
  <c r="V216" i="6"/>
  <c r="W216" i="6" s="1"/>
  <c r="Z281" i="6"/>
  <c r="G63" i="19" s="1"/>
  <c r="V335" i="6"/>
  <c r="W335" i="6" s="1"/>
  <c r="V280" i="6"/>
  <c r="W280" i="6" s="1"/>
  <c r="V291" i="6"/>
  <c r="W291" i="6" s="1"/>
  <c r="V193" i="6"/>
  <c r="W193" i="6" s="1"/>
  <c r="S305" i="4"/>
  <c r="T305" i="4" s="1"/>
  <c r="S309" i="4"/>
  <c r="T309" i="4" s="1"/>
  <c r="V138" i="6"/>
  <c r="W138" i="6" s="1"/>
  <c r="V356" i="6"/>
  <c r="W356" i="6" s="1"/>
  <c r="S344" i="4"/>
  <c r="T344" i="4" s="1"/>
  <c r="V148" i="6"/>
  <c r="W148" i="6" s="1"/>
  <c r="V309" i="6"/>
  <c r="W309" i="6" s="1"/>
  <c r="V108" i="6"/>
  <c r="W108" i="6" s="1"/>
  <c r="V315" i="6"/>
  <c r="W315" i="6" s="1"/>
  <c r="W286" i="4"/>
  <c r="G40" i="19" s="1"/>
  <c r="V336" i="6"/>
  <c r="W336" i="6" s="1"/>
  <c r="V295" i="6"/>
  <c r="W295" i="6" s="1"/>
  <c r="V239" i="6"/>
  <c r="W239" i="6" s="1"/>
  <c r="Z258" i="6"/>
  <c r="AA258" i="6" s="1"/>
  <c r="V142" i="6"/>
  <c r="W142" i="6" s="1"/>
  <c r="S253" i="4"/>
  <c r="T253" i="4" s="1"/>
  <c r="W182" i="4"/>
  <c r="X182" i="4" s="1"/>
  <c r="W109" i="4"/>
  <c r="X109" i="4" s="1"/>
  <c r="V235" i="6"/>
  <c r="W235" i="6" s="1"/>
  <c r="V129" i="6"/>
  <c r="W129" i="6" s="1"/>
  <c r="S106" i="22"/>
  <c r="T106" i="22" s="1"/>
  <c r="S156" i="4"/>
  <c r="T156" i="4" s="1"/>
  <c r="V109" i="6"/>
  <c r="W109" i="6" s="1"/>
  <c r="Z87" i="6"/>
  <c r="C70" i="18" s="1"/>
  <c r="R70" i="18" s="1"/>
  <c r="Z364" i="6"/>
  <c r="AA364" i="6" s="1"/>
  <c r="V219" i="6"/>
  <c r="W219" i="6" s="1"/>
  <c r="V212" i="6"/>
  <c r="W212" i="6" s="1"/>
  <c r="V223" i="6"/>
  <c r="W223" i="6" s="1"/>
  <c r="V203" i="6"/>
  <c r="W203" i="6" s="1"/>
  <c r="V222" i="6"/>
  <c r="W222" i="6" s="1"/>
  <c r="S116" i="4"/>
  <c r="T116" i="4" s="1"/>
  <c r="V139" i="6"/>
  <c r="W139" i="6" s="1"/>
  <c r="Z365" i="6"/>
  <c r="AA365" i="6" s="1"/>
  <c r="S134" i="4"/>
  <c r="T134" i="4" s="1"/>
  <c r="S83" i="4"/>
  <c r="T83" i="4" s="1"/>
  <c r="V153" i="6"/>
  <c r="W153" i="6" s="1"/>
  <c r="V133" i="6"/>
  <c r="W133" i="6" s="1"/>
  <c r="V332" i="6"/>
  <c r="W332" i="6" s="1"/>
  <c r="V136" i="6"/>
  <c r="W136" i="6" s="1"/>
  <c r="V94" i="6"/>
  <c r="W94" i="6" s="1"/>
  <c r="V329" i="6"/>
  <c r="W329" i="6" s="1"/>
  <c r="V337" i="6"/>
  <c r="W337" i="6" s="1"/>
  <c r="S308" i="4"/>
  <c r="T308" i="4" s="1"/>
  <c r="S210" i="22"/>
  <c r="T210" i="22" s="1"/>
  <c r="W340" i="4"/>
  <c r="K44" i="19" s="1"/>
  <c r="W370" i="4"/>
  <c r="X370" i="4" s="1"/>
  <c r="Z173" i="6"/>
  <c r="AA173" i="6" s="1"/>
  <c r="Z196" i="6"/>
  <c r="AA196" i="6" s="1"/>
  <c r="V155" i="6"/>
  <c r="W155" i="6" s="1"/>
  <c r="S107" i="4"/>
  <c r="T107" i="4" s="1"/>
  <c r="W79" i="22"/>
  <c r="X79" i="22" s="1"/>
  <c r="Y79" i="22" s="1"/>
  <c r="S190" i="4"/>
  <c r="T190" i="4" s="1"/>
  <c r="V89" i="6"/>
  <c r="W89" i="6" s="1"/>
  <c r="V17" i="6"/>
  <c r="W17" i="6" s="1"/>
  <c r="Z228" i="6"/>
  <c r="C60" i="19" s="1"/>
  <c r="V93" i="6"/>
  <c r="W93" i="6" s="1"/>
  <c r="S233" i="4"/>
  <c r="T233" i="4" s="1"/>
  <c r="V207" i="6"/>
  <c r="W207" i="6" s="1"/>
  <c r="V240" i="6"/>
  <c r="W240" i="6" s="1"/>
  <c r="V214" i="6"/>
  <c r="W214" i="6" s="1"/>
  <c r="V266" i="6"/>
  <c r="W266" i="6" s="1"/>
  <c r="V213" i="6"/>
  <c r="W213" i="6" s="1"/>
  <c r="W239" i="4"/>
  <c r="X239" i="4" s="1"/>
  <c r="V104" i="6"/>
  <c r="W104" i="6" s="1"/>
  <c r="V282" i="6"/>
  <c r="W282" i="6" s="1"/>
  <c r="S361" i="4"/>
  <c r="T361" i="4" s="1"/>
  <c r="S209" i="4"/>
  <c r="T209" i="4" s="1"/>
  <c r="Z217" i="6"/>
  <c r="I75" i="18" s="1"/>
  <c r="X75" i="18" s="1"/>
  <c r="Z285" i="6"/>
  <c r="AA285" i="6" s="1"/>
  <c r="V347" i="6"/>
  <c r="W347" i="6" s="1"/>
  <c r="S115" i="4"/>
  <c r="T115" i="4" s="1"/>
  <c r="V323" i="6"/>
  <c r="W323" i="6" s="1"/>
  <c r="V267" i="6"/>
  <c r="W267" i="6" s="1"/>
  <c r="S20" i="4"/>
  <c r="T20" i="4" s="1"/>
  <c r="W247" i="4"/>
  <c r="X247" i="4" s="1"/>
  <c r="S66" i="22"/>
  <c r="T66" i="22" s="1"/>
  <c r="Z215" i="6"/>
  <c r="AA215" i="6" s="1"/>
  <c r="V361" i="6"/>
  <c r="W361" i="6" s="1"/>
  <c r="Z346" i="6"/>
  <c r="AA346" i="6" s="1"/>
  <c r="V238" i="6"/>
  <c r="W238" i="6" s="1"/>
  <c r="V306" i="6"/>
  <c r="W306" i="6" s="1"/>
  <c r="V144" i="6"/>
  <c r="W144" i="6" s="1"/>
  <c r="V296" i="6"/>
  <c r="W296" i="6" s="1"/>
  <c r="V118" i="6"/>
  <c r="W118" i="6" s="1"/>
  <c r="W96" i="4"/>
  <c r="X96" i="4" s="1"/>
  <c r="W321" i="4"/>
  <c r="X321" i="4" s="1"/>
  <c r="S17" i="4"/>
  <c r="T17" i="4" s="1"/>
  <c r="Z268" i="6"/>
  <c r="AA268" i="6" s="1"/>
  <c r="S285" i="4"/>
  <c r="T285" i="4" s="1"/>
  <c r="S80" i="4"/>
  <c r="T80" i="4" s="1"/>
  <c r="V187" i="6"/>
  <c r="W187" i="6" s="1"/>
  <c r="V157" i="6"/>
  <c r="W157" i="6" s="1"/>
  <c r="V97" i="6"/>
  <c r="W97" i="6" s="1"/>
  <c r="W342" i="4"/>
  <c r="K46" i="19" s="1"/>
  <c r="V140" i="6"/>
  <c r="W140" i="6" s="1"/>
  <c r="V245" i="6"/>
  <c r="W245" i="6" s="1"/>
  <c r="V363" i="6"/>
  <c r="W363" i="6" s="1"/>
  <c r="Z331" i="6"/>
  <c r="AA331" i="6" s="1"/>
  <c r="V135" i="6"/>
  <c r="W135" i="6" s="1"/>
  <c r="V229" i="6"/>
  <c r="W229" i="6" s="1"/>
  <c r="W10" i="4"/>
  <c r="X10" i="4" s="1"/>
  <c r="Z172" i="6"/>
  <c r="AA172" i="6" s="1"/>
  <c r="W279" i="4"/>
  <c r="G33" i="19" s="1"/>
  <c r="Z286" i="6"/>
  <c r="AA286" i="6" s="1"/>
  <c r="S369" i="4"/>
  <c r="T369" i="4" s="1"/>
  <c r="V210" i="6"/>
  <c r="W210" i="6" s="1"/>
  <c r="V209" i="6"/>
  <c r="W209" i="6" s="1"/>
  <c r="V261" i="6"/>
  <c r="W261" i="6" s="1"/>
  <c r="V303" i="6"/>
  <c r="W303" i="6" s="1"/>
  <c r="V255" i="6"/>
  <c r="W255" i="6" s="1"/>
  <c r="S218" i="4"/>
  <c r="T218" i="4" s="1"/>
  <c r="Z367" i="6"/>
  <c r="AA367" i="6" s="1"/>
  <c r="V230" i="6"/>
  <c r="W230" i="6" s="1"/>
  <c r="W6" i="4"/>
  <c r="C36" i="11" s="1"/>
  <c r="T36" i="11" s="1"/>
  <c r="S217" i="4"/>
  <c r="T217" i="4" s="1"/>
  <c r="V145" i="6"/>
  <c r="W145" i="6" s="1"/>
  <c r="V231" i="6"/>
  <c r="W231" i="6" s="1"/>
  <c r="Z119" i="6"/>
  <c r="AA119" i="6" s="1"/>
  <c r="S78" i="4"/>
  <c r="T78" i="4" s="1"/>
  <c r="AA194" i="6"/>
  <c r="G77" i="18"/>
  <c r="V77" i="18" s="1"/>
  <c r="V146" i="6"/>
  <c r="W146" i="6" s="1"/>
  <c r="V294" i="6"/>
  <c r="W294" i="6" s="1"/>
  <c r="V137" i="6"/>
  <c r="W137" i="6" s="1"/>
  <c r="Z370" i="6"/>
  <c r="AA370" i="6" s="1"/>
  <c r="S289" i="4"/>
  <c r="T289" i="4" s="1"/>
  <c r="W288" i="4"/>
  <c r="X288" i="4" s="1"/>
  <c r="S293" i="4"/>
  <c r="T293" i="4" s="1"/>
  <c r="S162" i="4"/>
  <c r="T162" i="4" s="1"/>
  <c r="Z357" i="6"/>
  <c r="AA357" i="6" s="1"/>
  <c r="S166" i="4"/>
  <c r="T166" i="4" s="1"/>
  <c r="V271" i="6"/>
  <c r="W271" i="6" s="1"/>
  <c r="S18" i="4"/>
  <c r="T18" i="4" s="1"/>
  <c r="V91" i="6"/>
  <c r="W91" i="6" s="1"/>
  <c r="S14" i="4"/>
  <c r="T14" i="4" s="1"/>
  <c r="V178" i="6"/>
  <c r="W178" i="6" s="1"/>
  <c r="W117" i="4"/>
  <c r="E47" i="11" s="1"/>
  <c r="V47" i="11" s="1"/>
  <c r="V185" i="6"/>
  <c r="W185" i="6" s="1"/>
  <c r="S334" i="4"/>
  <c r="T334" i="4" s="1"/>
  <c r="V208" i="6"/>
  <c r="W208" i="6" s="1"/>
  <c r="S64" i="4"/>
  <c r="T64" i="4" s="1"/>
  <c r="AA335" i="6"/>
  <c r="K67" i="19"/>
  <c r="V37" i="6"/>
  <c r="W37" i="6" s="1"/>
  <c r="AA208" i="6"/>
  <c r="I66" i="18"/>
  <c r="X66" i="18" s="1"/>
  <c r="G62" i="18"/>
  <c r="V62" i="18" s="1"/>
  <c r="AA179" i="6"/>
  <c r="AA138" i="6"/>
  <c r="E71" i="18"/>
  <c r="T71" i="18" s="1"/>
  <c r="AA159" i="6"/>
  <c r="G68" i="11"/>
  <c r="X68" i="11" s="1"/>
  <c r="AA205" i="6"/>
  <c r="I63" i="18"/>
  <c r="X63" i="18" s="1"/>
  <c r="X107" i="4"/>
  <c r="E37" i="11"/>
  <c r="V37" i="11" s="1"/>
  <c r="AA303" i="6"/>
  <c r="I60" i="19"/>
  <c r="AA245" i="6"/>
  <c r="C77" i="19"/>
  <c r="X344" i="4"/>
  <c r="K48" i="19"/>
  <c r="X318" i="4"/>
  <c r="I47" i="19"/>
  <c r="X220" i="4"/>
  <c r="I49" i="18"/>
  <c r="X49" i="18" s="1"/>
  <c r="AA240" i="6"/>
  <c r="C72" i="19"/>
  <c r="C64" i="19"/>
  <c r="AA232" i="6"/>
  <c r="S88" i="4"/>
  <c r="T88" i="4" s="1"/>
  <c r="V84" i="6"/>
  <c r="W84" i="6" s="1"/>
  <c r="V269" i="6"/>
  <c r="W269" i="6" s="1"/>
  <c r="V272" i="6"/>
  <c r="W272" i="6" s="1"/>
  <c r="S21" i="4"/>
  <c r="T21" i="4" s="1"/>
  <c r="V316" i="6"/>
  <c r="W316" i="6" s="1"/>
  <c r="Z310" i="6"/>
  <c r="AA310" i="6" s="1"/>
  <c r="W341" i="4"/>
  <c r="X341" i="4" s="1"/>
  <c r="S220" i="4"/>
  <c r="T220" i="4" s="1"/>
  <c r="S318" i="4"/>
  <c r="T318" i="4" s="1"/>
  <c r="W262" i="4"/>
  <c r="Z311" i="6"/>
  <c r="S244" i="4"/>
  <c r="T244" i="4" s="1"/>
  <c r="W265" i="4"/>
  <c r="X265" i="4" s="1"/>
  <c r="Z264" i="6"/>
  <c r="E71" i="19" s="1"/>
  <c r="W267" i="4"/>
  <c r="X267" i="4" s="1"/>
  <c r="V259" i="6"/>
  <c r="W259" i="6" s="1"/>
  <c r="V105" i="6"/>
  <c r="W105" i="6" s="1"/>
  <c r="Z283" i="6"/>
  <c r="Z168" i="6"/>
  <c r="AA168" i="6" s="1"/>
  <c r="S92" i="4"/>
  <c r="T92" i="4" s="1"/>
  <c r="S81" i="4"/>
  <c r="T81" i="4" s="1"/>
  <c r="V112" i="6"/>
  <c r="W112" i="6" s="1"/>
  <c r="V18" i="6"/>
  <c r="W18" i="6" s="1"/>
  <c r="S79" i="4"/>
  <c r="T79" i="4" s="1"/>
  <c r="Z353" i="6"/>
  <c r="AA353" i="6" s="1"/>
  <c r="Z368" i="6"/>
  <c r="AA368" i="6" s="1"/>
  <c r="Z373" i="6"/>
  <c r="AA373" i="6" s="1"/>
  <c r="V128" i="6"/>
  <c r="W128" i="6" s="1"/>
  <c r="V342" i="6"/>
  <c r="W342" i="6" s="1"/>
  <c r="V171" i="6"/>
  <c r="W171" i="6" s="1"/>
  <c r="S138" i="4"/>
  <c r="T138" i="4" s="1"/>
  <c r="S97" i="4"/>
  <c r="T97" i="4" s="1"/>
  <c r="M70" i="19"/>
  <c r="E64" i="19"/>
  <c r="I63" i="19"/>
  <c r="S241" i="4"/>
  <c r="T241" i="4" s="1"/>
  <c r="S153" i="4"/>
  <c r="T153" i="4" s="1"/>
  <c r="V134" i="6"/>
  <c r="W134" i="6" s="1"/>
  <c r="V304" i="6"/>
  <c r="W304" i="6" s="1"/>
  <c r="V345" i="6"/>
  <c r="W345" i="6" s="1"/>
  <c r="V279" i="6"/>
  <c r="W279" i="6" s="1"/>
  <c r="S8" i="4"/>
  <c r="T8" i="4" s="1"/>
  <c r="S371" i="4"/>
  <c r="T371" i="4" s="1"/>
  <c r="Z156" i="6"/>
  <c r="AA156" i="6" s="1"/>
  <c r="S170" i="4"/>
  <c r="T170" i="4" s="1"/>
  <c r="S254" i="4"/>
  <c r="T254" i="4" s="1"/>
  <c r="V95" i="6"/>
  <c r="W95" i="6" s="1"/>
  <c r="S110" i="4"/>
  <c r="T110" i="4" s="1"/>
  <c r="V191" i="6"/>
  <c r="W191" i="6" s="1"/>
  <c r="V167" i="6"/>
  <c r="W167" i="6" s="1"/>
  <c r="W12" i="4"/>
  <c r="X12" i="4" s="1"/>
  <c r="V29" i="6"/>
  <c r="W29" i="6" s="1"/>
  <c r="S363" i="4"/>
  <c r="T363" i="4" s="1"/>
  <c r="V164" i="6"/>
  <c r="W164" i="6" s="1"/>
  <c r="V297" i="6"/>
  <c r="W297" i="6" s="1"/>
  <c r="Z343" i="6"/>
  <c r="AA343" i="6" s="1"/>
  <c r="S187" i="4"/>
  <c r="T187" i="4" s="1"/>
  <c r="Z236" i="6"/>
  <c r="AA236" i="6" s="1"/>
  <c r="S280" i="4"/>
  <c r="T280" i="4" s="1"/>
  <c r="V43" i="6"/>
  <c r="W43" i="6" s="1"/>
  <c r="AA91" i="6"/>
  <c r="C74" i="18"/>
  <c r="R74" i="18" s="1"/>
  <c r="AA267" i="6"/>
  <c r="E74" i="19"/>
  <c r="AA307" i="6"/>
  <c r="I64" i="19"/>
  <c r="AA204" i="6"/>
  <c r="I62" i="18"/>
  <c r="X62" i="18" s="1"/>
  <c r="X158" i="4"/>
  <c r="G38" i="11"/>
  <c r="X38" i="11" s="1"/>
  <c r="AA135" i="6"/>
  <c r="E68" i="18"/>
  <c r="T68" i="18" s="1"/>
  <c r="X334" i="4"/>
  <c r="K38" i="19"/>
  <c r="AA315" i="6"/>
  <c r="I72" i="19"/>
  <c r="AA183" i="6"/>
  <c r="G66" i="18"/>
  <c r="V66" i="18" s="1"/>
  <c r="AA248" i="6"/>
  <c r="C80" i="19"/>
  <c r="AA207" i="6"/>
  <c r="I65" i="18"/>
  <c r="X65" i="18" s="1"/>
  <c r="AA231" i="6"/>
  <c r="C63" i="19"/>
  <c r="AA223" i="6"/>
  <c r="I81" i="18"/>
  <c r="X81" i="18" s="1"/>
  <c r="AA265" i="6"/>
  <c r="E72" i="19"/>
  <c r="AA259" i="6"/>
  <c r="E66" i="19"/>
  <c r="AA336" i="6"/>
  <c r="K68" i="19"/>
  <c r="G61" i="18"/>
  <c r="V61" i="18" s="1"/>
  <c r="AA178" i="6"/>
  <c r="AA278" i="6"/>
  <c r="G60" i="19"/>
  <c r="AA345" i="6"/>
  <c r="K77" i="19"/>
  <c r="AA297" i="6"/>
  <c r="G79" i="19"/>
  <c r="AA342" i="6"/>
  <c r="K74" i="19"/>
  <c r="X363" i="4"/>
  <c r="M42" i="19"/>
  <c r="V12" i="6"/>
  <c r="W12" i="6" s="1"/>
  <c r="W5" i="4"/>
  <c r="X5" i="4" s="1"/>
  <c r="S13" i="4"/>
  <c r="T13" i="4" s="1"/>
  <c r="S15" i="4"/>
  <c r="T15" i="4" s="1"/>
  <c r="S22" i="4"/>
  <c r="T22" i="4" s="1"/>
  <c r="C45" i="11"/>
  <c r="T45" i="11" s="1"/>
  <c r="X15" i="4"/>
  <c r="X22" i="4"/>
  <c r="C52" i="11"/>
  <c r="T52" i="11" s="1"/>
  <c r="V10" i="6"/>
  <c r="W10" i="6" s="1"/>
  <c r="C51" i="11"/>
  <c r="X21" i="4"/>
  <c r="X138" i="4"/>
  <c r="E42" i="18"/>
  <c r="T42" i="18" s="1"/>
  <c r="AA187" i="6"/>
  <c r="G70" i="18"/>
  <c r="V70" i="18" s="1"/>
  <c r="AA316" i="6"/>
  <c r="I73" i="19"/>
  <c r="AA354" i="6"/>
  <c r="M61" i="19"/>
  <c r="AA318" i="6"/>
  <c r="I75" i="19"/>
  <c r="AA128" i="6"/>
  <c r="E61" i="18"/>
  <c r="T61" i="18" s="1"/>
  <c r="X215" i="4"/>
  <c r="I44" i="18"/>
  <c r="X44" i="18" s="1"/>
  <c r="AA294" i="6"/>
  <c r="G76" i="19"/>
  <c r="AA191" i="6"/>
  <c r="G74" i="18"/>
  <c r="V74" i="18" s="1"/>
  <c r="X309" i="4"/>
  <c r="I38" i="19"/>
  <c r="I66" i="19"/>
  <c r="AA309" i="6"/>
  <c r="AA147" i="6"/>
  <c r="E80" i="18"/>
  <c r="T80" i="18" s="1"/>
  <c r="AA193" i="6"/>
  <c r="G76" i="18"/>
  <c r="V76" i="18" s="1"/>
  <c r="AA136" i="6"/>
  <c r="E69" i="18"/>
  <c r="T69" i="18" s="1"/>
  <c r="X110" i="4"/>
  <c r="E40" i="11"/>
  <c r="V40" i="11" s="1"/>
  <c r="G39" i="18"/>
  <c r="V39" i="18" s="1"/>
  <c r="X185" i="4"/>
  <c r="X166" i="4"/>
  <c r="G46" i="11"/>
  <c r="X46" i="11" s="1"/>
  <c r="AA266" i="6"/>
  <c r="E73" i="19"/>
  <c r="AA206" i="6"/>
  <c r="I64" i="18"/>
  <c r="X64" i="18" s="1"/>
  <c r="X11" i="4"/>
  <c r="C41" i="11"/>
  <c r="T41" i="11" s="1"/>
  <c r="AA19" i="6"/>
  <c r="C78" i="11"/>
  <c r="T78" i="11" s="1"/>
  <c r="AA229" i="6"/>
  <c r="C61" i="19"/>
  <c r="AA279" i="6"/>
  <c r="G61" i="19"/>
  <c r="AA296" i="6"/>
  <c r="G78" i="19"/>
  <c r="AA171" i="6"/>
  <c r="G80" i="11"/>
  <c r="X80" i="11" s="1"/>
  <c r="X187" i="4"/>
  <c r="G41" i="18"/>
  <c r="V41" i="18" s="1"/>
  <c r="AA105" i="6"/>
  <c r="E64" i="11"/>
  <c r="V64" i="11" s="1"/>
  <c r="AA29" i="6"/>
  <c r="I63" i="11"/>
  <c r="Z63" i="11" s="1"/>
  <c r="M63" i="19"/>
  <c r="AA356" i="6"/>
  <c r="AA164" i="6"/>
  <c r="G73" i="11"/>
  <c r="X73" i="11" s="1"/>
  <c r="AA344" i="6"/>
  <c r="K76" i="19"/>
  <c r="AA291" i="6"/>
  <c r="G73" i="19"/>
  <c r="AA140" i="6"/>
  <c r="E73" i="18"/>
  <c r="T73" i="18" s="1"/>
  <c r="G69" i="18"/>
  <c r="V69" i="18" s="1"/>
  <c r="AA186" i="6"/>
  <c r="C68" i="18"/>
  <c r="R68" i="18" s="1"/>
  <c r="AA85" i="6"/>
  <c r="AA272" i="6"/>
  <c r="E79" i="19"/>
  <c r="X280" i="4"/>
  <c r="G34" i="19"/>
  <c r="G69" i="19"/>
  <c r="AA287" i="6"/>
  <c r="AA129" i="6"/>
  <c r="E62" i="18"/>
  <c r="T62" i="18" s="1"/>
  <c r="G71" i="18"/>
  <c r="V71" i="18" s="1"/>
  <c r="AA188" i="6"/>
  <c r="AA143" i="6"/>
  <c r="E76" i="18"/>
  <c r="T76" i="18" s="1"/>
  <c r="G72" i="19"/>
  <c r="AA290" i="6"/>
  <c r="I77" i="18"/>
  <c r="X77" i="18" s="1"/>
  <c r="AA219" i="6"/>
  <c r="AA282" i="6"/>
  <c r="G64" i="19"/>
  <c r="K61" i="19"/>
  <c r="AA329" i="6"/>
  <c r="I74" i="18"/>
  <c r="X74" i="18" s="1"/>
  <c r="AA216" i="6"/>
  <c r="I70" i="18"/>
  <c r="X70" i="18" s="1"/>
  <c r="AA212" i="6"/>
  <c r="AA337" i="6"/>
  <c r="K69" i="19"/>
  <c r="X371" i="4"/>
  <c r="M50" i="19"/>
  <c r="I65" i="19"/>
  <c r="AA308" i="6"/>
  <c r="AA235" i="6"/>
  <c r="C67" i="19"/>
  <c r="AA35" i="6"/>
  <c r="I69" i="11"/>
  <c r="Z69" i="11" s="1"/>
  <c r="AA362" i="6"/>
  <c r="M69" i="19"/>
  <c r="AA347" i="6"/>
  <c r="K79" i="19"/>
  <c r="AA358" i="6"/>
  <c r="M65" i="19"/>
  <c r="AA184" i="6"/>
  <c r="G67" i="18"/>
  <c r="V67" i="18" s="1"/>
  <c r="AA334" i="6"/>
  <c r="K66" i="19"/>
  <c r="X20" i="4"/>
  <c r="C50" i="11"/>
  <c r="T50" i="11" s="1"/>
  <c r="AA256" i="6"/>
  <c r="E63" i="19"/>
  <c r="AA146" i="6"/>
  <c r="E79" i="18"/>
  <c r="T79" i="18" s="1"/>
  <c r="G68" i="18"/>
  <c r="V68" i="18" s="1"/>
  <c r="AA185" i="6"/>
  <c r="AA271" i="6"/>
  <c r="E78" i="19"/>
  <c r="AA328" i="6"/>
  <c r="K60" i="19"/>
  <c r="C79" i="19"/>
  <c r="AA247" i="6"/>
  <c r="AA238" i="6"/>
  <c r="C70" i="19"/>
  <c r="X289" i="4"/>
  <c r="G43" i="19"/>
  <c r="X79" i="4"/>
  <c r="C33" i="18"/>
  <c r="R33" i="18" s="1"/>
  <c r="C38" i="11"/>
  <c r="T38" i="11" s="1"/>
  <c r="X8" i="4"/>
  <c r="AA295" i="6"/>
  <c r="G77" i="19"/>
  <c r="AA239" i="6"/>
  <c r="C71" i="19"/>
  <c r="AA317" i="6"/>
  <c r="I74" i="19"/>
  <c r="E81" i="18"/>
  <c r="T81" i="18" s="1"/>
  <c r="AA148" i="6"/>
  <c r="X13" i="4"/>
  <c r="C43" i="11"/>
  <c r="T43" i="11" s="1"/>
  <c r="I34" i="19"/>
  <c r="X305" i="4"/>
  <c r="AA167" i="6"/>
  <c r="G76" i="11"/>
  <c r="X76" i="11" s="1"/>
  <c r="AA203" i="6"/>
  <c r="I61" i="18"/>
  <c r="X61" i="18" s="1"/>
  <c r="X17" i="4"/>
  <c r="C47" i="11"/>
  <c r="T47" i="11" s="1"/>
  <c r="AA37" i="6"/>
  <c r="I71" i="11"/>
  <c r="Z71" i="11" s="1"/>
  <c r="AA255" i="6"/>
  <c r="E62" i="19"/>
  <c r="E78" i="18"/>
  <c r="T78" i="18" s="1"/>
  <c r="AA145" i="6"/>
  <c r="C62" i="19"/>
  <c r="AA230" i="6"/>
  <c r="AA214" i="6"/>
  <c r="I72" i="18"/>
  <c r="X72" i="18" s="1"/>
  <c r="AA359" i="6"/>
  <c r="M66" i="19"/>
  <c r="X78" i="4"/>
  <c r="C32" i="18"/>
  <c r="R32" i="18" s="1"/>
  <c r="AA371" i="6"/>
  <c r="M78" i="19"/>
  <c r="AA280" i="6"/>
  <c r="G62" i="19"/>
  <c r="X355" i="4"/>
  <c r="M34" i="19"/>
  <c r="X14" i="4"/>
  <c r="C44" i="11"/>
  <c r="T44" i="11" s="1"/>
  <c r="G64" i="11"/>
  <c r="X64" i="11" s="1"/>
  <c r="AA155" i="6"/>
  <c r="AA139" i="6"/>
  <c r="E72" i="18"/>
  <c r="T72" i="18" s="1"/>
  <c r="S233" i="20"/>
  <c r="T233" i="20" s="1"/>
  <c r="W233" i="20"/>
  <c r="X233" i="20" s="1"/>
  <c r="S12" i="20"/>
  <c r="T12" i="20" s="1"/>
  <c r="W12" i="20"/>
  <c r="X12" i="20" s="1"/>
  <c r="Y12" i="20" s="1"/>
  <c r="S19" i="20"/>
  <c r="T19" i="20" s="1"/>
  <c r="W19" i="20"/>
  <c r="X19" i="20" s="1"/>
  <c r="Y19" i="20" s="1"/>
  <c r="S17" i="22"/>
  <c r="T17" i="22" s="1"/>
  <c r="W17" i="22"/>
  <c r="X17" i="22" s="1"/>
  <c r="Y17" i="22" s="1"/>
  <c r="S270" i="4"/>
  <c r="T270" i="4" s="1"/>
  <c r="AA108" i="6"/>
  <c r="E67" i="11"/>
  <c r="V67" i="11" s="1"/>
  <c r="AA112" i="6"/>
  <c r="E71" i="11"/>
  <c r="V71" i="11" s="1"/>
  <c r="AA18" i="6"/>
  <c r="C77" i="11"/>
  <c r="T77" i="11" s="1"/>
  <c r="V340" i="6"/>
  <c r="W340" i="6" s="1"/>
  <c r="V247" i="6"/>
  <c r="W247" i="6" s="1"/>
  <c r="AA6" i="6"/>
  <c r="C65" i="11"/>
  <c r="T65" i="11" s="1"/>
  <c r="AA107" i="6"/>
  <c r="E66" i="11"/>
  <c r="V66" i="11" s="1"/>
  <c r="Z260" i="6"/>
  <c r="E67" i="19" s="1"/>
  <c r="AA21" i="6"/>
  <c r="C80" i="11"/>
  <c r="S68" i="20"/>
  <c r="T68" i="20" s="1"/>
  <c r="W68" i="20"/>
  <c r="X68" i="20" s="1"/>
  <c r="Y68" i="20" s="1"/>
  <c r="S225" i="22"/>
  <c r="T225" i="22" s="1"/>
  <c r="W225" i="22"/>
  <c r="X225" i="22" s="1"/>
  <c r="S88" i="20"/>
  <c r="T88" i="20" s="1"/>
  <c r="W88" i="20"/>
  <c r="X88" i="20" s="1"/>
  <c r="Y88" i="20" s="1"/>
  <c r="S277" i="20"/>
  <c r="T277" i="20" s="1"/>
  <c r="W277" i="20"/>
  <c r="X277" i="20" s="1"/>
  <c r="W58" i="20"/>
  <c r="X58" i="20" s="1"/>
  <c r="Y58" i="20" s="1"/>
  <c r="S58" i="20"/>
  <c r="T58" i="20" s="1"/>
  <c r="S77" i="20"/>
  <c r="T77" i="20" s="1"/>
  <c r="W77" i="20"/>
  <c r="X77" i="20" s="1"/>
  <c r="Y77" i="20" s="1"/>
  <c r="S81" i="22"/>
  <c r="T81" i="22" s="1"/>
  <c r="W81" i="22"/>
  <c r="X81" i="22" s="1"/>
  <c r="Y81" i="22" s="1"/>
  <c r="W360" i="20"/>
  <c r="X360" i="20" s="1"/>
  <c r="S360" i="20"/>
  <c r="T360" i="20" s="1"/>
  <c r="S31" i="22"/>
  <c r="T31" i="22" s="1"/>
  <c r="W31" i="22"/>
  <c r="X31" i="22" s="1"/>
  <c r="Y31" i="22" s="1"/>
  <c r="W67" i="20"/>
  <c r="X67" i="20" s="1"/>
  <c r="Y67" i="20" s="1"/>
  <c r="S67" i="20"/>
  <c r="T67" i="20" s="1"/>
  <c r="S344" i="22"/>
  <c r="T344" i="22" s="1"/>
  <c r="W344" i="22"/>
  <c r="X344" i="22" s="1"/>
  <c r="S261" i="22"/>
  <c r="T261" i="22" s="1"/>
  <c r="W261" i="22"/>
  <c r="X261" i="22" s="1"/>
  <c r="W106" i="20"/>
  <c r="X106" i="20" s="1"/>
  <c r="Y106" i="20" s="1"/>
  <c r="S106" i="20"/>
  <c r="T106" i="20" s="1"/>
  <c r="S9" i="22"/>
  <c r="T9" i="22" s="1"/>
  <c r="W9" i="22"/>
  <c r="X9" i="22" s="1"/>
  <c r="Y9" i="22" s="1"/>
  <c r="S245" i="20"/>
  <c r="T245" i="20" s="1"/>
  <c r="W245" i="20"/>
  <c r="X245" i="20" s="1"/>
  <c r="S9" i="20"/>
  <c r="T9" i="20" s="1"/>
  <c r="W9" i="20"/>
  <c r="X9" i="20" s="1"/>
  <c r="Y9" i="20" s="1"/>
  <c r="W311" i="22"/>
  <c r="X311" i="22" s="1"/>
  <c r="S311" i="22"/>
  <c r="T311" i="22" s="1"/>
  <c r="S304" i="20"/>
  <c r="T304" i="20" s="1"/>
  <c r="W304" i="20"/>
  <c r="X304" i="20" s="1"/>
  <c r="W174" i="22"/>
  <c r="X174" i="22" s="1"/>
  <c r="Y174" i="22" s="1"/>
  <c r="S174" i="22"/>
  <c r="T174" i="22" s="1"/>
  <c r="W13" i="20"/>
  <c r="X13" i="20" s="1"/>
  <c r="Y13" i="20" s="1"/>
  <c r="S13" i="20"/>
  <c r="T13" i="20" s="1"/>
  <c r="S339" i="22"/>
  <c r="T339" i="22" s="1"/>
  <c r="W339" i="22"/>
  <c r="X339" i="22" s="1"/>
  <c r="S191" i="20"/>
  <c r="T191" i="20" s="1"/>
  <c r="W191" i="20"/>
  <c r="X191" i="20" s="1"/>
  <c r="Y191" i="20" s="1"/>
  <c r="S18" i="20"/>
  <c r="T18" i="20" s="1"/>
  <c r="W18" i="20"/>
  <c r="X18" i="20" s="1"/>
  <c r="Y18" i="20" s="1"/>
  <c r="S175" i="20"/>
  <c r="T175" i="20" s="1"/>
  <c r="W175" i="20"/>
  <c r="X175" i="20" s="1"/>
  <c r="Y175" i="20" s="1"/>
  <c r="S58" i="22"/>
  <c r="T58" i="22" s="1"/>
  <c r="W58" i="22"/>
  <c r="X58" i="22" s="1"/>
  <c r="Y58" i="22" s="1"/>
  <c r="W340" i="20"/>
  <c r="X340" i="20" s="1"/>
  <c r="S340" i="20"/>
  <c r="T340" i="20" s="1"/>
  <c r="S55" i="20"/>
  <c r="T55" i="20" s="1"/>
  <c r="W55" i="20"/>
  <c r="X55" i="20" s="1"/>
  <c r="Y55" i="20" s="1"/>
  <c r="V158" i="6"/>
  <c r="W158" i="6" s="1"/>
  <c r="V372" i="6"/>
  <c r="W372" i="6" s="1"/>
  <c r="Z132" i="6"/>
  <c r="Z319" i="6"/>
  <c r="Z322" i="6"/>
  <c r="W65" i="4"/>
  <c r="V165" i="6"/>
  <c r="W165" i="6" s="1"/>
  <c r="Z237" i="6"/>
  <c r="W257" i="4"/>
  <c r="Z355" i="6"/>
  <c r="Z86" i="6"/>
  <c r="Z243" i="6"/>
  <c r="Z338" i="6"/>
  <c r="Z163" i="6"/>
  <c r="Z246" i="6"/>
  <c r="Z366" i="6"/>
  <c r="W243" i="4"/>
  <c r="Z314" i="6"/>
  <c r="W7" i="4"/>
  <c r="S38" i="22"/>
  <c r="T38" i="22" s="1"/>
  <c r="W38" i="22"/>
  <c r="X38" i="22" s="1"/>
  <c r="Y38" i="22" s="1"/>
  <c r="W19" i="22"/>
  <c r="X19" i="22" s="1"/>
  <c r="Y19" i="22" s="1"/>
  <c r="S19" i="22"/>
  <c r="T19" i="22" s="1"/>
  <c r="AA122" i="6"/>
  <c r="E81" i="11"/>
  <c r="V81" i="11" s="1"/>
  <c r="AA123" i="6"/>
  <c r="E82" i="11"/>
  <c r="V82" i="11" s="1"/>
  <c r="I71" i="18"/>
  <c r="X71" i="18" s="1"/>
  <c r="S253" i="22"/>
  <c r="T253" i="22" s="1"/>
  <c r="W253" i="22"/>
  <c r="X253" i="22" s="1"/>
  <c r="W36" i="20"/>
  <c r="X36" i="20" s="1"/>
  <c r="Y36" i="20" s="1"/>
  <c r="S36" i="20"/>
  <c r="T36" i="20" s="1"/>
  <c r="S39" i="22"/>
  <c r="T39" i="22" s="1"/>
  <c r="W39" i="22"/>
  <c r="X39" i="22" s="1"/>
  <c r="Y39" i="22" s="1"/>
  <c r="W333" i="20"/>
  <c r="X333" i="20" s="1"/>
  <c r="S333" i="20"/>
  <c r="T333" i="20" s="1"/>
  <c r="W313" i="20"/>
  <c r="X313" i="20" s="1"/>
  <c r="S313" i="20"/>
  <c r="T313" i="20" s="1"/>
  <c r="S78" i="20"/>
  <c r="T78" i="20" s="1"/>
  <c r="W78" i="20"/>
  <c r="X78" i="20" s="1"/>
  <c r="Y78" i="20" s="1"/>
  <c r="S116" i="22"/>
  <c r="T116" i="22" s="1"/>
  <c r="W116" i="22"/>
  <c r="X116" i="22" s="1"/>
  <c r="Y116" i="22" s="1"/>
  <c r="S115" i="20"/>
  <c r="T115" i="20" s="1"/>
  <c r="W115" i="20"/>
  <c r="X115" i="20" s="1"/>
  <c r="Y115" i="20" s="1"/>
  <c r="S76" i="22"/>
  <c r="T76" i="22" s="1"/>
  <c r="W76" i="22"/>
  <c r="X76" i="22" s="1"/>
  <c r="Y76" i="22" s="1"/>
  <c r="S117" i="20"/>
  <c r="T117" i="20" s="1"/>
  <c r="W117" i="20"/>
  <c r="X117" i="20" s="1"/>
  <c r="Y117" i="20" s="1"/>
  <c r="W61" i="22"/>
  <c r="X61" i="22" s="1"/>
  <c r="Y61" i="22" s="1"/>
  <c r="S61" i="22"/>
  <c r="T61" i="22" s="1"/>
  <c r="S284" i="20"/>
  <c r="T284" i="20" s="1"/>
  <c r="W284" i="20"/>
  <c r="X284" i="20" s="1"/>
  <c r="S304" i="22"/>
  <c r="T304" i="22" s="1"/>
  <c r="W304" i="22"/>
  <c r="X304" i="22" s="1"/>
  <c r="S176" i="20"/>
  <c r="T176" i="20" s="1"/>
  <c r="W176" i="20"/>
  <c r="X176" i="20" s="1"/>
  <c r="Y176" i="20" s="1"/>
  <c r="S5" i="20"/>
  <c r="T5" i="20" s="1"/>
  <c r="W5" i="20"/>
  <c r="X5" i="20" s="1"/>
  <c r="Y5" i="20" s="1"/>
  <c r="S331" i="22"/>
  <c r="T331" i="22" s="1"/>
  <c r="W331" i="22"/>
  <c r="X331" i="22" s="1"/>
  <c r="W105" i="22"/>
  <c r="X105" i="22" s="1"/>
  <c r="Y105" i="22" s="1"/>
  <c r="S105" i="22"/>
  <c r="T105" i="22" s="1"/>
  <c r="S70" i="22"/>
  <c r="T70" i="22" s="1"/>
  <c r="W70" i="22"/>
  <c r="X70" i="22" s="1"/>
  <c r="Y70" i="22" s="1"/>
  <c r="W81" i="20"/>
  <c r="X81" i="20" s="1"/>
  <c r="Y81" i="20" s="1"/>
  <c r="S81" i="20"/>
  <c r="T81" i="20" s="1"/>
  <c r="S99" i="22"/>
  <c r="T99" i="22" s="1"/>
  <c r="W99" i="22"/>
  <c r="X99" i="22" s="1"/>
  <c r="Y99" i="22" s="1"/>
  <c r="S100" i="22"/>
  <c r="T100" i="22" s="1"/>
  <c r="W100" i="22"/>
  <c r="X100" i="22" s="1"/>
  <c r="Y100" i="22" s="1"/>
  <c r="S332" i="20"/>
  <c r="T332" i="20" s="1"/>
  <c r="W332" i="20"/>
  <c r="X332" i="20" s="1"/>
  <c r="S244" i="22"/>
  <c r="T244" i="22" s="1"/>
  <c r="W244" i="22"/>
  <c r="X244" i="22" s="1"/>
  <c r="S191" i="22"/>
  <c r="T191" i="22" s="1"/>
  <c r="W191" i="22"/>
  <c r="X191" i="22" s="1"/>
  <c r="Y191" i="22" s="1"/>
  <c r="S303" i="22"/>
  <c r="T303" i="22" s="1"/>
  <c r="W303" i="22"/>
  <c r="X303" i="22" s="1"/>
  <c r="S10" i="22"/>
  <c r="T10" i="22" s="1"/>
  <c r="W10" i="22"/>
  <c r="X10" i="22" s="1"/>
  <c r="Y10" i="22" s="1"/>
  <c r="S164" i="20"/>
  <c r="T164" i="20" s="1"/>
  <c r="W164" i="20"/>
  <c r="X164" i="20" s="1"/>
  <c r="Y164" i="20" s="1"/>
  <c r="S87" i="22"/>
  <c r="T87" i="22" s="1"/>
  <c r="W87" i="22"/>
  <c r="X87" i="22" s="1"/>
  <c r="Y87" i="22" s="1"/>
  <c r="S104" i="22"/>
  <c r="T104" i="22" s="1"/>
  <c r="W104" i="22"/>
  <c r="X104" i="22" s="1"/>
  <c r="Y104" i="22" s="1"/>
  <c r="S209" i="22"/>
  <c r="T209" i="22" s="1"/>
  <c r="W209" i="22"/>
  <c r="X209" i="22" s="1"/>
  <c r="Y209" i="22" s="1"/>
  <c r="S332" i="22"/>
  <c r="T332" i="22" s="1"/>
  <c r="W332" i="22"/>
  <c r="X332" i="22" s="1"/>
  <c r="S128" i="22"/>
  <c r="T128" i="22" s="1"/>
  <c r="W128" i="22"/>
  <c r="X128" i="22" s="1"/>
  <c r="Y128" i="22" s="1"/>
  <c r="W18" i="22"/>
  <c r="X18" i="22" s="1"/>
  <c r="Y18" i="22" s="1"/>
  <c r="S18" i="22"/>
  <c r="T18" i="22" s="1"/>
  <c r="S147" i="22"/>
  <c r="T147" i="22" s="1"/>
  <c r="W147" i="22"/>
  <c r="X147" i="22" s="1"/>
  <c r="Y147" i="22" s="1"/>
  <c r="AA67" i="6"/>
  <c r="K76" i="11"/>
  <c r="AB76" i="11" s="1"/>
  <c r="S41" i="20"/>
  <c r="T41" i="20" s="1"/>
  <c r="W41" i="20"/>
  <c r="X41" i="20" s="1"/>
  <c r="Y41" i="20" s="1"/>
  <c r="W61" i="20"/>
  <c r="X61" i="20" s="1"/>
  <c r="Y61" i="20" s="1"/>
  <c r="S61" i="20"/>
  <c r="T61" i="20" s="1"/>
  <c r="W44" i="20"/>
  <c r="X44" i="20" s="1"/>
  <c r="Y44" i="20" s="1"/>
  <c r="S44" i="20"/>
  <c r="T44" i="20" s="1"/>
  <c r="AA103" i="6"/>
  <c r="E62" i="11"/>
  <c r="V62" i="11" s="1"/>
  <c r="AA17" i="6"/>
  <c r="C76" i="11"/>
  <c r="T76" i="11" s="1"/>
  <c r="AA46" i="6"/>
  <c r="I80" i="11"/>
  <c r="Z80" i="11" s="1"/>
  <c r="AA73" i="6"/>
  <c r="K82" i="11"/>
  <c r="AB82" i="11" s="1"/>
  <c r="V182" i="6"/>
  <c r="W182" i="6" s="1"/>
  <c r="AA57" i="6"/>
  <c r="K66" i="11"/>
  <c r="AB66" i="11" s="1"/>
  <c r="V262" i="6"/>
  <c r="W262" i="6" s="1"/>
  <c r="W161" i="4"/>
  <c r="X161" i="4" s="1"/>
  <c r="S11" i="4"/>
  <c r="T11" i="4" s="1"/>
  <c r="AA22" i="6"/>
  <c r="C81" i="11"/>
  <c r="T81" i="11" s="1"/>
  <c r="AA120" i="6"/>
  <c r="E79" i="11"/>
  <c r="V79" i="11" s="1"/>
  <c r="AA116" i="6"/>
  <c r="E75" i="11"/>
  <c r="V75" i="11" s="1"/>
  <c r="S80" i="20"/>
  <c r="T80" i="20" s="1"/>
  <c r="W80" i="20"/>
  <c r="X80" i="20" s="1"/>
  <c r="Y80" i="20" s="1"/>
  <c r="S86" i="22"/>
  <c r="T86" i="22" s="1"/>
  <c r="W86" i="22"/>
  <c r="X86" i="22" s="1"/>
  <c r="Y86" i="22" s="1"/>
  <c r="W90" i="20"/>
  <c r="X90" i="20" s="1"/>
  <c r="Y90" i="20" s="1"/>
  <c r="S90" i="20"/>
  <c r="T90" i="20" s="1"/>
  <c r="S252" i="22"/>
  <c r="T252" i="22" s="1"/>
  <c r="W252" i="22"/>
  <c r="X252" i="22" s="1"/>
  <c r="S5" i="22"/>
  <c r="T5" i="22" s="1"/>
  <c r="W5" i="22"/>
  <c r="X5" i="22" s="1"/>
  <c r="Y5" i="22" s="1"/>
  <c r="W224" i="22"/>
  <c r="X224" i="22" s="1"/>
  <c r="S224" i="22"/>
  <c r="T224" i="22" s="1"/>
  <c r="S183" i="22"/>
  <c r="T183" i="22" s="1"/>
  <c r="W183" i="22"/>
  <c r="X183" i="22" s="1"/>
  <c r="Y183" i="22" s="1"/>
  <c r="S60" i="20"/>
  <c r="T60" i="20" s="1"/>
  <c r="W60" i="20"/>
  <c r="X60" i="20" s="1"/>
  <c r="Y60" i="20" s="1"/>
  <c r="S253" i="20"/>
  <c r="T253" i="20" s="1"/>
  <c r="W253" i="20"/>
  <c r="X253" i="20" s="1"/>
  <c r="W163" i="22"/>
  <c r="X163" i="22" s="1"/>
  <c r="Y163" i="22" s="1"/>
  <c r="S163" i="22"/>
  <c r="T163" i="22" s="1"/>
  <c r="S245" i="22"/>
  <c r="T245" i="22" s="1"/>
  <c r="W245" i="22"/>
  <c r="X245" i="22" s="1"/>
  <c r="S295" i="22"/>
  <c r="T295" i="22" s="1"/>
  <c r="W295" i="22"/>
  <c r="X295" i="22" s="1"/>
  <c r="S93" i="20"/>
  <c r="T93" i="20" s="1"/>
  <c r="W93" i="20"/>
  <c r="X93" i="20" s="1"/>
  <c r="Y93" i="20" s="1"/>
  <c r="W246" i="20"/>
  <c r="X246" i="20" s="1"/>
  <c r="S246" i="20"/>
  <c r="T246" i="20" s="1"/>
  <c r="S13" i="22"/>
  <c r="T13" i="22" s="1"/>
  <c r="W13" i="22"/>
  <c r="X13" i="22" s="1"/>
  <c r="Y13" i="22" s="1"/>
  <c r="S34" i="20"/>
  <c r="T34" i="20" s="1"/>
  <c r="W34" i="20"/>
  <c r="X34" i="20" s="1"/>
  <c r="Y34" i="20" s="1"/>
  <c r="W297" i="20"/>
  <c r="X297" i="20" s="1"/>
  <c r="S297" i="20"/>
  <c r="T297" i="20" s="1"/>
  <c r="S43" i="22"/>
  <c r="T43" i="22" s="1"/>
  <c r="W43" i="22"/>
  <c r="X43" i="22" s="1"/>
  <c r="Y43" i="22" s="1"/>
  <c r="S32" i="22"/>
  <c r="T32" i="22" s="1"/>
  <c r="W32" i="22"/>
  <c r="X32" i="22" s="1"/>
  <c r="Y32" i="22" s="1"/>
  <c r="W129" i="22"/>
  <c r="X129" i="22" s="1"/>
  <c r="Y129" i="22" s="1"/>
  <c r="S129" i="22"/>
  <c r="T129" i="22" s="1"/>
  <c r="S96" i="20"/>
  <c r="T96" i="20" s="1"/>
  <c r="W96" i="20"/>
  <c r="X96" i="20" s="1"/>
  <c r="Y96" i="20" s="1"/>
  <c r="S260" i="22"/>
  <c r="T260" i="22" s="1"/>
  <c r="W260" i="22"/>
  <c r="X260" i="22" s="1"/>
  <c r="S33" i="20"/>
  <c r="T33" i="20" s="1"/>
  <c r="W33" i="20"/>
  <c r="X33" i="20" s="1"/>
  <c r="Y33" i="20" s="1"/>
  <c r="S351" i="22"/>
  <c r="T351" i="22" s="1"/>
  <c r="W351" i="22"/>
  <c r="X351" i="22" s="1"/>
  <c r="W201" i="22"/>
  <c r="X201" i="22" s="1"/>
  <c r="Y201" i="22" s="1"/>
  <c r="S201" i="22"/>
  <c r="T201" i="22" s="1"/>
  <c r="AA31" i="6"/>
  <c r="I65" i="11"/>
  <c r="Z65" i="11" s="1"/>
  <c r="AA47" i="6"/>
  <c r="I81" i="11"/>
  <c r="Z81" i="11" s="1"/>
  <c r="AA106" i="6"/>
  <c r="E65" i="11"/>
  <c r="V65" i="11" s="1"/>
  <c r="W111" i="22"/>
  <c r="X111" i="22" s="1"/>
  <c r="Y111" i="22" s="1"/>
  <c r="S111" i="22"/>
  <c r="T111" i="22" s="1"/>
  <c r="W262" i="20"/>
  <c r="X262" i="20" s="1"/>
  <c r="S262" i="20"/>
  <c r="T262" i="20" s="1"/>
  <c r="W10" i="20"/>
  <c r="X10" i="20" s="1"/>
  <c r="Y10" i="20" s="1"/>
  <c r="S10" i="20"/>
  <c r="T10" i="20" s="1"/>
  <c r="AA109" i="6"/>
  <c r="E68" i="11"/>
  <c r="V68" i="11" s="1"/>
  <c r="S198" i="4"/>
  <c r="T198" i="4" s="1"/>
  <c r="AA38" i="6"/>
  <c r="I72" i="11"/>
  <c r="Z72" i="11" s="1"/>
  <c r="AA10" i="6"/>
  <c r="C69" i="11"/>
  <c r="T69" i="11" s="1"/>
  <c r="AA11" i="6"/>
  <c r="C70" i="11"/>
  <c r="T70" i="11" s="1"/>
  <c r="AA71" i="6"/>
  <c r="K80" i="11"/>
  <c r="AB80" i="11" s="1"/>
  <c r="AA13" i="6"/>
  <c r="C72" i="11"/>
  <c r="T72" i="11" s="1"/>
  <c r="W84" i="4"/>
  <c r="X84" i="4" s="1"/>
  <c r="AA114" i="6"/>
  <c r="E73" i="11"/>
  <c r="V73" i="11" s="1"/>
  <c r="AA121" i="6"/>
  <c r="E80" i="11"/>
  <c r="V80" i="11" s="1"/>
  <c r="E77" i="18"/>
  <c r="T77" i="18" s="1"/>
  <c r="C77" i="18"/>
  <c r="R77" i="18" s="1"/>
  <c r="I37" i="19"/>
  <c r="G36" i="11"/>
  <c r="X36" i="11" s="1"/>
  <c r="G70" i="19"/>
  <c r="G71" i="19"/>
  <c r="E70" i="18"/>
  <c r="T70" i="18" s="1"/>
  <c r="S323" i="22"/>
  <c r="T323" i="22" s="1"/>
  <c r="W323" i="22"/>
  <c r="X323" i="22" s="1"/>
  <c r="S210" i="20"/>
  <c r="T210" i="20" s="1"/>
  <c r="W210" i="20"/>
  <c r="X210" i="20" s="1"/>
  <c r="Y210" i="20" s="1"/>
  <c r="S8" i="22"/>
  <c r="T8" i="22" s="1"/>
  <c r="W8" i="22"/>
  <c r="X8" i="22" s="1"/>
  <c r="Y8" i="22" s="1"/>
  <c r="S234" i="20"/>
  <c r="T234" i="20" s="1"/>
  <c r="W234" i="20"/>
  <c r="X234" i="20" s="1"/>
  <c r="S324" i="20"/>
  <c r="T324" i="20" s="1"/>
  <c r="W324" i="20"/>
  <c r="X324" i="20" s="1"/>
  <c r="W57" i="22"/>
  <c r="X57" i="22" s="1"/>
  <c r="Y57" i="22" s="1"/>
  <c r="S57" i="22"/>
  <c r="T57" i="22" s="1"/>
  <c r="S39" i="20"/>
  <c r="T39" i="20" s="1"/>
  <c r="W39" i="20"/>
  <c r="X39" i="20" s="1"/>
  <c r="Y39" i="20" s="1"/>
  <c r="W40" i="20"/>
  <c r="X40" i="20" s="1"/>
  <c r="Y40" i="20" s="1"/>
  <c r="S40" i="20"/>
  <c r="T40" i="20" s="1"/>
  <c r="W127" i="20"/>
  <c r="X127" i="20" s="1"/>
  <c r="Y127" i="20" s="1"/>
  <c r="S127" i="20"/>
  <c r="T127" i="20" s="1"/>
  <c r="S93" i="22"/>
  <c r="T93" i="22" s="1"/>
  <c r="W93" i="22"/>
  <c r="X93" i="22" s="1"/>
  <c r="Y93" i="22" s="1"/>
  <c r="W92" i="22"/>
  <c r="X92" i="22" s="1"/>
  <c r="Y92" i="22" s="1"/>
  <c r="S92" i="22"/>
  <c r="T92" i="22" s="1"/>
  <c r="W345" i="20"/>
  <c r="X345" i="20" s="1"/>
  <c r="S345" i="20"/>
  <c r="T345" i="20" s="1"/>
  <c r="S296" i="22"/>
  <c r="T296" i="22" s="1"/>
  <c r="W296" i="22"/>
  <c r="X296" i="22" s="1"/>
  <c r="S95" i="20"/>
  <c r="T95" i="20" s="1"/>
  <c r="W95" i="20"/>
  <c r="X95" i="20" s="1"/>
  <c r="Y95" i="20" s="1"/>
  <c r="W113" i="22"/>
  <c r="X113" i="22" s="1"/>
  <c r="Y113" i="22" s="1"/>
  <c r="S113" i="22"/>
  <c r="T113" i="22" s="1"/>
  <c r="W296" i="20"/>
  <c r="X296" i="20" s="1"/>
  <c r="S296" i="20"/>
  <c r="T296" i="20" s="1"/>
  <c r="S79" i="20"/>
  <c r="T79" i="20" s="1"/>
  <c r="W79" i="20"/>
  <c r="X79" i="20" s="1"/>
  <c r="Y79" i="20" s="1"/>
  <c r="S175" i="22"/>
  <c r="T175" i="22" s="1"/>
  <c r="W175" i="22"/>
  <c r="X175" i="22" s="1"/>
  <c r="Y175" i="22" s="1"/>
  <c r="W312" i="20"/>
  <c r="X312" i="20" s="1"/>
  <c r="S312" i="20"/>
  <c r="T312" i="20" s="1"/>
  <c r="S203" i="20"/>
  <c r="T203" i="20" s="1"/>
  <c r="W203" i="20"/>
  <c r="X203" i="20" s="1"/>
  <c r="Y203" i="20" s="1"/>
  <c r="W100" i="20"/>
  <c r="X100" i="20" s="1"/>
  <c r="Y100" i="20" s="1"/>
  <c r="S100" i="20"/>
  <c r="T100" i="20" s="1"/>
  <c r="S233" i="22"/>
  <c r="T233" i="22" s="1"/>
  <c r="W233" i="22"/>
  <c r="X233" i="22" s="1"/>
  <c r="AA9" i="6"/>
  <c r="C68" i="11"/>
  <c r="T68" i="11" s="1"/>
  <c r="W107" i="20"/>
  <c r="X107" i="20" s="1"/>
  <c r="Y107" i="20" s="1"/>
  <c r="S107" i="20"/>
  <c r="T107" i="20" s="1"/>
  <c r="W69" i="20"/>
  <c r="X69" i="20" s="1"/>
  <c r="Y69" i="20" s="1"/>
  <c r="S69" i="20"/>
  <c r="T69" i="20" s="1"/>
  <c r="S47" i="22"/>
  <c r="T47" i="22" s="1"/>
  <c r="W47" i="22"/>
  <c r="X47" i="22" s="1"/>
  <c r="Y47" i="22" s="1"/>
  <c r="W71" i="20"/>
  <c r="X71" i="20" s="1"/>
  <c r="Y71" i="20" s="1"/>
  <c r="S71" i="20"/>
  <c r="T71" i="20" s="1"/>
  <c r="S21" i="22"/>
  <c r="T21" i="22" s="1"/>
  <c r="W21" i="22"/>
  <c r="X21" i="22" s="1"/>
  <c r="Y21" i="22" s="1"/>
  <c r="S189" i="4"/>
  <c r="T189" i="4" s="1"/>
  <c r="S141" i="4"/>
  <c r="T141" i="4" s="1"/>
  <c r="AA110" i="6"/>
  <c r="E69" i="11"/>
  <c r="V69" i="11" s="1"/>
  <c r="AA65" i="6"/>
  <c r="K74" i="11"/>
  <c r="AB74" i="11" s="1"/>
  <c r="AA104" i="6"/>
  <c r="E63" i="11"/>
  <c r="V63" i="11" s="1"/>
  <c r="AA66" i="6"/>
  <c r="K75" i="11"/>
  <c r="AB75" i="11" s="1"/>
  <c r="AA58" i="6"/>
  <c r="K67" i="11"/>
  <c r="AB67" i="11" s="1"/>
  <c r="V19" i="6"/>
  <c r="W19" i="6" s="1"/>
  <c r="AA4" i="6"/>
  <c r="C63" i="11"/>
  <c r="T63" i="11" s="1"/>
  <c r="AA111" i="6"/>
  <c r="E70" i="11"/>
  <c r="V70" i="11" s="1"/>
  <c r="I80" i="18"/>
  <c r="X80" i="18" s="1"/>
  <c r="G66" i="11"/>
  <c r="X66" i="11" s="1"/>
  <c r="S116" i="20"/>
  <c r="T116" i="20" s="1"/>
  <c r="W116" i="20"/>
  <c r="X116" i="20" s="1"/>
  <c r="Y116" i="20" s="1"/>
  <c r="S112" i="22"/>
  <c r="T112" i="22" s="1"/>
  <c r="W112" i="22"/>
  <c r="X112" i="22" s="1"/>
  <c r="Y112" i="22" s="1"/>
  <c r="W283" i="22"/>
  <c r="X283" i="22" s="1"/>
  <c r="S283" i="22"/>
  <c r="T283" i="22" s="1"/>
  <c r="W42" i="22"/>
  <c r="X42" i="22" s="1"/>
  <c r="Y42" i="22" s="1"/>
  <c r="S42" i="22"/>
  <c r="T42" i="22" s="1"/>
  <c r="W12" i="22"/>
  <c r="X12" i="22" s="1"/>
  <c r="Y12" i="22" s="1"/>
  <c r="S12" i="22"/>
  <c r="T12" i="22" s="1"/>
  <c r="S80" i="22"/>
  <c r="T80" i="22" s="1"/>
  <c r="W80" i="22"/>
  <c r="X80" i="22" s="1"/>
  <c r="Y80" i="22" s="1"/>
  <c r="S85" i="22"/>
  <c r="T85" i="22" s="1"/>
  <c r="W85" i="22"/>
  <c r="X85" i="22" s="1"/>
  <c r="Y85" i="22" s="1"/>
  <c r="S225" i="20"/>
  <c r="T225" i="20" s="1"/>
  <c r="W225" i="20"/>
  <c r="X225" i="20" s="1"/>
  <c r="W32" i="20"/>
  <c r="X32" i="20" s="1"/>
  <c r="Y32" i="20" s="1"/>
  <c r="S32" i="20"/>
  <c r="T32" i="20" s="1"/>
  <c r="W86" i="20"/>
  <c r="X86" i="20" s="1"/>
  <c r="Y86" i="20" s="1"/>
  <c r="S86" i="20"/>
  <c r="T86" i="20" s="1"/>
  <c r="W94" i="20"/>
  <c r="X94" i="20" s="1"/>
  <c r="Y94" i="20" s="1"/>
  <c r="S94" i="20"/>
  <c r="T94" i="20" s="1"/>
  <c r="S48" i="20"/>
  <c r="T48" i="20" s="1"/>
  <c r="W48" i="20"/>
  <c r="X48" i="20" s="1"/>
  <c r="Y48" i="20" s="1"/>
  <c r="S108" i="22"/>
  <c r="T108" i="22" s="1"/>
  <c r="W108" i="22"/>
  <c r="X108" i="22" s="1"/>
  <c r="Y108" i="22" s="1"/>
  <c r="W157" i="20"/>
  <c r="X157" i="20" s="1"/>
  <c r="Y157" i="20" s="1"/>
  <c r="S157" i="20"/>
  <c r="T157" i="20" s="1"/>
  <c r="S109" i="20"/>
  <c r="T109" i="20" s="1"/>
  <c r="W109" i="20"/>
  <c r="X109" i="20" s="1"/>
  <c r="Y109" i="20" s="1"/>
  <c r="S28" i="20"/>
  <c r="T28" i="20" s="1"/>
  <c r="W28" i="20"/>
  <c r="X28" i="20" s="1"/>
  <c r="Y28" i="20" s="1"/>
  <c r="W21" i="20"/>
  <c r="X21" i="20" s="1"/>
  <c r="Y21" i="20" s="1"/>
  <c r="S21" i="20"/>
  <c r="T21" i="20" s="1"/>
  <c r="S285" i="20"/>
  <c r="T285" i="20" s="1"/>
  <c r="W285" i="20"/>
  <c r="X285" i="20" s="1"/>
  <c r="S35" i="22"/>
  <c r="T35" i="22" s="1"/>
  <c r="W35" i="22"/>
  <c r="X35" i="22" s="1"/>
  <c r="Y35" i="22" s="1"/>
  <c r="S115" i="22"/>
  <c r="T115" i="22" s="1"/>
  <c r="W115" i="22"/>
  <c r="X115" i="22" s="1"/>
  <c r="Y115" i="22" s="1"/>
  <c r="S77" i="22"/>
  <c r="T77" i="22" s="1"/>
  <c r="W77" i="22"/>
  <c r="X77" i="22" s="1"/>
  <c r="Y77" i="22" s="1"/>
  <c r="S276" i="22"/>
  <c r="T276" i="22" s="1"/>
  <c r="W276" i="22"/>
  <c r="X276" i="22" s="1"/>
  <c r="V220" i="6"/>
  <c r="W220" i="6" s="1"/>
  <c r="AA43" i="6"/>
  <c r="I77" i="11"/>
  <c r="Z77" i="11" s="1"/>
  <c r="AA7" i="6"/>
  <c r="C66" i="11"/>
  <c r="T66" i="11" s="1"/>
  <c r="S359" i="22"/>
  <c r="T359" i="22" s="1"/>
  <c r="W359" i="22"/>
  <c r="X359" i="22" s="1"/>
  <c r="S164" i="22"/>
  <c r="T164" i="22" s="1"/>
  <c r="W164" i="22"/>
  <c r="X164" i="22" s="1"/>
  <c r="Y164" i="22" s="1"/>
  <c r="S202" i="22"/>
  <c r="T202" i="22" s="1"/>
  <c r="W202" i="22"/>
  <c r="X202" i="22" s="1"/>
  <c r="Y202" i="22" s="1"/>
  <c r="AA12" i="6"/>
  <c r="C71" i="11"/>
  <c r="T71" i="11" s="1"/>
  <c r="AA15" i="6"/>
  <c r="C74" i="11"/>
  <c r="T74" i="11" s="1"/>
  <c r="AA113" i="6"/>
  <c r="E72" i="11"/>
  <c r="V72" i="11" s="1"/>
  <c r="G78" i="18"/>
  <c r="V78" i="18" s="1"/>
  <c r="C76" i="18"/>
  <c r="R76" i="18" s="1"/>
  <c r="I80" i="19"/>
  <c r="S275" i="22"/>
  <c r="T275" i="22" s="1"/>
  <c r="W275" i="22"/>
  <c r="X275" i="22" s="1"/>
  <c r="S352" i="20"/>
  <c r="T352" i="20" s="1"/>
  <c r="W352" i="20"/>
  <c r="X352" i="20" s="1"/>
  <c r="W129" i="20"/>
  <c r="X129" i="20" s="1"/>
  <c r="Y129" i="20" s="1"/>
  <c r="S129" i="20"/>
  <c r="T129" i="20" s="1"/>
  <c r="W202" i="20"/>
  <c r="X202" i="20" s="1"/>
  <c r="Y202" i="20" s="1"/>
  <c r="S202" i="20"/>
  <c r="T202" i="20" s="1"/>
  <c r="S148" i="20"/>
  <c r="T148" i="20" s="1"/>
  <c r="W148" i="20"/>
  <c r="X148" i="20" s="1"/>
  <c r="Y148" i="20" s="1"/>
  <c r="S276" i="20"/>
  <c r="T276" i="20" s="1"/>
  <c r="W276" i="20"/>
  <c r="X276" i="20" s="1"/>
  <c r="S136" i="22"/>
  <c r="T136" i="22" s="1"/>
  <c r="W136" i="22"/>
  <c r="X136" i="22" s="1"/>
  <c r="Y136" i="22" s="1"/>
  <c r="W113" i="20"/>
  <c r="X113" i="20" s="1"/>
  <c r="Y113" i="20" s="1"/>
  <c r="S113" i="20"/>
  <c r="T113" i="20" s="1"/>
  <c r="S353" i="20"/>
  <c r="T353" i="20" s="1"/>
  <c r="W353" i="20"/>
  <c r="X353" i="20" s="1"/>
  <c r="S11" i="22"/>
  <c r="T11" i="22" s="1"/>
  <c r="W11" i="22"/>
  <c r="X11" i="22" s="1"/>
  <c r="Y11" i="22" s="1"/>
  <c r="W42" i="20"/>
  <c r="X42" i="20" s="1"/>
  <c r="Y42" i="20" s="1"/>
  <c r="S42" i="20"/>
  <c r="T42" i="20" s="1"/>
  <c r="S43" i="20"/>
  <c r="T43" i="20" s="1"/>
  <c r="W43" i="20"/>
  <c r="X43" i="20" s="1"/>
  <c r="Y43" i="20" s="1"/>
  <c r="S360" i="22"/>
  <c r="T360" i="22" s="1"/>
  <c r="W360" i="22"/>
  <c r="X360" i="22" s="1"/>
  <c r="S54" i="22"/>
  <c r="T54" i="22" s="1"/>
  <c r="W54" i="22"/>
  <c r="X54" i="22" s="1"/>
  <c r="Y54" i="22" s="1"/>
  <c r="S82" i="20"/>
  <c r="T82" i="20" s="1"/>
  <c r="W82" i="20"/>
  <c r="X82" i="20" s="1"/>
  <c r="Y82" i="20" s="1"/>
  <c r="S11" i="20"/>
  <c r="T11" i="20" s="1"/>
  <c r="W11" i="20"/>
  <c r="X11" i="20" s="1"/>
  <c r="Y11" i="20" s="1"/>
  <c r="S156" i="22"/>
  <c r="T156" i="22" s="1"/>
  <c r="W156" i="22"/>
  <c r="X156" i="22" s="1"/>
  <c r="Y156" i="22" s="1"/>
  <c r="S95" i="22"/>
  <c r="T95" i="22" s="1"/>
  <c r="W95" i="22"/>
  <c r="X95" i="22" s="1"/>
  <c r="Y95" i="22" s="1"/>
  <c r="W33" i="22"/>
  <c r="X33" i="22" s="1"/>
  <c r="Y33" i="22" s="1"/>
  <c r="S33" i="22"/>
  <c r="T33" i="22" s="1"/>
  <c r="W78" i="22"/>
  <c r="X78" i="22" s="1"/>
  <c r="Y78" i="22" s="1"/>
  <c r="S78" i="22"/>
  <c r="T78" i="22" s="1"/>
  <c r="S192" i="20"/>
  <c r="T192" i="20" s="1"/>
  <c r="W192" i="20"/>
  <c r="X192" i="20" s="1"/>
  <c r="Y192" i="20" s="1"/>
  <c r="S284" i="22"/>
  <c r="T284" i="22" s="1"/>
  <c r="W284" i="22"/>
  <c r="X284" i="22" s="1"/>
  <c r="W155" i="22"/>
  <c r="X155" i="22" s="1"/>
  <c r="Y155" i="22" s="1"/>
  <c r="S155" i="22"/>
  <c r="T155" i="22" s="1"/>
  <c r="W114" i="20"/>
  <c r="X114" i="20" s="1"/>
  <c r="Y114" i="20" s="1"/>
  <c r="S114" i="20"/>
  <c r="T114" i="20" s="1"/>
  <c r="W63" i="20"/>
  <c r="X63" i="20" s="1"/>
  <c r="Y63" i="20" s="1"/>
  <c r="S63" i="20"/>
  <c r="T63" i="20" s="1"/>
  <c r="S232" i="22"/>
  <c r="T232" i="22" s="1"/>
  <c r="W232" i="22"/>
  <c r="X232" i="22" s="1"/>
  <c r="S149" i="20"/>
  <c r="T149" i="20" s="1"/>
  <c r="W149" i="20"/>
  <c r="X149" i="20" s="1"/>
  <c r="Y149" i="20" s="1"/>
  <c r="W130" i="20"/>
  <c r="X130" i="20" s="1"/>
  <c r="Y130" i="20" s="1"/>
  <c r="S130" i="20"/>
  <c r="T130" i="20" s="1"/>
  <c r="W156" i="20"/>
  <c r="X156" i="20" s="1"/>
  <c r="Y156" i="20" s="1"/>
  <c r="S156" i="20"/>
  <c r="T156" i="20" s="1"/>
  <c r="S17" i="20"/>
  <c r="T17" i="20" s="1"/>
  <c r="W17" i="20"/>
  <c r="X17" i="20" s="1"/>
  <c r="Y17" i="20" s="1"/>
  <c r="W254" i="20"/>
  <c r="X254" i="20" s="1"/>
  <c r="S254" i="20"/>
  <c r="T254" i="20" s="1"/>
  <c r="S8" i="20"/>
  <c r="T8" i="20" s="1"/>
  <c r="W8" i="20"/>
  <c r="X8" i="20" s="1"/>
  <c r="Y8" i="20" s="1"/>
  <c r="W184" i="20"/>
  <c r="X184" i="20" s="1"/>
  <c r="Y184" i="20" s="1"/>
  <c r="S184" i="20"/>
  <c r="T184" i="20" s="1"/>
  <c r="S94" i="22"/>
  <c r="T94" i="22" s="1"/>
  <c r="W94" i="22"/>
  <c r="X94" i="22" s="1"/>
  <c r="Y94" i="22" s="1"/>
  <c r="S183" i="20"/>
  <c r="T183" i="20" s="1"/>
  <c r="W183" i="20"/>
  <c r="X183" i="20" s="1"/>
  <c r="Y183" i="20" s="1"/>
  <c r="AA45" i="6"/>
  <c r="I79" i="11"/>
  <c r="Z79" i="11" s="1"/>
  <c r="AA30" i="6"/>
  <c r="I64" i="11"/>
  <c r="Z64" i="11" s="1"/>
  <c r="AA55" i="6"/>
  <c r="K64" i="11"/>
  <c r="AB64" i="11" s="1"/>
  <c r="AA118" i="6"/>
  <c r="E77" i="11"/>
  <c r="V77" i="11" s="1"/>
  <c r="AA14" i="6"/>
  <c r="C73" i="11"/>
  <c r="T73" i="11" s="1"/>
  <c r="AA8" i="6"/>
  <c r="C67" i="11"/>
  <c r="T67" i="11" s="1"/>
  <c r="S261" i="20"/>
  <c r="T261" i="20" s="1"/>
  <c r="W261" i="20"/>
  <c r="X261" i="20" s="1"/>
  <c r="S89" i="22"/>
  <c r="T89" i="22" s="1"/>
  <c r="W89" i="22"/>
  <c r="X89" i="22" s="1"/>
  <c r="Y89" i="22" s="1"/>
  <c r="S226" i="20"/>
  <c r="T226" i="20" s="1"/>
  <c r="W226" i="20"/>
  <c r="X226" i="20" s="1"/>
  <c r="S211" i="20"/>
  <c r="T211" i="20" s="1"/>
  <c r="W211" i="20"/>
  <c r="X211" i="20" s="1"/>
  <c r="Y211" i="20" s="1"/>
  <c r="W126" i="22"/>
  <c r="X126" i="22" s="1"/>
  <c r="Y126" i="22" s="1"/>
  <c r="S126" i="22"/>
  <c r="T126" i="22" s="1"/>
  <c r="S352" i="22"/>
  <c r="T352" i="22" s="1"/>
  <c r="W352" i="22"/>
  <c r="X352" i="22" s="1"/>
  <c r="W59" i="22"/>
  <c r="X59" i="22" s="1"/>
  <c r="Y59" i="22" s="1"/>
  <c r="S59" i="22"/>
  <c r="T59" i="22" s="1"/>
  <c r="W41" i="22"/>
  <c r="X41" i="22" s="1"/>
  <c r="Y41" i="22" s="1"/>
  <c r="S41" i="22"/>
  <c r="T41" i="22" s="1"/>
  <c r="S324" i="22"/>
  <c r="T324" i="22" s="1"/>
  <c r="W324" i="22"/>
  <c r="X324" i="22" s="1"/>
  <c r="W87" i="20"/>
  <c r="X87" i="20" s="1"/>
  <c r="Y87" i="20" s="1"/>
  <c r="S87" i="20"/>
  <c r="T87" i="20" s="1"/>
  <c r="W325" i="20"/>
  <c r="X325" i="20" s="1"/>
  <c r="S325" i="20"/>
  <c r="T325" i="20" s="1"/>
  <c r="W40" i="22"/>
  <c r="X40" i="22" s="1"/>
  <c r="Y40" i="22" s="1"/>
  <c r="S40" i="22"/>
  <c r="T40" i="22" s="1"/>
  <c r="S137" i="20"/>
  <c r="T137" i="20" s="1"/>
  <c r="W137" i="20"/>
  <c r="X137" i="20" s="1"/>
  <c r="Y137" i="20" s="1"/>
  <c r="S62" i="20"/>
  <c r="T62" i="20" s="1"/>
  <c r="W62" i="20"/>
  <c r="X62" i="20" s="1"/>
  <c r="Y62" i="20" s="1"/>
  <c r="W305" i="20"/>
  <c r="X305" i="20" s="1"/>
  <c r="S305" i="20"/>
  <c r="T305" i="20" s="1"/>
  <c r="W361" i="20"/>
  <c r="X361" i="20" s="1"/>
  <c r="S361" i="20"/>
  <c r="T361" i="20" s="1"/>
  <c r="S60" i="22"/>
  <c r="T60" i="22" s="1"/>
  <c r="W60" i="22"/>
  <c r="X60" i="22" s="1"/>
  <c r="Y60" i="22" s="1"/>
  <c r="S165" i="20"/>
  <c r="T165" i="20" s="1"/>
  <c r="W165" i="20"/>
  <c r="X165" i="20" s="1"/>
  <c r="Y165" i="20" s="1"/>
  <c r="S137" i="22"/>
  <c r="T137" i="22" s="1"/>
  <c r="W137" i="22"/>
  <c r="X137" i="22" s="1"/>
  <c r="Y137" i="22" s="1"/>
  <c r="W112" i="20"/>
  <c r="X112" i="20" s="1"/>
  <c r="Y112" i="20" s="1"/>
  <c r="S112" i="20"/>
  <c r="T112" i="20" s="1"/>
  <c r="S27" i="22"/>
  <c r="T27" i="22" s="1"/>
  <c r="W27" i="22"/>
  <c r="X27" i="22" s="1"/>
  <c r="Y27" i="22" s="1"/>
  <c r="W59" i="20"/>
  <c r="X59" i="20" s="1"/>
  <c r="Y59" i="20" s="1"/>
  <c r="S59" i="20"/>
  <c r="T59" i="20" s="1"/>
  <c r="S138" i="20"/>
  <c r="T138" i="20" s="1"/>
  <c r="W138" i="20"/>
  <c r="X138" i="20" s="1"/>
  <c r="Y138" i="20" s="1"/>
  <c r="W190" i="22"/>
  <c r="X190" i="22" s="1"/>
  <c r="Y190" i="22" s="1"/>
  <c r="S190" i="22"/>
  <c r="T190" i="22" s="1"/>
  <c r="W148" i="22"/>
  <c r="X148" i="22" s="1"/>
  <c r="Y148" i="22" s="1"/>
  <c r="S148" i="22"/>
  <c r="T148" i="22" s="1"/>
  <c r="W182" i="22"/>
  <c r="X182" i="22" s="1"/>
  <c r="Y182" i="22" s="1"/>
  <c r="S182" i="22"/>
  <c r="T182" i="22" s="1"/>
  <c r="W67" i="22"/>
  <c r="X67" i="22" s="1"/>
  <c r="Y67" i="22" s="1"/>
  <c r="S67" i="22"/>
  <c r="T67" i="22" s="1"/>
  <c r="S312" i="22"/>
  <c r="T312" i="22" s="1"/>
  <c r="W312" i="22"/>
  <c r="X312" i="22" s="1"/>
  <c r="W206" i="4"/>
  <c r="X234" i="4"/>
  <c r="C38" i="19"/>
  <c r="X218" i="4"/>
  <c r="I47" i="18"/>
  <c r="X47" i="18" s="1"/>
  <c r="X270" i="4"/>
  <c r="E49" i="19"/>
  <c r="AA133" i="6"/>
  <c r="E66" i="18"/>
  <c r="T66" i="18" s="1"/>
  <c r="AA165" i="6"/>
  <c r="G74" i="11"/>
  <c r="X74" i="11" s="1"/>
  <c r="X56" i="4"/>
  <c r="K36" i="11"/>
  <c r="AB36" i="11" s="1"/>
  <c r="X38" i="4"/>
  <c r="I43" i="11"/>
  <c r="Z43" i="11" s="1"/>
  <c r="X316" i="4"/>
  <c r="I45" i="19"/>
  <c r="X116" i="4"/>
  <c r="E46" i="11"/>
  <c r="V46" i="11" s="1"/>
  <c r="X160" i="4"/>
  <c r="G40" i="11"/>
  <c r="X40" i="11" s="1"/>
  <c r="X373" i="4"/>
  <c r="M52" i="19"/>
  <c r="X314" i="4"/>
  <c r="I43" i="19"/>
  <c r="X353" i="4"/>
  <c r="M32" i="19"/>
  <c r="X219" i="4"/>
  <c r="I48" i="18"/>
  <c r="X48" i="18" s="1"/>
  <c r="X186" i="4"/>
  <c r="G40" i="18"/>
  <c r="V40" i="18" s="1"/>
  <c r="X129" i="4"/>
  <c r="E33" i="18"/>
  <c r="T33" i="18" s="1"/>
  <c r="X213" i="4"/>
  <c r="I42" i="18"/>
  <c r="X42" i="18" s="1"/>
  <c r="X240" i="4"/>
  <c r="C44" i="19"/>
  <c r="X359" i="4"/>
  <c r="M38" i="19"/>
  <c r="X87" i="4"/>
  <c r="C41" i="18"/>
  <c r="R41" i="18" s="1"/>
  <c r="X188" i="4"/>
  <c r="G42" i="18"/>
  <c r="V42" i="18" s="1"/>
  <c r="AA372" i="6"/>
  <c r="M79" i="19"/>
  <c r="X104" i="4"/>
  <c r="E34" i="11"/>
  <c r="AA293" i="6"/>
  <c r="G75" i="19"/>
  <c r="X285" i="4"/>
  <c r="G39" i="19"/>
  <c r="X242" i="4"/>
  <c r="C46" i="19"/>
  <c r="X134" i="4"/>
  <c r="E38" i="18"/>
  <c r="T38" i="18" s="1"/>
  <c r="X118" i="4"/>
  <c r="E48" i="11"/>
  <c r="V48" i="11" s="1"/>
  <c r="X83" i="4"/>
  <c r="C37" i="18"/>
  <c r="R37" i="18" s="1"/>
  <c r="X18" i="4"/>
  <c r="C48" i="11"/>
  <c r="T48" i="11" s="1"/>
  <c r="X170" i="4"/>
  <c r="G50" i="11"/>
  <c r="X50" i="11" s="1"/>
  <c r="X361" i="4"/>
  <c r="M40" i="19"/>
  <c r="X217" i="4"/>
  <c r="I46" i="18"/>
  <c r="X46" i="18" s="1"/>
  <c r="X181" i="4"/>
  <c r="G35" i="18"/>
  <c r="V35" i="18" s="1"/>
  <c r="X108" i="4"/>
  <c r="E38" i="11"/>
  <c r="V38" i="11" s="1"/>
  <c r="X369" i="4"/>
  <c r="M48" i="19"/>
  <c r="X142" i="4"/>
  <c r="E46" i="18"/>
  <c r="T46" i="18" s="1"/>
  <c r="X141" i="4"/>
  <c r="E45" i="18"/>
  <c r="T45" i="18" s="1"/>
  <c r="X131" i="4"/>
  <c r="E35" i="18"/>
  <c r="T35" i="18" s="1"/>
  <c r="AA89" i="6"/>
  <c r="C72" i="18"/>
  <c r="R72" i="18" s="1"/>
  <c r="AA181" i="6"/>
  <c r="G64" i="18"/>
  <c r="V64" i="18" s="1"/>
  <c r="AA131" i="6"/>
  <c r="E64" i="18"/>
  <c r="T64" i="18" s="1"/>
  <c r="AA98" i="6"/>
  <c r="C81" i="18"/>
  <c r="R81" i="18" s="1"/>
  <c r="AA153" i="6"/>
  <c r="G62" i="11"/>
  <c r="X62" i="11" s="1"/>
  <c r="AA198" i="6"/>
  <c r="AA83" i="6"/>
  <c r="C66" i="18"/>
  <c r="R66" i="18" s="1"/>
  <c r="AA88" i="6"/>
  <c r="C71" i="18"/>
  <c r="R71" i="18" s="1"/>
  <c r="AA97" i="6"/>
  <c r="C80" i="18"/>
  <c r="R80" i="18" s="1"/>
  <c r="AA84" i="6"/>
  <c r="C67" i="18"/>
  <c r="R67" i="18" s="1"/>
  <c r="AA80" i="6"/>
  <c r="C63" i="18"/>
  <c r="R63" i="18" s="1"/>
  <c r="AA242" i="6"/>
  <c r="C74" i="19"/>
  <c r="AA253" i="6"/>
  <c r="E60" i="19"/>
  <c r="AA269" i="6"/>
  <c r="E76" i="19"/>
  <c r="AA313" i="6"/>
  <c r="I70" i="19"/>
  <c r="AA305" i="6"/>
  <c r="I62" i="19"/>
  <c r="AA341" i="6"/>
  <c r="K73" i="19"/>
  <c r="AA340" i="6"/>
  <c r="K72" i="19"/>
  <c r="AA333" i="6"/>
  <c r="K65" i="19"/>
  <c r="AA361" i="6"/>
  <c r="M68" i="19"/>
  <c r="AA369" i="6"/>
  <c r="M76" i="19"/>
  <c r="X210" i="4"/>
  <c r="I39" i="18"/>
  <c r="X39" i="18" s="1"/>
  <c r="X115" i="4"/>
  <c r="E45" i="11"/>
  <c r="V45" i="11" s="1"/>
  <c r="X19" i="4"/>
  <c r="C49" i="11"/>
  <c r="T49" i="11" s="1"/>
  <c r="X233" i="4"/>
  <c r="C37" i="19"/>
  <c r="X53" i="4"/>
  <c r="K33" i="11"/>
  <c r="AB33" i="11" s="1"/>
  <c r="X62" i="4"/>
  <c r="K42" i="11"/>
  <c r="AB42" i="11" s="1"/>
  <c r="X39" i="4"/>
  <c r="I44" i="11"/>
  <c r="X133" i="4"/>
  <c r="E37" i="18"/>
  <c r="X146" i="4"/>
  <c r="E50" i="18"/>
  <c r="T50" i="18" s="1"/>
  <c r="X338" i="4"/>
  <c r="K42" i="19"/>
  <c r="X184" i="4"/>
  <c r="G38" i="18"/>
  <c r="V38" i="18" s="1"/>
  <c r="X105" i="4"/>
  <c r="E35" i="11"/>
  <c r="V35" i="11" s="1"/>
  <c r="X214" i="4"/>
  <c r="I43" i="18"/>
  <c r="X43" i="18" s="1"/>
  <c r="X236" i="4"/>
  <c r="C40" i="19"/>
  <c r="X269" i="4"/>
  <c r="E48" i="19"/>
  <c r="X263" i="4"/>
  <c r="E42" i="19"/>
  <c r="X296" i="4"/>
  <c r="G50" i="19"/>
  <c r="X180" i="4"/>
  <c r="G34" i="18"/>
  <c r="V34" i="18" s="1"/>
  <c r="X143" i="4"/>
  <c r="E47" i="18"/>
  <c r="T47" i="18" s="1"/>
  <c r="X271" i="4"/>
  <c r="E50" i="19"/>
  <c r="X283" i="4"/>
  <c r="G37" i="19"/>
  <c r="X358" i="4"/>
  <c r="M37" i="19"/>
  <c r="X256" i="4"/>
  <c r="E35" i="19"/>
  <c r="X330" i="4"/>
  <c r="K34" i="19"/>
  <c r="X194" i="4"/>
  <c r="G48" i="18"/>
  <c r="V48" i="18" s="1"/>
  <c r="X191" i="4"/>
  <c r="G45" i="18"/>
  <c r="V45" i="18" s="1"/>
  <c r="X89" i="4"/>
  <c r="C43" i="18"/>
  <c r="R43" i="18" s="1"/>
  <c r="Y23" i="4"/>
  <c r="C53" i="11"/>
  <c r="T53" i="11" s="1"/>
  <c r="X290" i="4"/>
  <c r="G44" i="19"/>
  <c r="X287" i="4"/>
  <c r="G41" i="19"/>
  <c r="X91" i="4"/>
  <c r="C45" i="18"/>
  <c r="R45" i="18" s="1"/>
  <c r="X165" i="4"/>
  <c r="G45" i="11"/>
  <c r="X45" i="11" s="1"/>
  <c r="X258" i="4"/>
  <c r="E37" i="19"/>
  <c r="X366" i="4"/>
  <c r="M45" i="19"/>
  <c r="X228" i="4"/>
  <c r="C32" i="19"/>
  <c r="X70" i="4"/>
  <c r="K50" i="11"/>
  <c r="AA170" i="6"/>
  <c r="G79" i="11"/>
  <c r="X79" i="11" s="1"/>
  <c r="AA162" i="6"/>
  <c r="G71" i="11"/>
  <c r="X71" i="11" s="1"/>
  <c r="X323" i="4"/>
  <c r="I52" i="19"/>
  <c r="AA166" i="6"/>
  <c r="G75" i="11"/>
  <c r="X75" i="11" s="1"/>
  <c r="X313" i="4"/>
  <c r="I42" i="19"/>
  <c r="X320" i="4"/>
  <c r="I49" i="19"/>
  <c r="X92" i="4"/>
  <c r="C46" i="18"/>
  <c r="R46" i="18" s="1"/>
  <c r="X112" i="4"/>
  <c r="E42" i="11"/>
  <c r="V42" i="11" s="1"/>
  <c r="X254" i="4"/>
  <c r="E33" i="19"/>
  <c r="AA81" i="6"/>
  <c r="C64" i="18"/>
  <c r="R64" i="18" s="1"/>
  <c r="AA90" i="6"/>
  <c r="C73" i="18"/>
  <c r="R73" i="18" s="1"/>
  <c r="X32" i="4"/>
  <c r="I37" i="11"/>
  <c r="Z37" i="11" s="1"/>
  <c r="X238" i="4"/>
  <c r="C42" i="19"/>
  <c r="X264" i="4"/>
  <c r="E43" i="19"/>
  <c r="X297" i="4"/>
  <c r="G51" i="19"/>
  <c r="X223" i="4"/>
  <c r="I52" i="18"/>
  <c r="X52" i="18" s="1"/>
  <c r="X203" i="4"/>
  <c r="I32" i="18"/>
  <c r="X32" i="18" s="1"/>
  <c r="X266" i="4"/>
  <c r="E45" i="19"/>
  <c r="X147" i="4"/>
  <c r="E51" i="18"/>
  <c r="T51" i="18" s="1"/>
  <c r="X232" i="4"/>
  <c r="C36" i="19"/>
  <c r="X260" i="4"/>
  <c r="E39" i="19"/>
  <c r="X255" i="4"/>
  <c r="E34" i="19"/>
  <c r="X46" i="4"/>
  <c r="I51" i="11"/>
  <c r="Z51" i="11" s="1"/>
  <c r="X244" i="4"/>
  <c r="C48" i="19"/>
  <c r="X241" i="4"/>
  <c r="C45" i="19"/>
  <c r="X97" i="4"/>
  <c r="C51" i="18"/>
  <c r="X293" i="4"/>
  <c r="G47" i="19"/>
  <c r="X81" i="4"/>
  <c r="C35" i="18"/>
  <c r="R35" i="18" s="1"/>
  <c r="X162" i="4"/>
  <c r="G42" i="11"/>
  <c r="X42" i="11" s="1"/>
  <c r="X154" i="4"/>
  <c r="G34" i="11"/>
  <c r="X34" i="11" s="1"/>
  <c r="AA142" i="6"/>
  <c r="E75" i="18"/>
  <c r="T75" i="18" s="1"/>
  <c r="AA95" i="6"/>
  <c r="C78" i="18"/>
  <c r="R78" i="18" s="1"/>
  <c r="AA190" i="6"/>
  <c r="G73" i="18"/>
  <c r="V73" i="18" s="1"/>
  <c r="AA92" i="6"/>
  <c r="C75" i="18"/>
  <c r="R75" i="18" s="1"/>
  <c r="AA233" i="6"/>
  <c r="C65" i="19"/>
  <c r="X59" i="4"/>
  <c r="K39" i="11"/>
  <c r="AB39" i="11" s="1"/>
  <c r="X169" i="4"/>
  <c r="G49" i="11"/>
  <c r="X49" i="11" s="1"/>
  <c r="AA220" i="6"/>
  <c r="I78" i="18"/>
  <c r="X78" i="18" s="1"/>
  <c r="AA158" i="6"/>
  <c r="G67" i="11"/>
  <c r="X67" i="11" s="1"/>
  <c r="X28" i="4"/>
  <c r="I33" i="11"/>
  <c r="Z33" i="11" s="1"/>
  <c r="X30" i="4"/>
  <c r="I35" i="11"/>
  <c r="Z35" i="11" s="1"/>
  <c r="X68" i="4"/>
  <c r="K48" i="11"/>
  <c r="AB48" i="11" s="1"/>
  <c r="X122" i="4"/>
  <c r="E52" i="11"/>
  <c r="V52" i="11" s="1"/>
  <c r="X315" i="4"/>
  <c r="I44" i="19"/>
  <c r="X362" i="4"/>
  <c r="M41" i="19"/>
  <c r="X90" i="4"/>
  <c r="C44" i="18"/>
  <c r="R44" i="18" s="1"/>
  <c r="X183" i="4"/>
  <c r="G37" i="18"/>
  <c r="V37" i="18" s="1"/>
  <c r="X292" i="4"/>
  <c r="G46" i="19"/>
  <c r="X231" i="4"/>
  <c r="C35" i="19"/>
  <c r="X119" i="4"/>
  <c r="E49" i="11"/>
  <c r="X106" i="4"/>
  <c r="E36" i="11"/>
  <c r="V36" i="11" s="1"/>
  <c r="X94" i="4"/>
  <c r="C48" i="18"/>
  <c r="R48" i="18" s="1"/>
  <c r="X230" i="4"/>
  <c r="C34" i="19"/>
  <c r="X86" i="4"/>
  <c r="C40" i="18"/>
  <c r="R40" i="18" s="1"/>
  <c r="X312" i="4"/>
  <c r="I41" i="19"/>
  <c r="X140" i="4"/>
  <c r="E44" i="18"/>
  <c r="T44" i="18" s="1"/>
  <c r="X336" i="4"/>
  <c r="K40" i="19"/>
  <c r="X195" i="4"/>
  <c r="G49" i="18"/>
  <c r="V49" i="18" s="1"/>
  <c r="X48" i="4"/>
  <c r="I53" i="11"/>
  <c r="X123" i="4"/>
  <c r="E53" i="11"/>
  <c r="V53" i="11" s="1"/>
  <c r="X171" i="4"/>
  <c r="G51" i="11"/>
  <c r="X51" i="11" s="1"/>
  <c r="X163" i="4"/>
  <c r="G43" i="11"/>
  <c r="X43" i="11" s="1"/>
  <c r="X54" i="4"/>
  <c r="K34" i="11"/>
  <c r="AB34" i="11" s="1"/>
  <c r="X273" i="4"/>
  <c r="E52" i="19"/>
  <c r="X137" i="4"/>
  <c r="E41" i="18"/>
  <c r="T41" i="18" s="1"/>
  <c r="X132" i="4"/>
  <c r="E36" i="18"/>
  <c r="T36" i="18" s="1"/>
  <c r="X197" i="4"/>
  <c r="G51" i="18"/>
  <c r="V51" i="18" s="1"/>
  <c r="X272" i="4"/>
  <c r="E51" i="19"/>
  <c r="X303" i="4"/>
  <c r="I32" i="19"/>
  <c r="X294" i="4"/>
  <c r="G48" i="19"/>
  <c r="X372" i="4"/>
  <c r="M51" i="19"/>
  <c r="X216" i="4"/>
  <c r="I45" i="18"/>
  <c r="X45" i="18" s="1"/>
  <c r="AA161" i="6"/>
  <c r="G70" i="11"/>
  <c r="X70" i="11" s="1"/>
  <c r="AA79" i="6"/>
  <c r="C62" i="18"/>
  <c r="R62" i="18" s="1"/>
  <c r="X173" i="4"/>
  <c r="G53" i="11"/>
  <c r="X53" i="11" s="1"/>
  <c r="X69" i="4"/>
  <c r="K49" i="11"/>
  <c r="AB49" i="11" s="1"/>
  <c r="X354" i="4"/>
  <c r="M33" i="19"/>
  <c r="X198" i="4"/>
  <c r="G52" i="18"/>
  <c r="V52" i="18" s="1"/>
  <c r="X190" i="4"/>
  <c r="G44" i="18"/>
  <c r="V44" i="18" s="1"/>
  <c r="X333" i="4"/>
  <c r="K37" i="19"/>
  <c r="X64" i="4"/>
  <c r="K44" i="11"/>
  <c r="AB44" i="11" s="1"/>
  <c r="X189" i="4"/>
  <c r="G43" i="18"/>
  <c r="V43" i="18" s="1"/>
  <c r="X284" i="4"/>
  <c r="G38" i="19"/>
  <c r="X253" i="4"/>
  <c r="E32" i="19"/>
  <c r="X332" i="4"/>
  <c r="K36" i="19"/>
  <c r="X209" i="4"/>
  <c r="I38" i="18"/>
  <c r="X38" i="18" s="1"/>
  <c r="X9" i="4"/>
  <c r="C39" i="11"/>
  <c r="T39" i="11" s="1"/>
  <c r="X153" i="4"/>
  <c r="G33" i="11"/>
  <c r="X33" i="11" s="1"/>
  <c r="X88" i="4"/>
  <c r="C42" i="18"/>
  <c r="R42" i="18" s="1"/>
  <c r="AA134" i="6"/>
  <c r="E67" i="18"/>
  <c r="T67" i="18" s="1"/>
  <c r="AA210" i="6"/>
  <c r="I68" i="18"/>
  <c r="X68" i="18" s="1"/>
  <c r="AA218" i="6"/>
  <c r="I76" i="18"/>
  <c r="X76" i="18" s="1"/>
  <c r="AA96" i="6"/>
  <c r="C79" i="18"/>
  <c r="R79" i="18" s="1"/>
  <c r="AA209" i="6"/>
  <c r="I67" i="18"/>
  <c r="X67" i="18" s="1"/>
  <c r="AA182" i="6"/>
  <c r="G65" i="18"/>
  <c r="V65" i="18" s="1"/>
  <c r="AA189" i="6"/>
  <c r="G72" i="18"/>
  <c r="V72" i="18" s="1"/>
  <c r="AA234" i="6"/>
  <c r="C66" i="19"/>
  <c r="AA261" i="6"/>
  <c r="E68" i="19"/>
  <c r="AA262" i="6"/>
  <c r="E69" i="19"/>
  <c r="AA292" i="6"/>
  <c r="G74" i="19"/>
  <c r="AA304" i="6"/>
  <c r="I61" i="19"/>
  <c r="AA312" i="6"/>
  <c r="I69" i="19"/>
  <c r="AA332" i="6"/>
  <c r="K64" i="19"/>
  <c r="AA360" i="6"/>
  <c r="M67" i="19"/>
  <c r="X98" i="4"/>
  <c r="C52" i="18"/>
  <c r="R52" i="18" s="1"/>
  <c r="X80" i="4"/>
  <c r="C34" i="18"/>
  <c r="R34" i="18" s="1"/>
  <c r="X63" i="4"/>
  <c r="K43" i="11"/>
  <c r="AB43" i="11" s="1"/>
  <c r="X55" i="4"/>
  <c r="K35" i="11"/>
  <c r="AB35" i="11" s="1"/>
  <c r="X31" i="4"/>
  <c r="I36" i="11"/>
  <c r="Z36" i="11" s="1"/>
  <c r="X193" i="4"/>
  <c r="G47" i="18"/>
  <c r="V47" i="18" s="1"/>
  <c r="X157" i="4"/>
  <c r="G37" i="11"/>
  <c r="X37" i="11" s="1"/>
  <c r="X222" i="4"/>
  <c r="I51" i="18"/>
  <c r="X51" i="18" s="1"/>
  <c r="X317" i="4"/>
  <c r="I46" i="19"/>
  <c r="X168" i="4"/>
  <c r="G48" i="11"/>
  <c r="X48" i="11" s="1"/>
  <c r="X95" i="4"/>
  <c r="C49" i="18"/>
  <c r="R49" i="18" s="1"/>
  <c r="X144" i="4"/>
  <c r="E48" i="18"/>
  <c r="T48" i="18" s="1"/>
  <c r="X337" i="4"/>
  <c r="K41" i="19"/>
  <c r="X235" i="4"/>
  <c r="C39" i="19"/>
  <c r="X268" i="4"/>
  <c r="E47" i="19"/>
  <c r="X207" i="4"/>
  <c r="I36" i="18"/>
  <c r="X36" i="18" s="1"/>
  <c r="X306" i="4"/>
  <c r="I35" i="19"/>
  <c r="X114" i="4"/>
  <c r="E44" i="11"/>
  <c r="V44" i="11" s="1"/>
  <c r="X135" i="4"/>
  <c r="E39" i="18"/>
  <c r="T39" i="18" s="1"/>
  <c r="X367" i="4"/>
  <c r="M46" i="19"/>
  <c r="X246" i="4"/>
  <c r="C50" i="19"/>
  <c r="X113" i="4"/>
  <c r="E43" i="11"/>
  <c r="V43" i="11" s="1"/>
  <c r="X178" i="4"/>
  <c r="G32" i="18"/>
  <c r="V32" i="18" s="1"/>
  <c r="X259" i="4"/>
  <c r="E38" i="19"/>
  <c r="X204" i="4"/>
  <c r="I33" i="18"/>
  <c r="X33" i="18" s="1"/>
  <c r="X167" i="4"/>
  <c r="G47" i="11"/>
  <c r="X47" i="11" s="1"/>
  <c r="X155" i="4"/>
  <c r="G35" i="11"/>
  <c r="X35" i="11" s="1"/>
  <c r="X329" i="4"/>
  <c r="K33" i="19"/>
  <c r="X347" i="4"/>
  <c r="K51" i="19"/>
  <c r="X357" i="4"/>
  <c r="M36" i="19"/>
  <c r="AA321" i="6"/>
  <c r="I78" i="19"/>
  <c r="AA320" i="6"/>
  <c r="I77" i="19"/>
  <c r="W304" i="4"/>
  <c r="Z117" i="6"/>
  <c r="V8" i="6"/>
  <c r="W8" i="6" s="1"/>
  <c r="Z197" i="6"/>
  <c r="V293" i="6"/>
  <c r="W293" i="6" s="1"/>
  <c r="W348" i="4"/>
  <c r="S104" i="4"/>
  <c r="T104" i="4" s="1"/>
  <c r="V166" i="6"/>
  <c r="W166" i="6" s="1"/>
  <c r="V116" i="6"/>
  <c r="W116" i="6" s="1"/>
  <c r="Z270" i="6"/>
  <c r="V21" i="6"/>
  <c r="W21" i="6" s="1"/>
  <c r="V22" i="6"/>
  <c r="W22" i="6" s="1"/>
  <c r="V120" i="6"/>
  <c r="W120" i="6" s="1"/>
  <c r="W368" i="4"/>
  <c r="V321" i="6"/>
  <c r="W321" i="6" s="1"/>
  <c r="V162" i="6"/>
  <c r="W162" i="6" s="1"/>
  <c r="V320" i="6"/>
  <c r="W320" i="6" s="1"/>
  <c r="V7" i="6"/>
  <c r="W7" i="6" s="1"/>
  <c r="AA78" i="6"/>
  <c r="V123" i="6"/>
  <c r="W123" i="6" s="1"/>
  <c r="V14" i="6"/>
  <c r="W14" i="6" s="1"/>
  <c r="V15" i="6"/>
  <c r="W15" i="6" s="1"/>
  <c r="V111" i="6"/>
  <c r="W111" i="6" s="1"/>
  <c r="V4" i="6"/>
  <c r="W4" i="6" s="1"/>
  <c r="V106" i="6"/>
  <c r="W106" i="6" s="1"/>
  <c r="S357" i="4"/>
  <c r="T357" i="4" s="1"/>
  <c r="V121" i="6"/>
  <c r="W121" i="6" s="1"/>
  <c r="V114" i="6"/>
  <c r="W114" i="6" s="1"/>
  <c r="Z20" i="6"/>
  <c r="V122" i="6"/>
  <c r="W122" i="6" s="1"/>
  <c r="S28" i="4"/>
  <c r="T28" i="4" s="1"/>
  <c r="V107" i="6"/>
  <c r="W107" i="6" s="1"/>
  <c r="V113" i="6"/>
  <c r="W113" i="6" s="1"/>
  <c r="V6" i="6"/>
  <c r="W6" i="6" s="1"/>
  <c r="S359" i="4"/>
  <c r="T359" i="4" s="1"/>
  <c r="S329" i="4"/>
  <c r="T329" i="4" s="1"/>
  <c r="W42" i="4"/>
  <c r="S167" i="4"/>
  <c r="T167" i="4" s="1"/>
  <c r="S129" i="4"/>
  <c r="T129" i="4" s="1"/>
  <c r="T323" i="4"/>
  <c r="S347" i="4"/>
  <c r="T347" i="4" s="1"/>
  <c r="S95" i="4"/>
  <c r="T95" i="4" s="1"/>
  <c r="S353" i="4"/>
  <c r="T353" i="4" s="1"/>
  <c r="S264" i="4"/>
  <c r="T264" i="4" s="1"/>
  <c r="S367" i="4"/>
  <c r="T367" i="4" s="1"/>
  <c r="W328" i="4"/>
  <c r="S271" i="4"/>
  <c r="T271" i="4" s="1"/>
  <c r="W343" i="4"/>
  <c r="S87" i="4"/>
  <c r="T87" i="4" s="1"/>
  <c r="S256" i="4"/>
  <c r="T256" i="4" s="1"/>
  <c r="W208" i="4"/>
  <c r="S317" i="4"/>
  <c r="T317" i="4" s="1"/>
  <c r="S372" i="4"/>
  <c r="T372" i="4" s="1"/>
  <c r="S259" i="4"/>
  <c r="T259" i="4" s="1"/>
  <c r="W172" i="4"/>
  <c r="S53" i="4"/>
  <c r="T53" i="4" s="1"/>
  <c r="W60" i="4"/>
  <c r="S63" i="4"/>
  <c r="T63" i="4" s="1"/>
  <c r="S228" i="4"/>
  <c r="T228" i="4" s="1"/>
  <c r="W111" i="4"/>
  <c r="S303" i="4"/>
  <c r="T303" i="4" s="1"/>
  <c r="S91" i="4"/>
  <c r="T91" i="4" s="1"/>
  <c r="S168" i="4"/>
  <c r="T168" i="4" s="1"/>
  <c r="W307" i="4"/>
  <c r="S336" i="4"/>
  <c r="T336" i="4" s="1"/>
  <c r="S89" i="4"/>
  <c r="T89" i="4" s="1"/>
  <c r="S193" i="4"/>
  <c r="T193" i="4" s="1"/>
  <c r="S330" i="4"/>
  <c r="T330" i="4" s="1"/>
  <c r="S260" i="4"/>
  <c r="T260" i="4" s="1"/>
  <c r="S266" i="4"/>
  <c r="T266" i="4" s="1"/>
  <c r="S155" i="4"/>
  <c r="T155" i="4" s="1"/>
  <c r="W364" i="4"/>
  <c r="S287" i="4"/>
  <c r="T287" i="4" s="1"/>
  <c r="S255" i="4"/>
  <c r="T255" i="4" s="1"/>
  <c r="S358" i="4"/>
  <c r="T358" i="4" s="1"/>
  <c r="S90" i="4"/>
  <c r="T90" i="4" s="1"/>
  <c r="W192" i="4"/>
  <c r="S146" i="4"/>
  <c r="T146" i="4" s="1"/>
  <c r="W360" i="4"/>
  <c r="S56" i="4"/>
  <c r="T56" i="4" s="1"/>
  <c r="S173" i="4"/>
  <c r="T173" i="4" s="1"/>
  <c r="W322" i="4"/>
  <c r="W179" i="4"/>
  <c r="S222" i="4"/>
  <c r="T222" i="4" s="1"/>
  <c r="S366" i="4"/>
  <c r="T366" i="4" s="1"/>
  <c r="W93" i="4"/>
  <c r="S163" i="4"/>
  <c r="T163" i="4" s="1"/>
  <c r="S294" i="4"/>
  <c r="T294" i="4" s="1"/>
  <c r="S268" i="4"/>
  <c r="T268" i="4" s="1"/>
  <c r="W291" i="4"/>
  <c r="S354" i="4"/>
  <c r="T354" i="4" s="1"/>
  <c r="S314" i="4"/>
  <c r="T314" i="4" s="1"/>
  <c r="S236" i="4"/>
  <c r="T236" i="4" s="1"/>
  <c r="S258" i="4"/>
  <c r="T258" i="4" s="1"/>
  <c r="S362" i="4"/>
  <c r="T362" i="4" s="1"/>
  <c r="S263" i="4"/>
  <c r="T263" i="4" s="1"/>
  <c r="S140" i="4"/>
  <c r="T140" i="4" s="1"/>
  <c r="S338" i="4"/>
  <c r="T338" i="4" s="1"/>
  <c r="S94" i="4"/>
  <c r="T94" i="4" s="1"/>
  <c r="S297" i="4"/>
  <c r="T297" i="4" s="1"/>
  <c r="W365" i="4"/>
  <c r="S203" i="4"/>
  <c r="T203" i="4" s="1"/>
  <c r="S232" i="4"/>
  <c r="T232" i="4" s="1"/>
  <c r="S283" i="4"/>
  <c r="T283" i="4" s="1"/>
  <c r="S197" i="4"/>
  <c r="T197" i="4" s="1"/>
  <c r="S186" i="4"/>
  <c r="T186" i="4" s="1"/>
  <c r="W248" i="4"/>
  <c r="S214" i="4"/>
  <c r="T214" i="4" s="1"/>
  <c r="S269" i="4"/>
  <c r="T269" i="4" s="1"/>
  <c r="S171" i="4"/>
  <c r="T171" i="4" s="1"/>
  <c r="S133" i="4"/>
  <c r="T133" i="4" s="1"/>
  <c r="W261" i="4"/>
  <c r="S105" i="4"/>
  <c r="T105" i="4" s="1"/>
  <c r="S273" i="4"/>
  <c r="T273" i="4" s="1"/>
  <c r="S144" i="4"/>
  <c r="T144" i="4" s="1"/>
  <c r="S238" i="4"/>
  <c r="T238" i="4" s="1"/>
  <c r="S38" i="4"/>
  <c r="T38" i="4" s="1"/>
  <c r="W29" i="4"/>
  <c r="S147" i="4"/>
  <c r="T147" i="4" s="1"/>
  <c r="W211" i="4"/>
  <c r="W44" i="4"/>
  <c r="W85" i="4"/>
  <c r="S137" i="4"/>
  <c r="T137" i="4" s="1"/>
  <c r="S69" i="4"/>
  <c r="T69" i="4" s="1"/>
  <c r="S191" i="4"/>
  <c r="T191" i="4" s="1"/>
  <c r="S207" i="4"/>
  <c r="T207" i="4" s="1"/>
  <c r="S178" i="4"/>
  <c r="T178" i="4" s="1"/>
  <c r="W159" i="4"/>
  <c r="S223" i="4"/>
  <c r="T223" i="4" s="1"/>
  <c r="S135" i="4"/>
  <c r="T135" i="4" s="1"/>
  <c r="S165" i="4"/>
  <c r="T165" i="4" s="1"/>
  <c r="S194" i="4"/>
  <c r="T194" i="4" s="1"/>
  <c r="S86" i="4"/>
  <c r="T86" i="4" s="1"/>
  <c r="S180" i="4"/>
  <c r="T180" i="4" s="1"/>
  <c r="S106" i="4"/>
  <c r="T106" i="4" s="1"/>
  <c r="S216" i="4"/>
  <c r="T216" i="4" s="1"/>
  <c r="S32" i="4"/>
  <c r="T32" i="4" s="1"/>
  <c r="S188" i="4"/>
  <c r="T188" i="4" s="1"/>
  <c r="S213" i="4"/>
  <c r="T213" i="4" s="1"/>
  <c r="W61" i="4"/>
  <c r="S23" i="4"/>
  <c r="T23" i="4" s="1"/>
  <c r="S204" i="4"/>
  <c r="T204" i="4" s="1"/>
  <c r="W212" i="4"/>
  <c r="S46" i="4"/>
  <c r="T46" i="4" s="1"/>
  <c r="S316" i="4"/>
  <c r="T316" i="4" s="1"/>
  <c r="S230" i="4"/>
  <c r="T230" i="4" s="1"/>
  <c r="W278" i="4"/>
  <c r="W245" i="4"/>
  <c r="W295" i="4"/>
  <c r="W205" i="4"/>
  <c r="S160" i="4"/>
  <c r="T160" i="4" s="1"/>
  <c r="W128" i="4"/>
  <c r="S290" i="4"/>
  <c r="T290" i="4" s="1"/>
  <c r="W335" i="4"/>
  <c r="S235" i="4"/>
  <c r="T235" i="4" s="1"/>
  <c r="W345" i="4"/>
  <c r="S122" i="4"/>
  <c r="T122" i="4" s="1"/>
  <c r="W229" i="4"/>
  <c r="S183" i="4"/>
  <c r="T183" i="4" s="1"/>
  <c r="W136" i="4"/>
  <c r="S195" i="4"/>
  <c r="T195" i="4" s="1"/>
  <c r="W121" i="4"/>
  <c r="W139" i="4"/>
  <c r="W346" i="4"/>
  <c r="W145" i="4"/>
  <c r="S48" i="4"/>
  <c r="T48" i="4" s="1"/>
  <c r="W36" i="4"/>
  <c r="S54" i="4"/>
  <c r="T54" i="4" s="1"/>
  <c r="S184" i="4"/>
  <c r="T184" i="4" s="1"/>
  <c r="S240" i="4"/>
  <c r="T240" i="4" s="1"/>
  <c r="W67" i="4"/>
  <c r="S113" i="4"/>
  <c r="T113" i="4" s="1"/>
  <c r="W298" i="4"/>
  <c r="S272" i="4"/>
  <c r="T272" i="4" s="1"/>
  <c r="S306" i="4"/>
  <c r="T306" i="4" s="1"/>
  <c r="S246" i="4"/>
  <c r="T246" i="4" s="1"/>
  <c r="S296" i="4"/>
  <c r="T296" i="4" s="1"/>
  <c r="W66" i="4"/>
  <c r="S119" i="4"/>
  <c r="T119" i="4" s="1"/>
  <c r="S123" i="4"/>
  <c r="T123" i="4" s="1"/>
  <c r="W47" i="4"/>
  <c r="W72" i="4"/>
  <c r="S132" i="4"/>
  <c r="T132" i="4" s="1"/>
  <c r="S373" i="4"/>
  <c r="T373" i="4" s="1"/>
  <c r="S71" i="4"/>
  <c r="T71" i="4" s="1"/>
  <c r="W71" i="4"/>
  <c r="S315" i="4"/>
  <c r="T315" i="4" s="1"/>
  <c r="S337" i="4"/>
  <c r="T337" i="4" s="1"/>
  <c r="W237" i="4"/>
  <c r="S157" i="4"/>
  <c r="T157" i="4" s="1"/>
  <c r="W221" i="4"/>
  <c r="W282" i="4"/>
  <c r="S143" i="4"/>
  <c r="T143" i="4" s="1"/>
  <c r="S219" i="4"/>
  <c r="T219" i="4" s="1"/>
  <c r="W339" i="4"/>
  <c r="W164" i="4"/>
  <c r="W356" i="4"/>
  <c r="W331" i="4"/>
  <c r="S114" i="4"/>
  <c r="T114" i="4" s="1"/>
  <c r="W45" i="4"/>
  <c r="W103" i="4"/>
  <c r="X148" i="4"/>
  <c r="S231" i="4"/>
  <c r="T231" i="4" s="1"/>
  <c r="W73" i="4"/>
  <c r="W57" i="4"/>
  <c r="W37" i="4"/>
  <c r="S30" i="4"/>
  <c r="T30" i="4" s="1"/>
  <c r="W58" i="4"/>
  <c r="S31" i="4"/>
  <c r="T31" i="4" s="1"/>
  <c r="W35" i="4"/>
  <c r="S55" i="4"/>
  <c r="T55" i="4" s="1"/>
  <c r="S62" i="4"/>
  <c r="T62" i="4" s="1"/>
  <c r="W33" i="4"/>
  <c r="S59" i="4"/>
  <c r="T59" i="4" s="1"/>
  <c r="S70" i="4"/>
  <c r="T70" i="4" s="1"/>
  <c r="W40" i="4"/>
  <c r="S39" i="4"/>
  <c r="T39" i="4" s="1"/>
  <c r="W41" i="4"/>
  <c r="S68" i="4"/>
  <c r="T68" i="4" s="1"/>
  <c r="W43" i="4"/>
  <c r="Z41" i="6"/>
  <c r="V41" i="6"/>
  <c r="W41" i="6" s="1"/>
  <c r="Z44" i="6"/>
  <c r="V44" i="6"/>
  <c r="W44" i="6" s="1"/>
  <c r="Z28" i="6"/>
  <c r="V28" i="6"/>
  <c r="W28" i="6" s="1"/>
  <c r="Z34" i="6"/>
  <c r="V34" i="6"/>
  <c r="W34" i="6" s="1"/>
  <c r="Z54" i="6"/>
  <c r="V54" i="6"/>
  <c r="W54" i="6" s="1"/>
  <c r="Z72" i="6"/>
  <c r="V72" i="6"/>
  <c r="W72" i="6" s="1"/>
  <c r="Z62" i="6"/>
  <c r="V62" i="6"/>
  <c r="W62" i="6" s="1"/>
  <c r="Z63" i="6"/>
  <c r="V63" i="6"/>
  <c r="W63" i="6" s="1"/>
  <c r="Z68" i="6"/>
  <c r="V68" i="6"/>
  <c r="W68" i="6" s="1"/>
  <c r="Z40" i="6"/>
  <c r="V40" i="6"/>
  <c r="W40" i="6" s="1"/>
  <c r="Z42" i="6"/>
  <c r="V42" i="6"/>
  <c r="W42" i="6" s="1"/>
  <c r="Z36" i="6"/>
  <c r="V36" i="6"/>
  <c r="W36" i="6" s="1"/>
  <c r="Z39" i="6"/>
  <c r="V39" i="6"/>
  <c r="W39" i="6" s="1"/>
  <c r="Z64" i="6"/>
  <c r="V64" i="6"/>
  <c r="W64" i="6" s="1"/>
  <c r="Z53" i="6"/>
  <c r="V53" i="6"/>
  <c r="W53" i="6" s="1"/>
  <c r="Z48" i="6"/>
  <c r="V48" i="6"/>
  <c r="W48" i="6" s="1"/>
  <c r="Z69" i="6"/>
  <c r="V69" i="6"/>
  <c r="W69" i="6" s="1"/>
  <c r="Z33" i="6"/>
  <c r="V33" i="6"/>
  <c r="W33" i="6" s="1"/>
  <c r="Z56" i="6"/>
  <c r="V56" i="6"/>
  <c r="W56" i="6" s="1"/>
  <c r="Z60" i="6"/>
  <c r="V60" i="6"/>
  <c r="W60" i="6" s="1"/>
  <c r="Z59" i="6"/>
  <c r="V59" i="6"/>
  <c r="W59" i="6" s="1"/>
  <c r="Z32" i="6"/>
  <c r="V32" i="6"/>
  <c r="W32" i="6" s="1"/>
  <c r="Z70" i="6"/>
  <c r="V70" i="6"/>
  <c r="W70" i="6" s="1"/>
  <c r="Z61" i="6"/>
  <c r="V61" i="6"/>
  <c r="W61" i="6" s="1"/>
  <c r="T117" i="4"/>
  <c r="T43" i="4"/>
  <c r="T284" i="4"/>
  <c r="W34" i="4"/>
  <c r="S34" i="4"/>
  <c r="T234" i="4"/>
  <c r="T154" i="4"/>
  <c r="T72" i="4"/>
  <c r="T131" i="4"/>
  <c r="T181" i="4"/>
  <c r="T61" i="4"/>
  <c r="T41" i="4"/>
  <c r="T40" i="4"/>
  <c r="T42" i="4"/>
  <c r="T321" i="4"/>
  <c r="T142" i="4"/>
  <c r="T33" i="4"/>
  <c r="T304" i="4"/>
  <c r="T333" i="4"/>
  <c r="T96" i="4"/>
  <c r="T36" i="4"/>
  <c r="T332" i="4"/>
  <c r="T44" i="4"/>
  <c r="T9" i="4"/>
  <c r="T60" i="4"/>
  <c r="T120" i="4"/>
  <c r="AA254" i="6" l="1"/>
  <c r="AC46" i="11"/>
  <c r="AC64" i="11"/>
  <c r="T51" i="11"/>
  <c r="Z53" i="11"/>
  <c r="AC53" i="11"/>
  <c r="AC82" i="11"/>
  <c r="T80" i="11"/>
  <c r="AC80" i="11"/>
  <c r="V49" i="11"/>
  <c r="AC49" i="11"/>
  <c r="V34" i="11"/>
  <c r="AC34" i="11"/>
  <c r="Z44" i="11"/>
  <c r="AC44" i="11"/>
  <c r="AB50" i="11"/>
  <c r="AC50" i="11"/>
  <c r="AC66" i="11"/>
  <c r="R51" i="18"/>
  <c r="T37" i="18"/>
  <c r="G75" i="18"/>
  <c r="V75" i="18" s="1"/>
  <c r="G66" i="19"/>
  <c r="O66" i="19" s="1"/>
  <c r="P66" i="19" s="1"/>
  <c r="Q66" i="19" s="1"/>
  <c r="C65" i="18"/>
  <c r="R65" i="18" s="1"/>
  <c r="AA339" i="6"/>
  <c r="AB339" i="6" s="1"/>
  <c r="C76" i="19"/>
  <c r="G63" i="18"/>
  <c r="V63" i="18" s="1"/>
  <c r="C73" i="19"/>
  <c r="AA87" i="6"/>
  <c r="AB87" i="6" s="1"/>
  <c r="E75" i="19"/>
  <c r="G79" i="18"/>
  <c r="V79" i="18" s="1"/>
  <c r="C36" i="18"/>
  <c r="R36" i="18" s="1"/>
  <c r="G65" i="11"/>
  <c r="X65" i="11" s="1"/>
  <c r="AA281" i="6"/>
  <c r="AC281" i="6" s="1"/>
  <c r="I79" i="18"/>
  <c r="X79" i="18" s="1"/>
  <c r="E80" i="19"/>
  <c r="X6" i="4"/>
  <c r="Y6" i="4" s="1"/>
  <c r="E39" i="11"/>
  <c r="V39" i="11" s="1"/>
  <c r="G63" i="11"/>
  <c r="X63" i="11" s="1"/>
  <c r="E74" i="18"/>
  <c r="T74" i="18" s="1"/>
  <c r="G78" i="11"/>
  <c r="X78" i="11" s="1"/>
  <c r="M64" i="19"/>
  <c r="O64" i="19" s="1"/>
  <c r="P64" i="19" s="1"/>
  <c r="Q64" i="19" s="1"/>
  <c r="AA217" i="6"/>
  <c r="AB217" i="6" s="1"/>
  <c r="M74" i="19"/>
  <c r="O74" i="19" s="1"/>
  <c r="P74" i="19" s="1"/>
  <c r="Q74" i="19" s="1"/>
  <c r="M75" i="19"/>
  <c r="O34" i="19"/>
  <c r="P34" i="19" s="1"/>
  <c r="Q34" i="19" s="1"/>
  <c r="K80" i="19"/>
  <c r="AB310" i="6"/>
  <c r="AC310" i="6"/>
  <c r="AB241" i="6"/>
  <c r="AC241" i="6"/>
  <c r="Y244" i="4"/>
  <c r="Z244" i="4"/>
  <c r="Y330" i="4"/>
  <c r="Z330" i="4"/>
  <c r="Y360" i="22"/>
  <c r="Z360" i="22"/>
  <c r="AB230" i="6"/>
  <c r="AC230" i="6"/>
  <c r="AB329" i="6"/>
  <c r="AC329" i="6"/>
  <c r="AB364" i="6"/>
  <c r="AC364" i="6"/>
  <c r="AB263" i="6"/>
  <c r="AC263" i="6"/>
  <c r="Y268" i="4"/>
  <c r="Z268" i="4"/>
  <c r="AB368" i="6"/>
  <c r="AC368" i="6"/>
  <c r="AB312" i="6"/>
  <c r="AC312" i="6"/>
  <c r="AB262" i="6"/>
  <c r="AC262" i="6"/>
  <c r="AB268" i="6"/>
  <c r="AC268" i="6"/>
  <c r="Y294" i="4"/>
  <c r="Z294" i="4"/>
  <c r="Y293" i="4"/>
  <c r="Z293" i="4"/>
  <c r="Y297" i="4"/>
  <c r="Z297" i="4"/>
  <c r="Y323" i="4"/>
  <c r="Z323" i="4"/>
  <c r="Y228" i="4"/>
  <c r="Z228" i="4"/>
  <c r="Y256" i="4"/>
  <c r="Z256" i="4"/>
  <c r="Y269" i="4"/>
  <c r="Z269" i="4"/>
  <c r="AA264" i="6"/>
  <c r="Y242" i="4"/>
  <c r="Z242" i="4"/>
  <c r="AB372" i="6"/>
  <c r="AC372" i="6"/>
  <c r="Y240" i="4"/>
  <c r="Z240" i="4"/>
  <c r="Y270" i="4"/>
  <c r="Z270" i="4"/>
  <c r="Y226" i="20"/>
  <c r="Z226" i="20"/>
  <c r="Y225" i="20"/>
  <c r="Z225" i="20"/>
  <c r="Y253" i="20"/>
  <c r="Z253" i="20"/>
  <c r="Y303" i="22"/>
  <c r="Z303" i="22"/>
  <c r="Y304" i="22"/>
  <c r="Z304" i="22"/>
  <c r="Y253" i="22"/>
  <c r="Z253" i="22"/>
  <c r="Y304" i="20"/>
  <c r="Z304" i="20"/>
  <c r="Y225" i="22"/>
  <c r="Z225" i="22"/>
  <c r="AB247" i="6"/>
  <c r="AC247" i="6"/>
  <c r="AB240" i="6"/>
  <c r="AC240" i="6"/>
  <c r="AB245" i="6"/>
  <c r="AC245" i="6"/>
  <c r="Y288" i="4"/>
  <c r="Z288" i="4"/>
  <c r="AB346" i="6"/>
  <c r="AC346" i="6"/>
  <c r="Y239" i="4"/>
  <c r="Z239" i="4"/>
  <c r="Y281" i="4"/>
  <c r="Z281" i="4"/>
  <c r="Y329" i="4"/>
  <c r="Z329" i="4"/>
  <c r="Y312" i="4"/>
  <c r="Z312" i="4"/>
  <c r="Y271" i="4"/>
  <c r="Z271" i="4"/>
  <c r="Y312" i="22"/>
  <c r="Z312" i="22"/>
  <c r="Y353" i="20"/>
  <c r="Z353" i="20"/>
  <c r="Y344" i="22"/>
  <c r="Z344" i="22"/>
  <c r="AB320" i="6"/>
  <c r="AC320" i="6"/>
  <c r="I67" i="19"/>
  <c r="AB361" i="6"/>
  <c r="AC361" i="6"/>
  <c r="AB305" i="6"/>
  <c r="AC305" i="6"/>
  <c r="AB253" i="6"/>
  <c r="AC253" i="6"/>
  <c r="Y305" i="20"/>
  <c r="Z305" i="20"/>
  <c r="Y325" i="20"/>
  <c r="Z325" i="20"/>
  <c r="Y324" i="20"/>
  <c r="Z324" i="20"/>
  <c r="Y297" i="20"/>
  <c r="Z297" i="20"/>
  <c r="Y313" i="20"/>
  <c r="Z313" i="20"/>
  <c r="Y340" i="20"/>
  <c r="Z340" i="20"/>
  <c r="AB337" i="6"/>
  <c r="AC337" i="6"/>
  <c r="AB282" i="6"/>
  <c r="AC282" i="6"/>
  <c r="AB272" i="6"/>
  <c r="AC272" i="6"/>
  <c r="AB291" i="6"/>
  <c r="AC291" i="6"/>
  <c r="AB296" i="6"/>
  <c r="AC296" i="6"/>
  <c r="AB294" i="6"/>
  <c r="AC294" i="6"/>
  <c r="AB354" i="6"/>
  <c r="AC354" i="6"/>
  <c r="AB297" i="6"/>
  <c r="AC297" i="6"/>
  <c r="AB336" i="6"/>
  <c r="AC336" i="6"/>
  <c r="AB231" i="6"/>
  <c r="AC231" i="6"/>
  <c r="AB315" i="6"/>
  <c r="AC315" i="6"/>
  <c r="AB373" i="6"/>
  <c r="AC373" i="6"/>
  <c r="AB335" i="6"/>
  <c r="AC335" i="6"/>
  <c r="Y321" i="4"/>
  <c r="Z321" i="4"/>
  <c r="Y370" i="4"/>
  <c r="Z370" i="4"/>
  <c r="AB258" i="6"/>
  <c r="AC258" i="6"/>
  <c r="AB292" i="6"/>
  <c r="AC292" i="6"/>
  <c r="Y284" i="4"/>
  <c r="Z284" i="4"/>
  <c r="AB233" i="6"/>
  <c r="AC233" i="6"/>
  <c r="Y260" i="22"/>
  <c r="Z260" i="22"/>
  <c r="Y357" i="4"/>
  <c r="Z357" i="4"/>
  <c r="Y235" i="4"/>
  <c r="Z235" i="4"/>
  <c r="AB304" i="6"/>
  <c r="AC304" i="6"/>
  <c r="AB261" i="6"/>
  <c r="AC261" i="6"/>
  <c r="Y332" i="4"/>
  <c r="Z332" i="4"/>
  <c r="Y354" i="4"/>
  <c r="Z354" i="4"/>
  <c r="Y303" i="4"/>
  <c r="Z303" i="4"/>
  <c r="Y336" i="4"/>
  <c r="Z336" i="4"/>
  <c r="Y230" i="4"/>
  <c r="Z230" i="4"/>
  <c r="Y231" i="4"/>
  <c r="Z231" i="4"/>
  <c r="Y362" i="4"/>
  <c r="Z362" i="4"/>
  <c r="AB367" i="6"/>
  <c r="AC367" i="6"/>
  <c r="Y255" i="4"/>
  <c r="Z255" i="4"/>
  <c r="Y266" i="4"/>
  <c r="Z266" i="4"/>
  <c r="Y264" i="4"/>
  <c r="Z264" i="4"/>
  <c r="Y320" i="4"/>
  <c r="Z320" i="4"/>
  <c r="Y366" i="4"/>
  <c r="Z366" i="4"/>
  <c r="Y287" i="4"/>
  <c r="Z287" i="4"/>
  <c r="Y358" i="4"/>
  <c r="Z358" i="4"/>
  <c r="Y236" i="4"/>
  <c r="Z236" i="4"/>
  <c r="Y338" i="4"/>
  <c r="Z338" i="4"/>
  <c r="Y285" i="4"/>
  <c r="Z285" i="4"/>
  <c r="Y353" i="4"/>
  <c r="Z353" i="4"/>
  <c r="Y352" i="22"/>
  <c r="Z352" i="22"/>
  <c r="Y351" i="22"/>
  <c r="Z351" i="22"/>
  <c r="Y252" i="22"/>
  <c r="Z252" i="22"/>
  <c r="Y331" i="22"/>
  <c r="Z331" i="22"/>
  <c r="Y284" i="20"/>
  <c r="Z284" i="20"/>
  <c r="Y339" i="22"/>
  <c r="Z339" i="22"/>
  <c r="Y233" i="20"/>
  <c r="Z233" i="20"/>
  <c r="O61" i="19"/>
  <c r="P61" i="19" s="1"/>
  <c r="Q61" i="19" s="1"/>
  <c r="AB309" i="6"/>
  <c r="AC309" i="6"/>
  <c r="AB236" i="6"/>
  <c r="AC236" i="6"/>
  <c r="AB303" i="6"/>
  <c r="AC303" i="6"/>
  <c r="AB370" i="6"/>
  <c r="AC370" i="6"/>
  <c r="AB285" i="6"/>
  <c r="AC285" i="6"/>
  <c r="Y259" i="4"/>
  <c r="Z259" i="4"/>
  <c r="Y372" i="4"/>
  <c r="Z372" i="4"/>
  <c r="Y263" i="4"/>
  <c r="Z263" i="4"/>
  <c r="Y359" i="4"/>
  <c r="Z359" i="4"/>
  <c r="Y275" i="22"/>
  <c r="Z275" i="22"/>
  <c r="AB356" i="6"/>
  <c r="AC356" i="6"/>
  <c r="Y344" i="4"/>
  <c r="Z344" i="4"/>
  <c r="AB360" i="6"/>
  <c r="AC360" i="6"/>
  <c r="AB273" i="6"/>
  <c r="AC273" i="6"/>
  <c r="AB321" i="6"/>
  <c r="AC321" i="6"/>
  <c r="O37" i="19"/>
  <c r="P37" i="19" s="1"/>
  <c r="Q37" i="19" s="1"/>
  <c r="AB333" i="6"/>
  <c r="AC333" i="6"/>
  <c r="AB313" i="6"/>
  <c r="AC313" i="6"/>
  <c r="AB242" i="6"/>
  <c r="AC242" i="6"/>
  <c r="Y254" i="20"/>
  <c r="Z254" i="20"/>
  <c r="Y283" i="22"/>
  <c r="Z283" i="22"/>
  <c r="Y234" i="20"/>
  <c r="Z234" i="20"/>
  <c r="Y333" i="20"/>
  <c r="Z333" i="20"/>
  <c r="Y311" i="22"/>
  <c r="Z311" i="22"/>
  <c r="Y355" i="4"/>
  <c r="Z355" i="4"/>
  <c r="AB359" i="6"/>
  <c r="AC359" i="6"/>
  <c r="AB255" i="6"/>
  <c r="AC255" i="6"/>
  <c r="AB317" i="6"/>
  <c r="AC317" i="6"/>
  <c r="AB328" i="6"/>
  <c r="AC328" i="6"/>
  <c r="AB256" i="6"/>
  <c r="AC256" i="6"/>
  <c r="AB358" i="6"/>
  <c r="AC358" i="6"/>
  <c r="AB235" i="6"/>
  <c r="AC235" i="6"/>
  <c r="AB344" i="6"/>
  <c r="AC344" i="6"/>
  <c r="AB279" i="6"/>
  <c r="AC279" i="6"/>
  <c r="AB316" i="6"/>
  <c r="AC316" i="6"/>
  <c r="AB345" i="6"/>
  <c r="AC345" i="6"/>
  <c r="AB259" i="6"/>
  <c r="AC259" i="6"/>
  <c r="Y334" i="4"/>
  <c r="Z334" i="4"/>
  <c r="AB307" i="6"/>
  <c r="AC307" i="6"/>
  <c r="AB353" i="6"/>
  <c r="AC353" i="6"/>
  <c r="Y337" i="4"/>
  <c r="Z337" i="4"/>
  <c r="AB348" i="6"/>
  <c r="AC348" i="6"/>
  <c r="Y253" i="4"/>
  <c r="Z253" i="4"/>
  <c r="Y273" i="4"/>
  <c r="Z273" i="4"/>
  <c r="Y315" i="4"/>
  <c r="Z315" i="4"/>
  <c r="Y313" i="4"/>
  <c r="Z313" i="4"/>
  <c r="Y290" i="4"/>
  <c r="Z290" i="4"/>
  <c r="Y296" i="4"/>
  <c r="Z296" i="4"/>
  <c r="Y314" i="4"/>
  <c r="Z314" i="4"/>
  <c r="Y261" i="20"/>
  <c r="Z261" i="20"/>
  <c r="Y232" i="22"/>
  <c r="Z232" i="22"/>
  <c r="Y284" i="22"/>
  <c r="Z284" i="22"/>
  <c r="Y276" i="20"/>
  <c r="Z276" i="20"/>
  <c r="Y276" i="22"/>
  <c r="Z276" i="22"/>
  <c r="Y285" i="20"/>
  <c r="Z285" i="20"/>
  <c r="Y296" i="20"/>
  <c r="Z296" i="20"/>
  <c r="Y332" i="22"/>
  <c r="Z332" i="22"/>
  <c r="Y261" i="22"/>
  <c r="Z261" i="22"/>
  <c r="Y277" i="20"/>
  <c r="Z277" i="20"/>
  <c r="Y305" i="4"/>
  <c r="Z305" i="4"/>
  <c r="AB308" i="6"/>
  <c r="AC308" i="6"/>
  <c r="AB290" i="6"/>
  <c r="AC290" i="6"/>
  <c r="AB287" i="6"/>
  <c r="AC287" i="6"/>
  <c r="AB343" i="6"/>
  <c r="AC343" i="6"/>
  <c r="Y318" i="4"/>
  <c r="Z318" i="4"/>
  <c r="Y247" i="4"/>
  <c r="Z247" i="4"/>
  <c r="AB298" i="6"/>
  <c r="AC298" i="6"/>
  <c r="AB332" i="6"/>
  <c r="AC332" i="6"/>
  <c r="Y347" i="4"/>
  <c r="Z347" i="4"/>
  <c r="Y246" i="4"/>
  <c r="Z246" i="4"/>
  <c r="Y306" i="4"/>
  <c r="Z306" i="4"/>
  <c r="Y317" i="4"/>
  <c r="Z317" i="4"/>
  <c r="AB284" i="6"/>
  <c r="AC284" i="6"/>
  <c r="AB234" i="6"/>
  <c r="AC234" i="6"/>
  <c r="Y333" i="4"/>
  <c r="Z333" i="4"/>
  <c r="Y272" i="4"/>
  <c r="Z272" i="4"/>
  <c r="Y292" i="4"/>
  <c r="Z292" i="4"/>
  <c r="AB244" i="6"/>
  <c r="AC244" i="6"/>
  <c r="Y241" i="4"/>
  <c r="Z241" i="4"/>
  <c r="Y260" i="4"/>
  <c r="Z260" i="4"/>
  <c r="Y238" i="4"/>
  <c r="Z238" i="4"/>
  <c r="Y254" i="4"/>
  <c r="Z254" i="4"/>
  <c r="Y258" i="4"/>
  <c r="Z258" i="4"/>
  <c r="Y283" i="4"/>
  <c r="Z283" i="4"/>
  <c r="Y369" i="4"/>
  <c r="Z369" i="4"/>
  <c r="Y361" i="4"/>
  <c r="Z361" i="4"/>
  <c r="AB293" i="6"/>
  <c r="AC293" i="6"/>
  <c r="Y316" i="4"/>
  <c r="Z316" i="4"/>
  <c r="Y234" i="4"/>
  <c r="Z234" i="4"/>
  <c r="O38" i="19"/>
  <c r="P38" i="19" s="1"/>
  <c r="Q38" i="19" s="1"/>
  <c r="AB340" i="6"/>
  <c r="AC340" i="6"/>
  <c r="AB254" i="6"/>
  <c r="AC254" i="6"/>
  <c r="Y359" i="22"/>
  <c r="Z359" i="22"/>
  <c r="Y360" i="20"/>
  <c r="Z360" i="20"/>
  <c r="AB280" i="6"/>
  <c r="AC280" i="6"/>
  <c r="AB239" i="6"/>
  <c r="AC239" i="6"/>
  <c r="Y289" i="4"/>
  <c r="Z289" i="4"/>
  <c r="AB271" i="6"/>
  <c r="AC271" i="6"/>
  <c r="AB347" i="6"/>
  <c r="AC347" i="6"/>
  <c r="AB229" i="6"/>
  <c r="AC229" i="6"/>
  <c r="AB266" i="6"/>
  <c r="AC266" i="6"/>
  <c r="Y309" i="4"/>
  <c r="Z309" i="4"/>
  <c r="Y363" i="4"/>
  <c r="Z363" i="4"/>
  <c r="AB278" i="6"/>
  <c r="AC278" i="6"/>
  <c r="AB265" i="6"/>
  <c r="AC265" i="6"/>
  <c r="AB248" i="6"/>
  <c r="AC248" i="6"/>
  <c r="AB267" i="6"/>
  <c r="AC267" i="6"/>
  <c r="Y267" i="4"/>
  <c r="Z267" i="4"/>
  <c r="Y341" i="4"/>
  <c r="Z341" i="4"/>
  <c r="AB232" i="6"/>
  <c r="AC232" i="6"/>
  <c r="AB357" i="6"/>
  <c r="AC357" i="6"/>
  <c r="AB331" i="6"/>
  <c r="AC331" i="6"/>
  <c r="Y367" i="4"/>
  <c r="Z367" i="4"/>
  <c r="Y232" i="4"/>
  <c r="Z232" i="4"/>
  <c r="Y373" i="4"/>
  <c r="Z373" i="4"/>
  <c r="Y312" i="20"/>
  <c r="Z312" i="20"/>
  <c r="Y332" i="20"/>
  <c r="Z332" i="20"/>
  <c r="AB365" i="6"/>
  <c r="AC365" i="6"/>
  <c r="O48" i="19"/>
  <c r="P48" i="19" s="1"/>
  <c r="Q48" i="19" s="1"/>
  <c r="Y233" i="4"/>
  <c r="Z233" i="4"/>
  <c r="AB369" i="6"/>
  <c r="AC369" i="6"/>
  <c r="AB341" i="6"/>
  <c r="AC341" i="6"/>
  <c r="AB269" i="6"/>
  <c r="AC269" i="6"/>
  <c r="Y361" i="20"/>
  <c r="Z361" i="20"/>
  <c r="Y233" i="22"/>
  <c r="Z233" i="22"/>
  <c r="Y262" i="20"/>
  <c r="Z262" i="20"/>
  <c r="Y224" i="22"/>
  <c r="Z224" i="22"/>
  <c r="AB371" i="6"/>
  <c r="AC371" i="6"/>
  <c r="AB295" i="6"/>
  <c r="AC295" i="6"/>
  <c r="AB238" i="6"/>
  <c r="AC238" i="6"/>
  <c r="AB334" i="6"/>
  <c r="AC334" i="6"/>
  <c r="AB362" i="6"/>
  <c r="AC362" i="6"/>
  <c r="Y371" i="4"/>
  <c r="Z371" i="4"/>
  <c r="Y280" i="4"/>
  <c r="Z280" i="4"/>
  <c r="AB318" i="6"/>
  <c r="AC318" i="6"/>
  <c r="AB342" i="6"/>
  <c r="AC342" i="6"/>
  <c r="Y265" i="4"/>
  <c r="Z265" i="4"/>
  <c r="AB286" i="6"/>
  <c r="AC286" i="6"/>
  <c r="K52" i="18"/>
  <c r="L52" i="18" s="1"/>
  <c r="M52" i="18" s="1"/>
  <c r="Z52" i="18" s="1"/>
  <c r="Y323" i="22"/>
  <c r="Z323" i="22"/>
  <c r="Y324" i="22"/>
  <c r="Z324" i="22"/>
  <c r="Y245" i="22"/>
  <c r="Z245" i="22"/>
  <c r="Y244" i="22"/>
  <c r="Z244" i="22"/>
  <c r="Y296" i="22"/>
  <c r="Z296" i="22"/>
  <c r="Y295" i="22"/>
  <c r="Z295" i="22"/>
  <c r="Y352" i="20"/>
  <c r="Z352" i="20"/>
  <c r="Y345" i="20"/>
  <c r="Z345" i="20"/>
  <c r="Y245" i="20"/>
  <c r="Z245" i="20"/>
  <c r="Y246" i="20"/>
  <c r="Z246" i="20"/>
  <c r="AB5" i="6"/>
  <c r="AC5" i="6"/>
  <c r="AB55" i="6"/>
  <c r="AC55" i="6"/>
  <c r="AB4" i="6"/>
  <c r="AC4" i="6"/>
  <c r="AB121" i="6"/>
  <c r="AC121" i="6"/>
  <c r="AB109" i="6"/>
  <c r="AC109" i="6"/>
  <c r="AB106" i="6"/>
  <c r="AC106" i="6"/>
  <c r="AB116" i="6"/>
  <c r="AC116" i="6"/>
  <c r="AB17" i="6"/>
  <c r="AC17" i="6"/>
  <c r="AB105" i="6"/>
  <c r="AC105" i="6"/>
  <c r="AB115" i="6"/>
  <c r="AC115" i="6"/>
  <c r="K45" i="18"/>
  <c r="L45" i="18" s="1"/>
  <c r="M45" i="18" s="1"/>
  <c r="Z45" i="18" s="1"/>
  <c r="AB15" i="6"/>
  <c r="AC15" i="6"/>
  <c r="AB65" i="6"/>
  <c r="AC65" i="6"/>
  <c r="AB11" i="6"/>
  <c r="AC11" i="6"/>
  <c r="AB57" i="6"/>
  <c r="AC57" i="6"/>
  <c r="AB123" i="6"/>
  <c r="AC123" i="6"/>
  <c r="K61" i="18"/>
  <c r="L61" i="18" s="1"/>
  <c r="M61" i="18" s="1"/>
  <c r="Z61" i="18" s="1"/>
  <c r="AB47" i="6"/>
  <c r="AC47" i="6"/>
  <c r="K62" i="18"/>
  <c r="L62" i="18" s="1"/>
  <c r="M62" i="18" s="1"/>
  <c r="Z62" i="18" s="1"/>
  <c r="AB12" i="6"/>
  <c r="AC12" i="6"/>
  <c r="AB7" i="6"/>
  <c r="AC7" i="6"/>
  <c r="AB58" i="6"/>
  <c r="AC58" i="6"/>
  <c r="AB110" i="6"/>
  <c r="AC110" i="6"/>
  <c r="AB9" i="6"/>
  <c r="AC9" i="6"/>
  <c r="AB10" i="6"/>
  <c r="AC10" i="6"/>
  <c r="AB122" i="6"/>
  <c r="AC122" i="6"/>
  <c r="AB18" i="6"/>
  <c r="AC18" i="6"/>
  <c r="M80" i="11"/>
  <c r="N80" i="11" s="1"/>
  <c r="O80" i="11" s="1"/>
  <c r="AD80" i="11" s="1"/>
  <c r="G80" i="19"/>
  <c r="AB14" i="6"/>
  <c r="AC14" i="6"/>
  <c r="AB45" i="6"/>
  <c r="AC45" i="6"/>
  <c r="AB31" i="6"/>
  <c r="AC31" i="6"/>
  <c r="AB22" i="6"/>
  <c r="AC22" i="6"/>
  <c r="AB73" i="6"/>
  <c r="AC73" i="6"/>
  <c r="AB19" i="6"/>
  <c r="AC19" i="6"/>
  <c r="AB103" i="6"/>
  <c r="AC103" i="6"/>
  <c r="AB37" i="6"/>
  <c r="AC37" i="6"/>
  <c r="K48" i="18"/>
  <c r="L48" i="18" s="1"/>
  <c r="M48" i="18" s="1"/>
  <c r="Z48" i="18" s="1"/>
  <c r="X120" i="4"/>
  <c r="Y120" i="4" s="1"/>
  <c r="AB43" i="6"/>
  <c r="AC43" i="6"/>
  <c r="AB66" i="6"/>
  <c r="AC66" i="6"/>
  <c r="C64" i="11"/>
  <c r="M64" i="11" s="1"/>
  <c r="N64" i="11" s="1"/>
  <c r="O64" i="11" s="1"/>
  <c r="AD64" i="11" s="1"/>
  <c r="AB13" i="6"/>
  <c r="AC13" i="6"/>
  <c r="AB38" i="6"/>
  <c r="AC38" i="6"/>
  <c r="AB107" i="6"/>
  <c r="AC107" i="6"/>
  <c r="AB112" i="6"/>
  <c r="AC112" i="6"/>
  <c r="AB30" i="6"/>
  <c r="AC30" i="6"/>
  <c r="AB67" i="6"/>
  <c r="AC67" i="6"/>
  <c r="AB118" i="6"/>
  <c r="AC118" i="6"/>
  <c r="AB111" i="6"/>
  <c r="AC111" i="6"/>
  <c r="AB46" i="6"/>
  <c r="AC46" i="6"/>
  <c r="AB35" i="6"/>
  <c r="AC35" i="6"/>
  <c r="AB29" i="6"/>
  <c r="AC29" i="6"/>
  <c r="AB8" i="6"/>
  <c r="AC8" i="6"/>
  <c r="AB114" i="6"/>
  <c r="AC114" i="6"/>
  <c r="AB120" i="6"/>
  <c r="AC120" i="6"/>
  <c r="AB21" i="6"/>
  <c r="AC21" i="6"/>
  <c r="M36" i="11"/>
  <c r="N36" i="11" s="1"/>
  <c r="O36" i="11" s="1"/>
  <c r="AD36" i="11" s="1"/>
  <c r="AB113" i="6"/>
  <c r="AC113" i="6"/>
  <c r="AB104" i="6"/>
  <c r="AC104" i="6"/>
  <c r="AB71" i="6"/>
  <c r="AC71" i="6"/>
  <c r="AB6" i="6"/>
  <c r="AC6" i="6"/>
  <c r="AB108" i="6"/>
  <c r="AC108" i="6"/>
  <c r="AB119" i="6"/>
  <c r="AC119" i="6"/>
  <c r="Y148" i="4"/>
  <c r="Z148" i="4"/>
  <c r="Y207" i="4"/>
  <c r="Z207" i="4"/>
  <c r="Y144" i="4"/>
  <c r="Z144" i="4"/>
  <c r="Y222" i="4"/>
  <c r="Z222" i="4"/>
  <c r="Y55" i="4"/>
  <c r="Z55" i="4"/>
  <c r="K78" i="18"/>
  <c r="L78" i="18" s="1"/>
  <c r="M78" i="18" s="1"/>
  <c r="Z78" i="18" s="1"/>
  <c r="Y210" i="4"/>
  <c r="Z210" i="4"/>
  <c r="AB80" i="6"/>
  <c r="AC80" i="6"/>
  <c r="AB98" i="6"/>
  <c r="AC98" i="6"/>
  <c r="AB89" i="6"/>
  <c r="AC89" i="6"/>
  <c r="Y161" i="4"/>
  <c r="Z161" i="4"/>
  <c r="Y14" i="4"/>
  <c r="Z14" i="4"/>
  <c r="Y78" i="4"/>
  <c r="Z78" i="4"/>
  <c r="AB203" i="6"/>
  <c r="AC203" i="6"/>
  <c r="AB146" i="6"/>
  <c r="AC146" i="6"/>
  <c r="AB184" i="6"/>
  <c r="AC184" i="6"/>
  <c r="Y11" i="4"/>
  <c r="Z11" i="4"/>
  <c r="AB147" i="6"/>
  <c r="AC147" i="6"/>
  <c r="AB204" i="6"/>
  <c r="AC204" i="6"/>
  <c r="Y12" i="4"/>
  <c r="Z12" i="4"/>
  <c r="AB168" i="6"/>
  <c r="AC168" i="6"/>
  <c r="AB159" i="6"/>
  <c r="AC159" i="6"/>
  <c r="AB173" i="6"/>
  <c r="AC173" i="6"/>
  <c r="Y98" i="4"/>
  <c r="Z98" i="4"/>
  <c r="AB209" i="6"/>
  <c r="AC209" i="6"/>
  <c r="AB210" i="6"/>
  <c r="AC210" i="6"/>
  <c r="Y9" i="4"/>
  <c r="Z9" i="4"/>
  <c r="Y190" i="4"/>
  <c r="Z190" i="4"/>
  <c r="Y173" i="4"/>
  <c r="Z173" i="4"/>
  <c r="AB156" i="6"/>
  <c r="AC156" i="6"/>
  <c r="Y197" i="4"/>
  <c r="Z197" i="4"/>
  <c r="Y54" i="4"/>
  <c r="Z54" i="4"/>
  <c r="Y48" i="4"/>
  <c r="Z48" i="4"/>
  <c r="Y106" i="4"/>
  <c r="Z106" i="4"/>
  <c r="Y183" i="4"/>
  <c r="Z183" i="4"/>
  <c r="Y122" i="4"/>
  <c r="Z122" i="4"/>
  <c r="AB158" i="6"/>
  <c r="AC158" i="6"/>
  <c r="AB192" i="6"/>
  <c r="AC192" i="6"/>
  <c r="AB95" i="6"/>
  <c r="AC95" i="6"/>
  <c r="Y81" i="4"/>
  <c r="Z81" i="4"/>
  <c r="Y223" i="4"/>
  <c r="Z223" i="4"/>
  <c r="Y32" i="4"/>
  <c r="Z32" i="4"/>
  <c r="Y112" i="4"/>
  <c r="Z112" i="4"/>
  <c r="AB166" i="6"/>
  <c r="AC166" i="6"/>
  <c r="Y70" i="4"/>
  <c r="Z70" i="4"/>
  <c r="Y165" i="4"/>
  <c r="Z165" i="4"/>
  <c r="Y105" i="4"/>
  <c r="Z105" i="4"/>
  <c r="Y133" i="4"/>
  <c r="Z133" i="4"/>
  <c r="AB180" i="6"/>
  <c r="AC180" i="6"/>
  <c r="K67" i="18"/>
  <c r="L67" i="18" s="1"/>
  <c r="M67" i="18" s="1"/>
  <c r="Z67" i="18" s="1"/>
  <c r="K66" i="18"/>
  <c r="L66" i="18" s="1"/>
  <c r="M66" i="18" s="1"/>
  <c r="Z66" i="18" s="1"/>
  <c r="Y118" i="4"/>
  <c r="Z118" i="4"/>
  <c r="Y87" i="4"/>
  <c r="Z87" i="4"/>
  <c r="Y129" i="4"/>
  <c r="Z129" i="4"/>
  <c r="Y82" i="4"/>
  <c r="Z82" i="4"/>
  <c r="AB212" i="6"/>
  <c r="AC212" i="6"/>
  <c r="AB219" i="6"/>
  <c r="AC219" i="6"/>
  <c r="AB85" i="6"/>
  <c r="AC85" i="6"/>
  <c r="Y5" i="4"/>
  <c r="Z5" i="4"/>
  <c r="Y220" i="4"/>
  <c r="Z220" i="4"/>
  <c r="AB172" i="6"/>
  <c r="AC172" i="6"/>
  <c r="Y155" i="4"/>
  <c r="Z155" i="4"/>
  <c r="AB83" i="6"/>
  <c r="AC83" i="6"/>
  <c r="Y170" i="4"/>
  <c r="Z170" i="4"/>
  <c r="K68" i="18"/>
  <c r="L68" i="18" s="1"/>
  <c r="M68" i="18" s="1"/>
  <c r="Z68" i="18" s="1"/>
  <c r="AB206" i="6"/>
  <c r="AC206" i="6"/>
  <c r="K70" i="18"/>
  <c r="L70" i="18" s="1"/>
  <c r="M70" i="18" s="1"/>
  <c r="Z70" i="18" s="1"/>
  <c r="AB82" i="6"/>
  <c r="AC82" i="6"/>
  <c r="Y209" i="4"/>
  <c r="Z209" i="4"/>
  <c r="AB221" i="6"/>
  <c r="AC221" i="6"/>
  <c r="Y132" i="4"/>
  <c r="Z132" i="4"/>
  <c r="Y195" i="4"/>
  <c r="Z195" i="4"/>
  <c r="Y86" i="4"/>
  <c r="Z86" i="4"/>
  <c r="Y90" i="4"/>
  <c r="Z90" i="4"/>
  <c r="AB220" i="6"/>
  <c r="AC220" i="6"/>
  <c r="Y169" i="4"/>
  <c r="Z169" i="4"/>
  <c r="AB92" i="6"/>
  <c r="AC92" i="6"/>
  <c r="AB142" i="6"/>
  <c r="AC142" i="6"/>
  <c r="Y46" i="4"/>
  <c r="Z46" i="4"/>
  <c r="Y147" i="4"/>
  <c r="Z147" i="4"/>
  <c r="Y92" i="4"/>
  <c r="Z92" i="4"/>
  <c r="Y91" i="4"/>
  <c r="Z91" i="4"/>
  <c r="Y89" i="4"/>
  <c r="Z89" i="4"/>
  <c r="Y184" i="4"/>
  <c r="Z184" i="4"/>
  <c r="Y39" i="4"/>
  <c r="Z39" i="4"/>
  <c r="Y134" i="4"/>
  <c r="Z134" i="4"/>
  <c r="Y104" i="4"/>
  <c r="Z104" i="4"/>
  <c r="Y186" i="4"/>
  <c r="Z186" i="4"/>
  <c r="Y38" i="4"/>
  <c r="Z38" i="4"/>
  <c r="AB133" i="6"/>
  <c r="AC133" i="6"/>
  <c r="AB216" i="6"/>
  <c r="AC216" i="6"/>
  <c r="AB186" i="6"/>
  <c r="AC186" i="6"/>
  <c r="Y22" i="4"/>
  <c r="Z22" i="4"/>
  <c r="AB179" i="6"/>
  <c r="AC179" i="6"/>
  <c r="Y4" i="4"/>
  <c r="Z4" i="4"/>
  <c r="Y135" i="4"/>
  <c r="Z135" i="4"/>
  <c r="Y131" i="4"/>
  <c r="Z131" i="4"/>
  <c r="Y79" i="4"/>
  <c r="Z79" i="4"/>
  <c r="Y215" i="4"/>
  <c r="Z215" i="4"/>
  <c r="AB138" i="6"/>
  <c r="AC138" i="6"/>
  <c r="AB215" i="6"/>
  <c r="AC215" i="6"/>
  <c r="AB189" i="6"/>
  <c r="AC189" i="6"/>
  <c r="Y189" i="4"/>
  <c r="Z189" i="4"/>
  <c r="Y119" i="4"/>
  <c r="Z119" i="4"/>
  <c r="Y143" i="4"/>
  <c r="Z143" i="4"/>
  <c r="Y167" i="4"/>
  <c r="Z167" i="4"/>
  <c r="Y113" i="4"/>
  <c r="Z113" i="4"/>
  <c r="Y114" i="4"/>
  <c r="Z114" i="4"/>
  <c r="Y168" i="4"/>
  <c r="Z168" i="4"/>
  <c r="Y193" i="4"/>
  <c r="Z193" i="4"/>
  <c r="K42" i="18"/>
  <c r="L42" i="18" s="1"/>
  <c r="M42" i="18" s="1"/>
  <c r="Z42" i="18" s="1"/>
  <c r="K51" i="18"/>
  <c r="L51" i="18" s="1"/>
  <c r="M51" i="18" s="1"/>
  <c r="Z51" i="18" s="1"/>
  <c r="K64" i="18"/>
  <c r="L64" i="18" s="1"/>
  <c r="M64" i="18" s="1"/>
  <c r="Z64" i="18" s="1"/>
  <c r="Y19" i="4"/>
  <c r="Z19" i="4"/>
  <c r="AB97" i="6"/>
  <c r="AC97" i="6"/>
  <c r="AB198" i="6"/>
  <c r="AC198" i="6"/>
  <c r="AB141" i="6"/>
  <c r="AC141" i="6"/>
  <c r="Y141" i="4"/>
  <c r="Z141" i="4"/>
  <c r="Y181" i="4"/>
  <c r="Z181" i="4"/>
  <c r="Y18" i="4"/>
  <c r="Z18" i="4"/>
  <c r="AB139" i="6"/>
  <c r="AC139" i="6"/>
  <c r="AB214" i="6"/>
  <c r="AC214" i="6"/>
  <c r="Y20" i="4"/>
  <c r="Z20" i="4"/>
  <c r="AB164" i="6"/>
  <c r="AC164" i="6"/>
  <c r="Y187" i="4"/>
  <c r="Z187" i="4"/>
  <c r="AB136" i="6"/>
  <c r="AC136" i="6"/>
  <c r="AB128" i="6"/>
  <c r="AC128" i="6"/>
  <c r="AB187" i="6"/>
  <c r="AC187" i="6"/>
  <c r="Y15" i="4"/>
  <c r="Z15" i="4"/>
  <c r="AB135" i="6"/>
  <c r="AC135" i="6"/>
  <c r="Y107" i="4"/>
  <c r="Z107" i="4"/>
  <c r="Y157" i="4"/>
  <c r="Z157" i="4"/>
  <c r="AB167" i="6"/>
  <c r="AC167" i="6"/>
  <c r="AB129" i="6"/>
  <c r="AC129" i="6"/>
  <c r="M43" i="11"/>
  <c r="N43" i="11" s="1"/>
  <c r="O43" i="11" s="1"/>
  <c r="AD43" i="11" s="1"/>
  <c r="AB134" i="6"/>
  <c r="AC134" i="6"/>
  <c r="Y198" i="4"/>
  <c r="Z198" i="4"/>
  <c r="Y163" i="4"/>
  <c r="Z163" i="4"/>
  <c r="Y68" i="4"/>
  <c r="Z68" i="4"/>
  <c r="AB90" i="6"/>
  <c r="AC90" i="6"/>
  <c r="AB169" i="6"/>
  <c r="AC169" i="6"/>
  <c r="AB96" i="6"/>
  <c r="AC96" i="6"/>
  <c r="Y88" i="4"/>
  <c r="Z88" i="4"/>
  <c r="Y64" i="4"/>
  <c r="Z64" i="4"/>
  <c r="AB79" i="6"/>
  <c r="AC79" i="6"/>
  <c r="Y137" i="4"/>
  <c r="Z137" i="4"/>
  <c r="Y171" i="4"/>
  <c r="Z171" i="4"/>
  <c r="Y30" i="4"/>
  <c r="Z30" i="4"/>
  <c r="AB190" i="6"/>
  <c r="AC190" i="6"/>
  <c r="Y154" i="4"/>
  <c r="Z154" i="4"/>
  <c r="Y97" i="4"/>
  <c r="Z97" i="4"/>
  <c r="AB81" i="6"/>
  <c r="AC81" i="6"/>
  <c r="AB162" i="6"/>
  <c r="AC162" i="6"/>
  <c r="Y191" i="4"/>
  <c r="Z191" i="4"/>
  <c r="Y180" i="4"/>
  <c r="Z180" i="4"/>
  <c r="Y62" i="4"/>
  <c r="Z62" i="4"/>
  <c r="K71" i="18"/>
  <c r="L71" i="18" s="1"/>
  <c r="M71" i="18" s="1"/>
  <c r="Z71" i="18" s="1"/>
  <c r="Y219" i="4"/>
  <c r="Z219" i="4"/>
  <c r="Y160" i="4"/>
  <c r="Z160" i="4"/>
  <c r="Y56" i="4"/>
  <c r="Z56" i="4"/>
  <c r="Y84" i="4"/>
  <c r="Z84" i="4"/>
  <c r="AB155" i="6"/>
  <c r="AC155" i="6"/>
  <c r="AB185" i="6"/>
  <c r="AC185" i="6"/>
  <c r="AB178" i="6"/>
  <c r="AC178" i="6"/>
  <c r="Y95" i="4"/>
  <c r="Z95" i="4"/>
  <c r="K44" i="18"/>
  <c r="L44" i="18" s="1"/>
  <c r="M44" i="18" s="1"/>
  <c r="Z44" i="18" s="1"/>
  <c r="AB84" i="6"/>
  <c r="AC84" i="6"/>
  <c r="Y108" i="4"/>
  <c r="Z108" i="4"/>
  <c r="Y110" i="4"/>
  <c r="Z110" i="4"/>
  <c r="AB207" i="6"/>
  <c r="AC207" i="6"/>
  <c r="Y96" i="4"/>
  <c r="Z96" i="4"/>
  <c r="Y204" i="4"/>
  <c r="Z204" i="4"/>
  <c r="Y31" i="4"/>
  <c r="Z31" i="4"/>
  <c r="Y109" i="4"/>
  <c r="Z109" i="4"/>
  <c r="Y115" i="4"/>
  <c r="Z115" i="4"/>
  <c r="AB88" i="6"/>
  <c r="AC88" i="6"/>
  <c r="AB153" i="6"/>
  <c r="AC153" i="6"/>
  <c r="AB181" i="6"/>
  <c r="AC181" i="6"/>
  <c r="Y142" i="4"/>
  <c r="Z142" i="4"/>
  <c r="Y217" i="4"/>
  <c r="Z217" i="4"/>
  <c r="Y83" i="4"/>
  <c r="Z83" i="4"/>
  <c r="K76" i="18"/>
  <c r="L76" i="18" s="1"/>
  <c r="M76" i="18" s="1"/>
  <c r="Z76" i="18" s="1"/>
  <c r="Y17" i="4"/>
  <c r="Z17" i="4"/>
  <c r="Y13" i="4"/>
  <c r="Z13" i="4"/>
  <c r="AB143" i="6"/>
  <c r="AC143" i="6"/>
  <c r="AB140" i="6"/>
  <c r="AC140" i="6"/>
  <c r="AB171" i="6"/>
  <c r="AC171" i="6"/>
  <c r="Y166" i="4"/>
  <c r="Z166" i="4"/>
  <c r="AB193" i="6"/>
  <c r="AC193" i="6"/>
  <c r="AB191" i="6"/>
  <c r="AC191" i="6"/>
  <c r="Y138" i="4"/>
  <c r="Z138" i="4"/>
  <c r="AB223" i="6"/>
  <c r="AC223" i="6"/>
  <c r="AB183" i="6"/>
  <c r="AC183" i="6"/>
  <c r="Y158" i="4"/>
  <c r="Z158" i="4"/>
  <c r="AB91" i="6"/>
  <c r="AC91" i="6"/>
  <c r="AB205" i="6"/>
  <c r="AC205" i="6"/>
  <c r="AB208" i="6"/>
  <c r="AC208" i="6"/>
  <c r="Y182" i="4"/>
  <c r="Z182" i="4"/>
  <c r="Y178" i="4"/>
  <c r="Z178" i="4"/>
  <c r="Y63" i="4"/>
  <c r="Z63" i="4"/>
  <c r="AB131" i="6"/>
  <c r="AC131" i="6"/>
  <c r="Y10" i="4"/>
  <c r="Z10" i="4"/>
  <c r="AB78" i="6"/>
  <c r="AC78" i="6"/>
  <c r="AB196" i="6"/>
  <c r="AC196" i="6"/>
  <c r="Y80" i="4"/>
  <c r="Z80" i="4"/>
  <c r="AB182" i="6"/>
  <c r="AC182" i="6"/>
  <c r="AB218" i="6"/>
  <c r="AC218" i="6"/>
  <c r="Y153" i="4"/>
  <c r="Z153" i="4"/>
  <c r="Y69" i="4"/>
  <c r="Z69" i="4"/>
  <c r="AB161" i="6"/>
  <c r="AC161" i="6"/>
  <c r="Y216" i="4"/>
  <c r="Z216" i="4"/>
  <c r="Y123" i="4"/>
  <c r="Z123" i="4"/>
  <c r="Y140" i="4"/>
  <c r="Z140" i="4"/>
  <c r="Y94" i="4"/>
  <c r="Z94" i="4"/>
  <c r="Y28" i="4"/>
  <c r="Z28" i="4"/>
  <c r="Y59" i="4"/>
  <c r="Z59" i="4"/>
  <c r="AB154" i="6"/>
  <c r="AC154" i="6"/>
  <c r="Y162" i="4"/>
  <c r="Z162" i="4"/>
  <c r="Y203" i="4"/>
  <c r="Z203" i="4"/>
  <c r="AB170" i="6"/>
  <c r="AC170" i="6"/>
  <c r="Y194" i="4"/>
  <c r="Z194" i="4"/>
  <c r="Y214" i="4"/>
  <c r="Z214" i="4"/>
  <c r="Y146" i="4"/>
  <c r="Z146" i="4"/>
  <c r="Y53" i="4"/>
  <c r="Z53" i="4"/>
  <c r="K81" i="18"/>
  <c r="L81" i="18" s="1"/>
  <c r="M81" i="18" s="1"/>
  <c r="Z81" i="18" s="1"/>
  <c r="K72" i="18"/>
  <c r="L72" i="18" s="1"/>
  <c r="M72" i="18" s="1"/>
  <c r="Z72" i="18" s="1"/>
  <c r="Y188" i="4"/>
  <c r="Z188" i="4"/>
  <c r="Y213" i="4"/>
  <c r="Z213" i="4"/>
  <c r="Y116" i="4"/>
  <c r="Z116" i="4"/>
  <c r="AB165" i="6"/>
  <c r="AC165" i="6"/>
  <c r="Y218" i="4"/>
  <c r="Z218" i="4"/>
  <c r="K77" i="18"/>
  <c r="L77" i="18" s="1"/>
  <c r="M77" i="18" s="1"/>
  <c r="Z77" i="18" s="1"/>
  <c r="AB145" i="6"/>
  <c r="AC145" i="6"/>
  <c r="AB148" i="6"/>
  <c r="AC148" i="6"/>
  <c r="Y8" i="4"/>
  <c r="Z8" i="4"/>
  <c r="AB188" i="6"/>
  <c r="AC188" i="6"/>
  <c r="Y185" i="4"/>
  <c r="Z185" i="4"/>
  <c r="Y21" i="4"/>
  <c r="Z21" i="4"/>
  <c r="AB194" i="6"/>
  <c r="AC194" i="6"/>
  <c r="E65" i="19"/>
  <c r="G77" i="11"/>
  <c r="X77" i="11" s="1"/>
  <c r="E78" i="11"/>
  <c r="V78" i="11" s="1"/>
  <c r="X342" i="4"/>
  <c r="C34" i="11"/>
  <c r="T34" i="11" s="1"/>
  <c r="X319" i="4"/>
  <c r="X286" i="4"/>
  <c r="M72" i="19"/>
  <c r="O72" i="19" s="1"/>
  <c r="P72" i="19" s="1"/>
  <c r="Q72" i="19" s="1"/>
  <c r="M71" i="19"/>
  <c r="G68" i="19"/>
  <c r="E70" i="19"/>
  <c r="E74" i="11"/>
  <c r="V74" i="11" s="1"/>
  <c r="C51" i="19"/>
  <c r="X311" i="4"/>
  <c r="X279" i="4"/>
  <c r="C35" i="11"/>
  <c r="X340" i="4"/>
  <c r="G36" i="18"/>
  <c r="V36" i="18" s="1"/>
  <c r="M77" i="19"/>
  <c r="M60" i="19"/>
  <c r="O60" i="19" s="1"/>
  <c r="P60" i="19" s="1"/>
  <c r="Q60" i="19" s="1"/>
  <c r="AA228" i="6"/>
  <c r="G82" i="11"/>
  <c r="X82" i="11" s="1"/>
  <c r="G81" i="11"/>
  <c r="X81" i="11" s="1"/>
  <c r="K78" i="19"/>
  <c r="E46" i="19"/>
  <c r="O46" i="19" s="1"/>
  <c r="P46" i="19" s="1"/>
  <c r="Q46" i="19" s="1"/>
  <c r="C68" i="19"/>
  <c r="C43" i="19"/>
  <c r="X117" i="4"/>
  <c r="G41" i="11"/>
  <c r="X41" i="11" s="1"/>
  <c r="K63" i="19"/>
  <c r="O63" i="19" s="1"/>
  <c r="P63" i="19" s="1"/>
  <c r="Q63" i="19" s="1"/>
  <c r="E44" i="19"/>
  <c r="M49" i="19"/>
  <c r="C50" i="18"/>
  <c r="R50" i="18" s="1"/>
  <c r="G67" i="19"/>
  <c r="AA260" i="6"/>
  <c r="K75" i="19"/>
  <c r="I73" i="18"/>
  <c r="X73" i="18" s="1"/>
  <c r="K45" i="19"/>
  <c r="C40" i="11"/>
  <c r="T40" i="11" s="1"/>
  <c r="I50" i="19"/>
  <c r="C38" i="18"/>
  <c r="R38" i="18" s="1"/>
  <c r="G42" i="19"/>
  <c r="O42" i="19" s="1"/>
  <c r="P42" i="19" s="1"/>
  <c r="Q42" i="19" s="1"/>
  <c r="I68" i="19"/>
  <c r="AA311" i="6"/>
  <c r="AA283" i="6"/>
  <c r="G65" i="19"/>
  <c r="X262" i="4"/>
  <c r="E41" i="19"/>
  <c r="C42" i="11"/>
  <c r="T42" i="11" s="1"/>
  <c r="M80" i="19"/>
  <c r="AA117" i="6"/>
  <c r="E76" i="11"/>
  <c r="V76" i="11" s="1"/>
  <c r="AA243" i="6"/>
  <c r="C75" i="19"/>
  <c r="AA319" i="6"/>
  <c r="I76" i="19"/>
  <c r="AA59" i="6"/>
  <c r="K68" i="11"/>
  <c r="AB68" i="11" s="1"/>
  <c r="AA69" i="6"/>
  <c r="K78" i="11"/>
  <c r="AB78" i="11" s="1"/>
  <c r="AA39" i="6"/>
  <c r="I73" i="11"/>
  <c r="Z73" i="11" s="1"/>
  <c r="AA68" i="6"/>
  <c r="K77" i="11"/>
  <c r="AB77" i="11" s="1"/>
  <c r="AA54" i="6"/>
  <c r="K63" i="11"/>
  <c r="AB63" i="11" s="1"/>
  <c r="AA41" i="6"/>
  <c r="I75" i="11"/>
  <c r="X7" i="4"/>
  <c r="C37" i="11"/>
  <c r="T37" i="11" s="1"/>
  <c r="C69" i="18"/>
  <c r="R69" i="18" s="1"/>
  <c r="AA86" i="6"/>
  <c r="AA132" i="6"/>
  <c r="E65" i="18"/>
  <c r="T65" i="18" s="1"/>
  <c r="AA20" i="6"/>
  <c r="C79" i="11"/>
  <c r="T79" i="11" s="1"/>
  <c r="AA314" i="6"/>
  <c r="I71" i="19"/>
  <c r="M62" i="19"/>
  <c r="O62" i="19" s="1"/>
  <c r="P62" i="19" s="1"/>
  <c r="Q62" i="19" s="1"/>
  <c r="AA355" i="6"/>
  <c r="AA61" i="6"/>
  <c r="K70" i="11"/>
  <c r="AB70" i="11" s="1"/>
  <c r="AA60" i="6"/>
  <c r="K69" i="11"/>
  <c r="AA48" i="6"/>
  <c r="I82" i="11"/>
  <c r="Z82" i="11" s="1"/>
  <c r="AA36" i="6"/>
  <c r="I70" i="11"/>
  <c r="Z70" i="11" s="1"/>
  <c r="AA63" i="6"/>
  <c r="K72" i="11"/>
  <c r="AB72" i="11" s="1"/>
  <c r="AA34" i="6"/>
  <c r="I68" i="11"/>
  <c r="Z68" i="11" s="1"/>
  <c r="X206" i="4"/>
  <c r="I35" i="18"/>
  <c r="X243" i="4"/>
  <c r="C47" i="19"/>
  <c r="X257" i="4"/>
  <c r="E36" i="19"/>
  <c r="AA366" i="6"/>
  <c r="M73" i="19"/>
  <c r="AA237" i="6"/>
  <c r="C69" i="19"/>
  <c r="O69" i="19" s="1"/>
  <c r="P69" i="19" s="1"/>
  <c r="Q69" i="19" s="1"/>
  <c r="AA70" i="6"/>
  <c r="K79" i="11"/>
  <c r="AB79" i="11" s="1"/>
  <c r="AA56" i="6"/>
  <c r="K65" i="11"/>
  <c r="AB65" i="11" s="1"/>
  <c r="AA53" i="6"/>
  <c r="K62" i="11"/>
  <c r="AB62" i="11" s="1"/>
  <c r="AA42" i="6"/>
  <c r="I76" i="11"/>
  <c r="Z76" i="11" s="1"/>
  <c r="AA62" i="6"/>
  <c r="K71" i="11"/>
  <c r="AA28" i="6"/>
  <c r="I62" i="11"/>
  <c r="Z62" i="11" s="1"/>
  <c r="AA246" i="6"/>
  <c r="C78" i="19"/>
  <c r="AA163" i="6"/>
  <c r="G72" i="11"/>
  <c r="X72" i="11" s="1"/>
  <c r="K45" i="11"/>
  <c r="AB45" i="11" s="1"/>
  <c r="X65" i="4"/>
  <c r="AA32" i="6"/>
  <c r="I66" i="11"/>
  <c r="M66" i="11" s="1"/>
  <c r="N66" i="11" s="1"/>
  <c r="O66" i="11" s="1"/>
  <c r="AD66" i="11" s="1"/>
  <c r="AA33" i="6"/>
  <c r="I67" i="11"/>
  <c r="AA64" i="6"/>
  <c r="K73" i="11"/>
  <c r="AB73" i="11" s="1"/>
  <c r="AA40" i="6"/>
  <c r="I74" i="11"/>
  <c r="Z74" i="11" s="1"/>
  <c r="AA72" i="6"/>
  <c r="K81" i="11"/>
  <c r="AB81" i="11" s="1"/>
  <c r="AA44" i="6"/>
  <c r="I78" i="11"/>
  <c r="Z78" i="11" s="1"/>
  <c r="C82" i="11"/>
  <c r="T82" i="11" s="1"/>
  <c r="AA338" i="6"/>
  <c r="K70" i="19"/>
  <c r="I79" i="19"/>
  <c r="O79" i="19" s="1"/>
  <c r="P79" i="19" s="1"/>
  <c r="Q79" i="19" s="1"/>
  <c r="AA322" i="6"/>
  <c r="X43" i="4"/>
  <c r="I48" i="11"/>
  <c r="X40" i="4"/>
  <c r="I45" i="11"/>
  <c r="Z45" i="11" s="1"/>
  <c r="X45" i="4"/>
  <c r="I50" i="11"/>
  <c r="X237" i="4"/>
  <c r="C41" i="19"/>
  <c r="X339" i="4"/>
  <c r="K43" i="19"/>
  <c r="X282" i="4"/>
  <c r="G36" i="19"/>
  <c r="X346" i="4"/>
  <c r="K50" i="19"/>
  <c r="X136" i="4"/>
  <c r="E40" i="18"/>
  <c r="T40" i="18" s="1"/>
  <c r="X345" i="4"/>
  <c r="K49" i="19"/>
  <c r="X128" i="4"/>
  <c r="E32" i="18"/>
  <c r="T32" i="18" s="1"/>
  <c r="X245" i="4"/>
  <c r="C49" i="19"/>
  <c r="X61" i="4"/>
  <c r="K41" i="11"/>
  <c r="AB41" i="11" s="1"/>
  <c r="X159" i="4"/>
  <c r="G39" i="11"/>
  <c r="X39" i="11" s="1"/>
  <c r="X211" i="4"/>
  <c r="I40" i="18"/>
  <c r="X40" i="18" s="1"/>
  <c r="X261" i="4"/>
  <c r="E40" i="19"/>
  <c r="O40" i="19" s="1"/>
  <c r="P40" i="19" s="1"/>
  <c r="Q40" i="19" s="1"/>
  <c r="X364" i="4"/>
  <c r="M43" i="19"/>
  <c r="X307" i="4"/>
  <c r="I36" i="19"/>
  <c r="X111" i="4"/>
  <c r="E41" i="11"/>
  <c r="V41" i="11" s="1"/>
  <c r="X343" i="4"/>
  <c r="K47" i="19"/>
  <c r="X304" i="4"/>
  <c r="I33" i="19"/>
  <c r="X58" i="4"/>
  <c r="K38" i="11"/>
  <c r="AB38" i="11" s="1"/>
  <c r="X73" i="4"/>
  <c r="K53" i="11"/>
  <c r="X164" i="4"/>
  <c r="G44" i="11"/>
  <c r="X47" i="4"/>
  <c r="I52" i="11"/>
  <c r="Z52" i="11" s="1"/>
  <c r="X298" i="4"/>
  <c r="G52" i="19"/>
  <c r="X145" i="4"/>
  <c r="E49" i="18"/>
  <c r="X295" i="4"/>
  <c r="G49" i="19"/>
  <c r="X44" i="4"/>
  <c r="I49" i="11"/>
  <c r="X192" i="4"/>
  <c r="G46" i="18"/>
  <c r="V46" i="18" s="1"/>
  <c r="X60" i="4"/>
  <c r="K40" i="11"/>
  <c r="AB40" i="11" s="1"/>
  <c r="X368" i="4"/>
  <c r="M47" i="19"/>
  <c r="X348" i="4"/>
  <c r="K52" i="19"/>
  <c r="X41" i="4"/>
  <c r="I46" i="11"/>
  <c r="Z46" i="11" s="1"/>
  <c r="X35" i="4"/>
  <c r="I40" i="11"/>
  <c r="Z40" i="11" s="1"/>
  <c r="X37" i="4"/>
  <c r="I42" i="11"/>
  <c r="Z42" i="11" s="1"/>
  <c r="X331" i="4"/>
  <c r="K35" i="19"/>
  <c r="X221" i="4"/>
  <c r="I50" i="18"/>
  <c r="X50" i="18" s="1"/>
  <c r="X67" i="4"/>
  <c r="K47" i="11"/>
  <c r="AB47" i="11" s="1"/>
  <c r="X36" i="4"/>
  <c r="I41" i="11"/>
  <c r="Z41" i="11" s="1"/>
  <c r="X139" i="4"/>
  <c r="E43" i="18"/>
  <c r="T43" i="18" s="1"/>
  <c r="X278" i="4"/>
  <c r="G32" i="19"/>
  <c r="X212" i="4"/>
  <c r="I41" i="18"/>
  <c r="X248" i="4"/>
  <c r="C52" i="19"/>
  <c r="X179" i="4"/>
  <c r="G33" i="18"/>
  <c r="V33" i="18" s="1"/>
  <c r="X360" i="4"/>
  <c r="M39" i="19"/>
  <c r="X172" i="4"/>
  <c r="G52" i="11"/>
  <c r="X52" i="11" s="1"/>
  <c r="X208" i="4"/>
  <c r="I37" i="18"/>
  <c r="AA197" i="6"/>
  <c r="G80" i="18"/>
  <c r="X365" i="4"/>
  <c r="M44" i="19"/>
  <c r="X42" i="4"/>
  <c r="I47" i="11"/>
  <c r="Z47" i="11" s="1"/>
  <c r="AA270" i="6"/>
  <c r="E77" i="19"/>
  <c r="X34" i="4"/>
  <c r="I39" i="11"/>
  <c r="Z39" i="11" s="1"/>
  <c r="X33" i="4"/>
  <c r="I38" i="11"/>
  <c r="Z38" i="11" s="1"/>
  <c r="X57" i="4"/>
  <c r="K37" i="11"/>
  <c r="AB37" i="11" s="1"/>
  <c r="X103" i="4"/>
  <c r="E33" i="11"/>
  <c r="X356" i="4"/>
  <c r="M35" i="19"/>
  <c r="Y196" i="4"/>
  <c r="G50" i="18"/>
  <c r="V50" i="18" s="1"/>
  <c r="X71" i="4"/>
  <c r="K51" i="11"/>
  <c r="AB51" i="11" s="1"/>
  <c r="X72" i="4"/>
  <c r="K52" i="11"/>
  <c r="AB52" i="11" s="1"/>
  <c r="X66" i="4"/>
  <c r="K46" i="11"/>
  <c r="AB46" i="11" s="1"/>
  <c r="X121" i="4"/>
  <c r="E51" i="11"/>
  <c r="V51" i="11" s="1"/>
  <c r="X229" i="4"/>
  <c r="C33" i="19"/>
  <c r="X335" i="4"/>
  <c r="K39" i="19"/>
  <c r="X205" i="4"/>
  <c r="I34" i="18"/>
  <c r="X34" i="18" s="1"/>
  <c r="X85" i="4"/>
  <c r="C39" i="18"/>
  <c r="R39" i="18" s="1"/>
  <c r="X29" i="4"/>
  <c r="I34" i="11"/>
  <c r="Z34" i="11" s="1"/>
  <c r="X291" i="4"/>
  <c r="G45" i="19"/>
  <c r="X93" i="4"/>
  <c r="C47" i="18"/>
  <c r="R47" i="18" s="1"/>
  <c r="X322" i="4"/>
  <c r="I51" i="19"/>
  <c r="X328" i="4"/>
  <c r="K32" i="19"/>
  <c r="T34" i="4"/>
  <c r="Z66" i="11" l="1"/>
  <c r="K80" i="18"/>
  <c r="L80" i="18" s="1"/>
  <c r="M80" i="18" s="1"/>
  <c r="Z80" i="18" s="1"/>
  <c r="V80" i="18"/>
  <c r="K75" i="18"/>
  <c r="L75" i="18" s="1"/>
  <c r="M75" i="18" s="1"/>
  <c r="Z75" i="18" s="1"/>
  <c r="M33" i="11"/>
  <c r="N33" i="11" s="1"/>
  <c r="O33" i="11" s="1"/>
  <c r="AD33" i="11" s="1"/>
  <c r="V33" i="11"/>
  <c r="M49" i="11"/>
  <c r="N49" i="11" s="1"/>
  <c r="O49" i="11" s="1"/>
  <c r="AD49" i="11" s="1"/>
  <c r="Z49" i="11"/>
  <c r="M69" i="11"/>
  <c r="N69" i="11" s="1"/>
  <c r="O69" i="11" s="1"/>
  <c r="AD69" i="11" s="1"/>
  <c r="AB69" i="11"/>
  <c r="M71" i="11"/>
  <c r="N71" i="11" s="1"/>
  <c r="O71" i="11" s="1"/>
  <c r="AD71" i="11" s="1"/>
  <c r="AB71" i="11"/>
  <c r="M35" i="11"/>
  <c r="N35" i="11" s="1"/>
  <c r="O35" i="11" s="1"/>
  <c r="AD35" i="11" s="1"/>
  <c r="T35" i="11"/>
  <c r="M50" i="11"/>
  <c r="N50" i="11" s="1"/>
  <c r="O50" i="11" s="1"/>
  <c r="AD50" i="11" s="1"/>
  <c r="Z50" i="11"/>
  <c r="M44" i="11"/>
  <c r="N44" i="11" s="1"/>
  <c r="O44" i="11" s="1"/>
  <c r="AD44" i="11" s="1"/>
  <c r="X44" i="11"/>
  <c r="T64" i="11"/>
  <c r="M75" i="11"/>
  <c r="N75" i="11" s="1"/>
  <c r="O75" i="11" s="1"/>
  <c r="AD75" i="11" s="1"/>
  <c r="Z75" i="11"/>
  <c r="M67" i="11"/>
  <c r="N67" i="11" s="1"/>
  <c r="O67" i="11" s="1"/>
  <c r="AD67" i="11" s="1"/>
  <c r="Z67" i="11"/>
  <c r="M53" i="11"/>
  <c r="N53" i="11" s="1"/>
  <c r="O53" i="11" s="1"/>
  <c r="AD53" i="11" s="1"/>
  <c r="AB53" i="11"/>
  <c r="M48" i="11"/>
  <c r="N48" i="11" s="1"/>
  <c r="O48" i="11" s="1"/>
  <c r="AD48" i="11" s="1"/>
  <c r="Z48" i="11"/>
  <c r="K63" i="18"/>
  <c r="L63" i="18" s="1"/>
  <c r="M63" i="18" s="1"/>
  <c r="Z63" i="18" s="1"/>
  <c r="K35" i="18"/>
  <c r="L35" i="18" s="1"/>
  <c r="M35" i="18" s="1"/>
  <c r="Z35" i="18" s="1"/>
  <c r="X35" i="18"/>
  <c r="K49" i="18"/>
  <c r="L49" i="18" s="1"/>
  <c r="M49" i="18" s="1"/>
  <c r="Z49" i="18" s="1"/>
  <c r="T49" i="18"/>
  <c r="K69" i="18"/>
  <c r="L69" i="18" s="1"/>
  <c r="M69" i="18" s="1"/>
  <c r="Z69" i="18" s="1"/>
  <c r="K37" i="18"/>
  <c r="L37" i="18" s="1"/>
  <c r="M37" i="18" s="1"/>
  <c r="Z37" i="18" s="1"/>
  <c r="X37" i="18"/>
  <c r="K41" i="18"/>
  <c r="X41" i="18"/>
  <c r="K74" i="18"/>
  <c r="L74" i="18" s="1"/>
  <c r="M74" i="18" s="1"/>
  <c r="Z74" i="18" s="1"/>
  <c r="K73" i="18"/>
  <c r="L73" i="18" s="1"/>
  <c r="M73" i="18" s="1"/>
  <c r="Z73" i="18" s="1"/>
  <c r="AB281" i="6"/>
  <c r="M47" i="11"/>
  <c r="N47" i="11" s="1"/>
  <c r="O47" i="11" s="1"/>
  <c r="AD47" i="11" s="1"/>
  <c r="M38" i="11"/>
  <c r="N38" i="11" s="1"/>
  <c r="O38" i="11" s="1"/>
  <c r="AD38" i="11" s="1"/>
  <c r="M34" i="11"/>
  <c r="N34" i="11" s="1"/>
  <c r="O34" i="11" s="1"/>
  <c r="AD34" i="11" s="1"/>
  <c r="K65" i="18"/>
  <c r="L65" i="18" s="1"/>
  <c r="M65" i="18" s="1"/>
  <c r="Z65" i="18" s="1"/>
  <c r="AC339" i="6"/>
  <c r="O76" i="19"/>
  <c r="P76" i="19" s="1"/>
  <c r="Q76" i="19" s="1"/>
  <c r="O73" i="19"/>
  <c r="P73" i="19" s="1"/>
  <c r="Q73" i="19" s="1"/>
  <c r="K36" i="18"/>
  <c r="L36" i="18" s="1"/>
  <c r="M36" i="18" s="1"/>
  <c r="Z36" i="18" s="1"/>
  <c r="M65" i="11"/>
  <c r="N65" i="11" s="1"/>
  <c r="O65" i="11" s="1"/>
  <c r="AD65" i="11" s="1"/>
  <c r="AC87" i="6"/>
  <c r="K79" i="18"/>
  <c r="L79" i="18" s="1"/>
  <c r="M79" i="18" s="1"/>
  <c r="Z79" i="18" s="1"/>
  <c r="M63" i="11"/>
  <c r="N63" i="11" s="1"/>
  <c r="O63" i="11" s="1"/>
  <c r="AD63" i="11" s="1"/>
  <c r="AC217" i="6"/>
  <c r="Z6" i="4"/>
  <c r="M37" i="11"/>
  <c r="N37" i="11" s="1"/>
  <c r="O37" i="11" s="1"/>
  <c r="AD37" i="11" s="1"/>
  <c r="O51" i="19"/>
  <c r="P51" i="19" s="1"/>
  <c r="Q51" i="19" s="1"/>
  <c r="M70" i="11"/>
  <c r="N70" i="11" s="1"/>
  <c r="O70" i="11" s="1"/>
  <c r="AD70" i="11" s="1"/>
  <c r="O45" i="19"/>
  <c r="P45" i="19" s="1"/>
  <c r="Q45" i="19" s="1"/>
  <c r="O67" i="19"/>
  <c r="P67" i="19" s="1"/>
  <c r="Q67" i="19" s="1"/>
  <c r="M79" i="11"/>
  <c r="N79" i="11" s="1"/>
  <c r="O79" i="11" s="1"/>
  <c r="AD79" i="11" s="1"/>
  <c r="O39" i="19"/>
  <c r="P39" i="19" s="1"/>
  <c r="Q39" i="19" s="1"/>
  <c r="O71" i="19"/>
  <c r="P71" i="19" s="1"/>
  <c r="Q71" i="19" s="1"/>
  <c r="O65" i="19"/>
  <c r="P65" i="19" s="1"/>
  <c r="Q65" i="19" s="1"/>
  <c r="Z120" i="4"/>
  <c r="O75" i="19"/>
  <c r="P75" i="19" s="1"/>
  <c r="Q75" i="19" s="1"/>
  <c r="O33" i="19"/>
  <c r="P33" i="19" s="1"/>
  <c r="Q33" i="19" s="1"/>
  <c r="O43" i="19"/>
  <c r="P43" i="19" s="1"/>
  <c r="Q43" i="19" s="1"/>
  <c r="O35" i="19"/>
  <c r="P35" i="19" s="1"/>
  <c r="Q35" i="19" s="1"/>
  <c r="O36" i="19"/>
  <c r="P36" i="19" s="1"/>
  <c r="Q36" i="19" s="1"/>
  <c r="M68" i="11"/>
  <c r="N68" i="11" s="1"/>
  <c r="O68" i="11" s="1"/>
  <c r="AD68" i="11" s="1"/>
  <c r="O70" i="19"/>
  <c r="P70" i="19" s="1"/>
  <c r="Q70" i="19" s="1"/>
  <c r="O44" i="19"/>
  <c r="P44" i="19" s="1"/>
  <c r="Q44" i="19" s="1"/>
  <c r="O77" i="19"/>
  <c r="P77" i="19" s="1"/>
  <c r="Q77" i="19" s="1"/>
  <c r="O47" i="19"/>
  <c r="P47" i="19" s="1"/>
  <c r="Q47" i="19" s="1"/>
  <c r="O41" i="19"/>
  <c r="P41" i="19" s="1"/>
  <c r="Q41" i="19" s="1"/>
  <c r="O50" i="19"/>
  <c r="P50" i="19" s="1"/>
  <c r="Q50" i="19" s="1"/>
  <c r="O78" i="19"/>
  <c r="P78" i="19" s="1"/>
  <c r="Q78" i="19" s="1"/>
  <c r="Y331" i="4"/>
  <c r="Z331" i="4"/>
  <c r="AB355" i="6"/>
  <c r="AC355" i="6"/>
  <c r="O49" i="19"/>
  <c r="P49" i="19" s="1"/>
  <c r="Q49" i="19" s="1"/>
  <c r="Y243" i="4"/>
  <c r="Z243" i="4"/>
  <c r="AB319" i="6"/>
  <c r="AC319" i="6"/>
  <c r="Y262" i="4"/>
  <c r="Z262" i="4"/>
  <c r="Y279" i="4"/>
  <c r="Z279" i="4"/>
  <c r="Y286" i="4"/>
  <c r="Z286" i="4"/>
  <c r="Y348" i="4"/>
  <c r="Z348" i="4"/>
  <c r="Y291" i="4"/>
  <c r="Z291" i="4"/>
  <c r="Y335" i="4"/>
  <c r="Z335" i="4"/>
  <c r="AB270" i="6"/>
  <c r="AC270" i="6"/>
  <c r="Y248" i="4"/>
  <c r="Z248" i="4"/>
  <c r="Y368" i="4"/>
  <c r="Z368" i="4"/>
  <c r="Y295" i="4"/>
  <c r="Z295" i="4"/>
  <c r="Y343" i="4"/>
  <c r="Z343" i="4"/>
  <c r="Y261" i="4"/>
  <c r="Z261" i="4"/>
  <c r="Y245" i="4"/>
  <c r="Z245" i="4"/>
  <c r="Y346" i="4"/>
  <c r="Z346" i="4"/>
  <c r="AB338" i="6"/>
  <c r="AC338" i="6"/>
  <c r="Y311" i="4"/>
  <c r="Z311" i="4"/>
  <c r="Y319" i="4"/>
  <c r="Z319" i="4"/>
  <c r="AB264" i="6"/>
  <c r="AC264" i="6"/>
  <c r="Y237" i="4"/>
  <c r="Z237" i="4"/>
  <c r="AB283" i="6"/>
  <c r="AC283" i="6"/>
  <c r="Y328" i="4"/>
  <c r="Z328" i="4"/>
  <c r="Y229" i="4"/>
  <c r="Z229" i="4"/>
  <c r="Y282" i="4"/>
  <c r="Z282" i="4"/>
  <c r="AB311" i="6"/>
  <c r="AC311" i="6"/>
  <c r="Y342" i="4"/>
  <c r="Z342" i="4"/>
  <c r="Y304" i="4"/>
  <c r="Z304" i="4"/>
  <c r="O32" i="19"/>
  <c r="P32" i="19" s="1"/>
  <c r="Q32" i="19" s="1"/>
  <c r="O52" i="19"/>
  <c r="P52" i="19" s="1"/>
  <c r="Q52" i="19" s="1"/>
  <c r="AB246" i="6"/>
  <c r="AC246" i="6"/>
  <c r="AB366" i="6"/>
  <c r="AC366" i="6"/>
  <c r="AB260" i="6"/>
  <c r="AC260" i="6"/>
  <c r="Y364" i="4"/>
  <c r="Z364" i="4"/>
  <c r="AB237" i="6"/>
  <c r="AC237" i="6"/>
  <c r="AB314" i="6"/>
  <c r="AC314" i="6"/>
  <c r="AB243" i="6"/>
  <c r="AC243" i="6"/>
  <c r="Y322" i="4"/>
  <c r="Z322" i="4"/>
  <c r="Y365" i="4"/>
  <c r="Z365" i="4"/>
  <c r="Y360" i="4"/>
  <c r="Z360" i="4"/>
  <c r="Y278" i="4"/>
  <c r="Z278" i="4"/>
  <c r="Y298" i="4"/>
  <c r="Z298" i="4"/>
  <c r="Y307" i="4"/>
  <c r="Z307" i="4"/>
  <c r="Y345" i="4"/>
  <c r="Z345" i="4"/>
  <c r="Y339" i="4"/>
  <c r="Z339" i="4"/>
  <c r="O68" i="19"/>
  <c r="P68" i="19" s="1"/>
  <c r="Q68" i="19" s="1"/>
  <c r="Y356" i="4"/>
  <c r="Z356" i="4"/>
  <c r="AB228" i="6"/>
  <c r="AC228" i="6"/>
  <c r="AB322" i="6"/>
  <c r="AC322" i="6"/>
  <c r="Y257" i="4"/>
  <c r="Z257" i="4"/>
  <c r="Y340" i="4"/>
  <c r="Z340" i="4"/>
  <c r="O80" i="19"/>
  <c r="P80" i="19" s="1"/>
  <c r="Q80" i="19" s="1"/>
  <c r="M40" i="11"/>
  <c r="N40" i="11" s="1"/>
  <c r="O40" i="11" s="1"/>
  <c r="AD40" i="11" s="1"/>
  <c r="M45" i="11"/>
  <c r="N45" i="11" s="1"/>
  <c r="O45" i="11" s="1"/>
  <c r="AD45" i="11" s="1"/>
  <c r="M72" i="11"/>
  <c r="N72" i="11" s="1"/>
  <c r="O72" i="11" s="1"/>
  <c r="AD72" i="11" s="1"/>
  <c r="M52" i="11"/>
  <c r="N52" i="11" s="1"/>
  <c r="O52" i="11" s="1"/>
  <c r="AD52" i="11" s="1"/>
  <c r="K40" i="18"/>
  <c r="L40" i="18" s="1"/>
  <c r="M40" i="18" s="1"/>
  <c r="Z40" i="18" s="1"/>
  <c r="M42" i="11"/>
  <c r="N42" i="11" s="1"/>
  <c r="O42" i="11" s="1"/>
  <c r="AD42" i="11" s="1"/>
  <c r="M73" i="11"/>
  <c r="N73" i="11" s="1"/>
  <c r="O73" i="11" s="1"/>
  <c r="AD73" i="11" s="1"/>
  <c r="M76" i="11"/>
  <c r="N76" i="11" s="1"/>
  <c r="O76" i="11" s="1"/>
  <c r="AD76" i="11" s="1"/>
  <c r="M74" i="11"/>
  <c r="N74" i="11" s="1"/>
  <c r="O74" i="11" s="1"/>
  <c r="AD74" i="11" s="1"/>
  <c r="M46" i="11"/>
  <c r="N46" i="11" s="1"/>
  <c r="O46" i="11" s="1"/>
  <c r="AD46" i="11" s="1"/>
  <c r="M39" i="11"/>
  <c r="N39" i="11" s="1"/>
  <c r="O39" i="11" s="1"/>
  <c r="AD39" i="11" s="1"/>
  <c r="M78" i="11"/>
  <c r="N78" i="11" s="1"/>
  <c r="O78" i="11" s="1"/>
  <c r="AD78" i="11" s="1"/>
  <c r="M62" i="11"/>
  <c r="N62" i="11" s="1"/>
  <c r="O62" i="11" s="1"/>
  <c r="AD62" i="11" s="1"/>
  <c r="AB69" i="6"/>
  <c r="AC69" i="6"/>
  <c r="M77" i="11"/>
  <c r="N77" i="11" s="1"/>
  <c r="O77" i="11" s="1"/>
  <c r="AD77" i="11" s="1"/>
  <c r="AB33" i="6"/>
  <c r="AC33" i="6"/>
  <c r="AB20" i="6"/>
  <c r="AC20" i="6"/>
  <c r="AB59" i="6"/>
  <c r="AC59" i="6"/>
  <c r="AB41" i="6"/>
  <c r="AC41" i="6"/>
  <c r="AB72" i="6"/>
  <c r="AC72" i="6"/>
  <c r="AB63" i="6"/>
  <c r="AC63" i="6"/>
  <c r="K50" i="18"/>
  <c r="L50" i="18" s="1"/>
  <c r="M50" i="18" s="1"/>
  <c r="Z50" i="18" s="1"/>
  <c r="AB40" i="6"/>
  <c r="AC40" i="6"/>
  <c r="AB62" i="6"/>
  <c r="AC62" i="6"/>
  <c r="AB70" i="6"/>
  <c r="AC70" i="6"/>
  <c r="AB36" i="6"/>
  <c r="AC36" i="6"/>
  <c r="AB68" i="6"/>
  <c r="AC68" i="6"/>
  <c r="M81" i="11"/>
  <c r="N81" i="11" s="1"/>
  <c r="O81" i="11" s="1"/>
  <c r="AD81" i="11" s="1"/>
  <c r="AB34" i="6"/>
  <c r="AC34" i="6"/>
  <c r="AB117" i="6"/>
  <c r="AC117" i="6"/>
  <c r="AB56" i="6"/>
  <c r="AC56" i="6"/>
  <c r="AB54" i="6"/>
  <c r="AC54" i="6"/>
  <c r="M82" i="11"/>
  <c r="N82" i="11" s="1"/>
  <c r="O82" i="11" s="1"/>
  <c r="AD82" i="11" s="1"/>
  <c r="AB53" i="6"/>
  <c r="AC53" i="6"/>
  <c r="AB28" i="6"/>
  <c r="AC28" i="6"/>
  <c r="AB64" i="6"/>
  <c r="AC64" i="6"/>
  <c r="AB42" i="6"/>
  <c r="AC42" i="6"/>
  <c r="AB48" i="6"/>
  <c r="AC48" i="6"/>
  <c r="AB39" i="6"/>
  <c r="AC39" i="6"/>
  <c r="AB44" i="6"/>
  <c r="AC44" i="6"/>
  <c r="AB60" i="6"/>
  <c r="AC60" i="6"/>
  <c r="AB32" i="6"/>
  <c r="AC32" i="6"/>
  <c r="AB61" i="6"/>
  <c r="AC61" i="6"/>
  <c r="Y221" i="4"/>
  <c r="Z221" i="4"/>
  <c r="Y205" i="4"/>
  <c r="Z205" i="4"/>
  <c r="Y34" i="4"/>
  <c r="Z34" i="4"/>
  <c r="Y179" i="4"/>
  <c r="Z179" i="4"/>
  <c r="Y139" i="4"/>
  <c r="Z139" i="4"/>
  <c r="Y44" i="4"/>
  <c r="Z44" i="4"/>
  <c r="Y47" i="4"/>
  <c r="Z47" i="4"/>
  <c r="Y61" i="4"/>
  <c r="Z61" i="4"/>
  <c r="Y136" i="4"/>
  <c r="Z136" i="4"/>
  <c r="Y65" i="4"/>
  <c r="Z65" i="4"/>
  <c r="AB86" i="6"/>
  <c r="AC86" i="6"/>
  <c r="Y85" i="4"/>
  <c r="Z85" i="4"/>
  <c r="Y58" i="4"/>
  <c r="Z58" i="4"/>
  <c r="Y93" i="4"/>
  <c r="Z93" i="4"/>
  <c r="Y66" i="4"/>
  <c r="Z66" i="4"/>
  <c r="AB197" i="6"/>
  <c r="AC197" i="6"/>
  <c r="Y192" i="4"/>
  <c r="Z192" i="4"/>
  <c r="Y43" i="4"/>
  <c r="Z43" i="4"/>
  <c r="M41" i="11"/>
  <c r="N41" i="11" s="1"/>
  <c r="O41" i="11" s="1"/>
  <c r="AD41" i="11" s="1"/>
  <c r="AB163" i="6"/>
  <c r="AC163" i="6"/>
  <c r="Y206" i="4"/>
  <c r="Z206" i="4"/>
  <c r="Y7" i="4"/>
  <c r="Z7" i="4"/>
  <c r="Y33" i="4"/>
  <c r="Z33" i="4"/>
  <c r="Y159" i="4"/>
  <c r="Z159" i="4"/>
  <c r="AB132" i="6"/>
  <c r="AC132" i="6"/>
  <c r="K38" i="18"/>
  <c r="L38" i="18" s="1"/>
  <c r="M38" i="18" s="1"/>
  <c r="Z38" i="18" s="1"/>
  <c r="Y103" i="4"/>
  <c r="Z103" i="4"/>
  <c r="Y29" i="4"/>
  <c r="Z29" i="4"/>
  <c r="Y57" i="4"/>
  <c r="Z57" i="4"/>
  <c r="Y172" i="4"/>
  <c r="Z172" i="4"/>
  <c r="Y212" i="4"/>
  <c r="Z212" i="4"/>
  <c r="Y35" i="4"/>
  <c r="Z35" i="4"/>
  <c r="Y60" i="4"/>
  <c r="Z60" i="4"/>
  <c r="Y145" i="4"/>
  <c r="Z145" i="4"/>
  <c r="Y73" i="4"/>
  <c r="Z73" i="4"/>
  <c r="Y111" i="4"/>
  <c r="Z111" i="4"/>
  <c r="Y211" i="4"/>
  <c r="Z211" i="4"/>
  <c r="Y128" i="4"/>
  <c r="Z128" i="4"/>
  <c r="Y40" i="4"/>
  <c r="Z40" i="4"/>
  <c r="Y117" i="4"/>
  <c r="Z117" i="4"/>
  <c r="K32" i="18"/>
  <c r="L32" i="18" s="1"/>
  <c r="M32" i="18" s="1"/>
  <c r="Z32" i="18" s="1"/>
  <c r="K43" i="18"/>
  <c r="L43" i="18" s="1"/>
  <c r="M43" i="18" s="1"/>
  <c r="Z43" i="18" s="1"/>
  <c r="Y121" i="4"/>
  <c r="Z121" i="4"/>
  <c r="Y41" i="4"/>
  <c r="Z41" i="4"/>
  <c r="K47" i="18"/>
  <c r="L47" i="18" s="1"/>
  <c r="M47" i="18" s="1"/>
  <c r="Z47" i="18" s="1"/>
  <c r="Y72" i="4"/>
  <c r="Z72" i="4"/>
  <c r="Y208" i="4"/>
  <c r="Z208" i="4"/>
  <c r="Y36" i="4"/>
  <c r="Z36" i="4"/>
  <c r="Y37" i="4"/>
  <c r="Z37" i="4"/>
  <c r="Y164" i="4"/>
  <c r="Z164" i="4"/>
  <c r="Y45" i="4"/>
  <c r="Z45" i="4"/>
  <c r="L41" i="18"/>
  <c r="M41" i="18" s="1"/>
  <c r="Z41" i="18" s="1"/>
  <c r="Y71" i="4"/>
  <c r="Z71" i="4"/>
  <c r="Y42" i="4"/>
  <c r="Z42" i="4"/>
  <c r="Y67" i="4"/>
  <c r="Z67" i="4"/>
  <c r="K39" i="18"/>
  <c r="L39" i="18" s="1"/>
  <c r="M39" i="18" s="1"/>
  <c r="Z39" i="18" s="1"/>
  <c r="M51" i="11"/>
  <c r="N51" i="11" s="1"/>
  <c r="O51" i="11" s="1"/>
  <c r="AD51" i="11" s="1"/>
  <c r="K46" i="18"/>
  <c r="L46" i="18" s="1"/>
  <c r="M46" i="18" s="1"/>
  <c r="Z46" i="18" s="1"/>
  <c r="K34" i="18"/>
  <c r="L34" i="18" s="1"/>
  <c r="M34" i="18" s="1"/>
  <c r="Z34" i="18" s="1"/>
  <c r="K33" i="18"/>
  <c r="L33" i="18" s="1"/>
  <c r="M33" i="18" s="1"/>
  <c r="Z33" i="18" s="1"/>
  <c r="I292" i="20"/>
  <c r="W292" i="20" s="1"/>
  <c r="X292" i="20" s="1"/>
  <c r="H292" i="20"/>
  <c r="V292" i="20" s="1"/>
  <c r="Z292" i="20" l="1"/>
  <c r="Y292" i="20"/>
  <c r="J292" i="20"/>
  <c r="K292" i="20" s="1"/>
  <c r="I342" i="20"/>
  <c r="J342" i="20" s="1"/>
  <c r="K342" i="20" s="1"/>
  <c r="H342" i="20"/>
  <c r="V342" i="20" s="1"/>
  <c r="W342" i="20" l="1"/>
  <c r="X342" i="20" s="1"/>
  <c r="Y342" i="20" l="1"/>
  <c r="Z342" i="20"/>
  <c r="I291" i="22"/>
  <c r="J291" i="22" s="1"/>
  <c r="K291" i="22" s="1"/>
  <c r="H291" i="22"/>
  <c r="V291" i="22" s="1"/>
  <c r="W291" i="22" l="1"/>
  <c r="X291" i="22" s="1"/>
  <c r="Y291" i="22" l="1"/>
  <c r="Z291" i="22"/>
  <c r="I341" i="22"/>
  <c r="J341" i="22" s="1"/>
  <c r="K341" i="22" s="1"/>
  <c r="H341" i="22"/>
  <c r="V341" i="22" s="1"/>
  <c r="W341" i="22" l="1"/>
  <c r="X341" i="22" s="1"/>
  <c r="Y341" i="22" l="1"/>
  <c r="Z341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tc={775795E9-59A4-4C2B-9D0B-970CC03CF14A}</author>
    <author>tc={85D5FC7A-24C2-4223-8707-6B719028EF92}</author>
    <author>tc={AA9E4D02-CF20-4B46-8624-D9D4257BE7DB}</author>
    <author>tc={6ED5C177-5F75-486B-AE5C-4D8904CC603D}</author>
    <author>tc={4A58EEE8-6932-45F5-8E80-9D47700F3E80}</author>
    <author>tc={DB4E246C-B848-44B5-B5A0-4074E6099624}</author>
    <author>Webster, Sarah R (DFG)</author>
    <author>tc={2689698F-4480-4BF6-8F1C-64C50F490E59}</author>
    <author>tc={AF43EECD-E180-4969-BCA0-8F194CBC2935}</author>
    <author>tc={7833E81E-5A68-4F98-88DC-EE589F8A9AB2}</author>
    <author>tc={B501C9FD-FEB3-406B-AA02-8E4333B814F1}</author>
    <author>tc={C0F93926-8F3D-4088-BC55-955E3C876275}</author>
    <author>tc={FA48B479-4D71-4F49-B8DE-41DB973984FD}</author>
    <author>tc={5A0F5DCC-2B3C-438C-A0B4-9B74718FE666}</author>
    <author>tc={9AD36856-1E35-4919-B19C-A9099B07E2B6}</author>
    <author>tc={B4C9B029-743D-4159-8E82-DD6FC0D07EEE}</author>
    <author>tc={F0FFDDEE-A4DA-447F-A4D5-31BFD562B243}</author>
    <author>tc={0801D007-3BFC-4CE0-9126-DB22DD3E18C0}</author>
  </authors>
  <commentList>
    <comment ref="D1" authorId="0" shapeId="0" xr:uid="{775795E9-59A4-4C2B-9D0B-970CC03CF14A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E1" authorId="1" shapeId="0" xr:uid="{85D5FC7A-24C2-4223-8707-6B719028EF92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
mainland and westside=WKMA
SOUTHEAST, SOUTHWEST = SKMA
EYKT and IBS=EWYKT</t>
      </text>
    </comment>
    <comment ref="K1" authorId="2" shapeId="0" xr:uid="{AA9E4D02-CF20-4B46-8624-D9D4257BE7DB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</t>
      </text>
    </comment>
    <comment ref="L1" authorId="3" shapeId="0" xr:uid="{6ED5C177-5F75-486B-AE5C-4D8904CC603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
Reply:
    pre-2011 bootstrapping needed for variance estimates</t>
      </text>
    </comment>
    <comment ref="P1" authorId="4" shapeId="0" xr:uid="{4A58EEE8-6932-45F5-8E80-9D47700F3E8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E26" authorId="5" shapeId="0" xr:uid="{DB4E246C-B848-44B5-B5A0-4074E6099624}">
      <text>
        <t>[Threaded comment]
Your version of Excel allows you to read this threaded comment; however, any edits to it will get removed if the file is opened in a newer version of Excel. Learn more: https://go.microsoft.com/fwlink/?linkid=870924
Comment:
    47 respondents under 50, but using anyway since it would match recent years and no other alternatives.</t>
      </text>
    </comment>
    <comment ref="E50" authorId="6" shapeId="0" xr:uid="{71778DE7-2B1C-4FA2-932B-E5152DEBDA56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Afognak due to low sample size</t>
        </r>
      </text>
    </comment>
    <comment ref="E51" authorId="7" shapeId="0" xr:uid="{2689698F-4480-4BF6-8F1C-64C50F490E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Low sample size (41) but don’t want to use Afognak because also low sample size. </t>
      </text>
    </comment>
    <comment ref="E65" authorId="8" shapeId="0" xr:uid="{AF43EECD-E180-4969-BCA0-8F194CBC29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substitute WKMA as best surrogate</t>
      </text>
    </comment>
    <comment ref="E70" authorId="6" shapeId="0" xr:uid="{BBD3AEE7-598F-42D5-9937-D952ADCB520E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Eastside due to low sample size</t>
        </r>
      </text>
    </comment>
    <comment ref="E73" authorId="6" shapeId="0" xr:uid="{C49A57B3-5033-468C-AAA2-FC321DE24580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Eastside due to low sample size</t>
        </r>
      </text>
    </comment>
    <comment ref="E75" authorId="6" shapeId="0" xr:uid="{4CA7A858-C07D-4C61-8223-169CF13CB087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Afognak due to low sample size</t>
        </r>
      </text>
    </comment>
    <comment ref="E76" authorId="9" shapeId="0" xr:uid="{7833E81E-5A68-4F98-88DC-EE589F8A9AB2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F76" authorId="10" shapeId="0" xr:uid="{B501C9FD-FEB3-406B-AA02-8E4333B814F1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G76" authorId="11" shapeId="0" xr:uid="{C0F93926-8F3D-4088-BC55-955E3C876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H76" authorId="12" shapeId="0" xr:uid="{FA48B479-4D71-4F49-B8DE-41DB973984FD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E121" authorId="13" shapeId="0" xr:uid="{5A0F5DCC-2B3C-438C-A0B4-9B74718FE66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Westside due to low sample - more consistent proportions than northeast (nearest neighbor)</t>
      </text>
    </comment>
    <comment ref="E125" authorId="6" shapeId="0" xr:uid="{8AA296C9-3967-4130-8608-2EF0CD13FCDA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Afognak due to low sample size</t>
        </r>
      </text>
    </comment>
    <comment ref="E126" authorId="14" shapeId="0" xr:uid="{9AD36856-1E35-4919-B19C-A9099B07E2B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F126" authorId="15" shapeId="0" xr:uid="{B4C9B029-743D-4159-8E82-DD6FC0D07EEE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G126" authorId="16" shapeId="0" xr:uid="{F0FFDDEE-A4DA-447F-A4D5-31BFD562B24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H126" authorId="17" shapeId="0" xr:uid="{0801D007-3BFC-4CE0-9126-DB22DD3E18C0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tc={CDEF81F2-575A-4396-92F0-157572F31FB5}</author>
    <author>tc={F6C31A2C-E692-40FE-9BCF-418DC29BCE93}</author>
    <author>tc={37717508-8924-41EE-BD2E-DBB495D51F38}</author>
    <author>tc={35011469-C84D-4FE4-9515-70FC1774D3C5}</author>
  </authors>
  <commentList>
    <comment ref="D2" authorId="0" shapeId="0" xr:uid="{CDEF81F2-575A-4396-92F0-157572F3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F2" authorId="1" shapeId="0" xr:uid="{F6C31A2C-E692-40FE-9BCF-418DC29BCE9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= NORTHEAST
2. SKMA = EASTSIDE</t>
      </text>
    </comment>
    <comment ref="N2" authorId="2" shapeId="0" xr:uid="{37717508-8924-41EE-BD2E-DBB495D51F3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O2" authorId="3" shapeId="0" xr:uid="{35011469-C84D-4FE4-9515-70FC1774D3C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&amp; SKMA &amp; EASTSIDE = NORTHEAST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tc={5536D63F-8920-4E36-8CC8-1A7F12ED2E6C}</author>
    <author>tc={D3FDD8F1-8010-4BF3-997A-CBBA4560959A}</author>
  </authors>
  <commentList>
    <comment ref="G2" authorId="0" shapeId="0" xr:uid="{5536D63F-8920-4E36-8CC8-1A7F12ED2E6C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O2" authorId="1" shapeId="0" xr:uid="{D3FDD8F1-8010-4BF3-997A-CBBA4560959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tc={A42CC030-ACEC-4060-8312-7F444929EA9A}</author>
    <author>tc={395E7875-D433-406A-9CB6-B8379504EDE7}</author>
  </authors>
  <commentList>
    <comment ref="F2" authorId="0" shapeId="0" xr:uid="{A42CC030-ACEC-4060-8312-7F444929EA9A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395E7875-D433-406A-9CB6-B8379504EDE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tc={08A33481-555A-4897-B499-BB6394654238}</author>
    <author>tc={214489EA-54E8-488C-9644-E3D8984FBD97}</author>
  </authors>
  <commentList>
    <comment ref="F2" authorId="0" shapeId="0" xr:uid="{08A33481-555A-4897-B499-BB6394654238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214489EA-54E8-488C-9644-E3D8984FBD9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tc={6A782F1B-EE30-4623-A70E-0F248925A880}</author>
    <author>tc={8C8DE39C-9C9D-4C4C-AFEE-9B7D1EB24BE1}</author>
  </authors>
  <commentList>
    <comment ref="C1" authorId="0" shapeId="0" xr:uid="{6A782F1B-EE30-4623-A70E-0F248925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D1" authorId="1" shapeId="0" xr:uid="{8C8DE39C-9C9D-4C4C-AFEE-9B7D1EB24BE1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BSAI - Bering and aleutian
mainland and westside=WKMA
Chignik, SAKPEN, SOUTHEAST, SOUTHWEST = SOKO2SAP
EYKT and IBS=EWT</t>
      </text>
    </comment>
  </commentList>
</comments>
</file>

<file path=xl/sharedStrings.xml><?xml version="1.0" encoding="utf-8"?>
<sst xmlns="http://schemas.openxmlformats.org/spreadsheetml/2006/main" count="1855" uniqueCount="326">
  <si>
    <t>Excel version SF harvest reconstruction</t>
  </si>
  <si>
    <t>Region</t>
  </si>
  <si>
    <t>year</t>
  </si>
  <si>
    <t>RptArea</t>
  </si>
  <si>
    <t>Log_rfharv</t>
  </si>
  <si>
    <t>PRIV_rfharv</t>
  </si>
  <si>
    <t>guiSWHS_rfharv</t>
  </si>
  <si>
    <t>var_guiSWHS_rfharv</t>
  </si>
  <si>
    <t>var_PRIV_rfharv</t>
  </si>
  <si>
    <t>BRF</t>
  </si>
  <si>
    <t>YE</t>
  </si>
  <si>
    <t xml:space="preserve">a. CFMUs with port samples </t>
  </si>
  <si>
    <t>4. Sum private and guided harvests</t>
  </si>
  <si>
    <t>Release - same methods as above steps 1-4</t>
  </si>
  <si>
    <t>Gui_rfharv</t>
  </si>
  <si>
    <t>sqrt_GuiBRF</t>
  </si>
  <si>
    <t>GUIDED</t>
  </si>
  <si>
    <t>UNGUIDED</t>
  </si>
  <si>
    <t>sqrt_GuiYE</t>
  </si>
  <si>
    <t>sqrt_PrivBRF</t>
  </si>
  <si>
    <t>GuiBRF_UPRLWR95</t>
  </si>
  <si>
    <t>PrivBRF_UPRLWR95</t>
  </si>
  <si>
    <t>sqrt_totalBRF</t>
  </si>
  <si>
    <t>TotalBRF_UPRLWR95</t>
  </si>
  <si>
    <t>GuiYE_UPRLWR95</t>
  </si>
  <si>
    <t>sqrt_PRivYE</t>
  </si>
  <si>
    <t>PrivYE_UPRLWR95</t>
  </si>
  <si>
    <t>sqrt_TotalYE</t>
  </si>
  <si>
    <t>TotalYE_UPRLWR95</t>
  </si>
  <si>
    <t>TOTAL</t>
  </si>
  <si>
    <t>RFharv_UPRLWR95</t>
  </si>
  <si>
    <t>sd_privrfharv</t>
  </si>
  <si>
    <t>privrfharv_UPERLWR95</t>
  </si>
  <si>
    <t>sd_Rfharv</t>
  </si>
  <si>
    <t>Year</t>
  </si>
  <si>
    <t>Afognak</t>
  </si>
  <si>
    <t>Northeast</t>
  </si>
  <si>
    <t>95% CI</t>
  </si>
  <si>
    <t>NSEI</t>
  </si>
  <si>
    <t>SSEI</t>
  </si>
  <si>
    <t>SSEO</t>
  </si>
  <si>
    <t>NSEO</t>
  </si>
  <si>
    <t>CSEO</t>
  </si>
  <si>
    <t>sd_guiSWHS_rfharv</t>
  </si>
  <si>
    <t>IBS/EYKT</t>
  </si>
  <si>
    <t>AFOGNAK</t>
  </si>
  <si>
    <t>BSAI</t>
  </si>
  <si>
    <t>CI</t>
  </si>
  <si>
    <t>EASTSIDE</t>
  </si>
  <si>
    <t>NG</t>
  </si>
  <si>
    <t>NORTHEAS</t>
  </si>
  <si>
    <t>PWSI</t>
  </si>
  <si>
    <t>PWSO</t>
  </si>
  <si>
    <t>SOKO2SAP</t>
  </si>
  <si>
    <t>WKMA</t>
  </si>
  <si>
    <t>Report Area</t>
  </si>
  <si>
    <t>% Years SWHS guided estimate 95% CI includes logbook census</t>
  </si>
  <si>
    <t>SWHS doesn't meet sample size for accurate SE estimation</t>
  </si>
  <si>
    <r>
      <t>Log_rfharv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</si>
  <si>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guiSWHS_rfharv (</t>
    </r>
    <r>
      <rPr>
        <i/>
        <sz val="11"/>
        <color theme="1"/>
        <rFont val="Calibri"/>
        <family val="2"/>
        <scheme val="minor"/>
      </rPr>
      <t>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</si>
  <si>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var_guiSWHS_rfharv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</si>
  <si>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privSWHS_rfharv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</si>
  <si>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var_privSWHS_rfharv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</si>
  <si>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SWHS_gprop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</si>
  <si>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var_SWHS_gprop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</si>
  <si>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PRIV_rfharv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</si>
  <si>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var_PRIV_rfharv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</si>
  <si>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TOTAL_rfharv </t>
    </r>
    <r>
      <rPr>
        <i/>
        <sz val="11"/>
        <color theme="1"/>
        <rFont val="Calibri"/>
        <family val="2"/>
        <scheme val="minor"/>
      </rPr>
      <t>(H-hati)</t>
    </r>
  </si>
  <si>
    <r>
      <rPr>
        <sz val="11"/>
        <color theme="1"/>
        <rFont val="Calibri"/>
        <family val="2"/>
        <scheme val="minor"/>
      </rPr>
      <t xml:space="preserve">var_TOTAL_rfharv </t>
    </r>
    <r>
      <rPr>
        <i/>
        <sz val="11"/>
        <color theme="1"/>
        <rFont val="Calibri"/>
        <family val="2"/>
        <scheme val="minor"/>
      </rPr>
      <t>(var H-hati)</t>
    </r>
  </si>
  <si>
    <r>
      <t>Gui_pelharv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Pi</t>
    </r>
    <r>
      <rPr>
        <sz val="11"/>
        <color theme="1"/>
        <rFont val="Calibri"/>
        <family val="2"/>
        <scheme val="minor"/>
      </rPr>
      <t>)</t>
    </r>
  </si>
  <si>
    <r>
      <t>GuiBRF (</t>
    </r>
    <r>
      <rPr>
        <b/>
        <i/>
        <sz val="11"/>
        <color theme="1"/>
        <rFont val="Calibri"/>
        <family val="2"/>
        <scheme val="minor"/>
      </rPr>
      <t>G-hat</t>
    </r>
    <r>
      <rPr>
        <b/>
        <i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</si>
  <si>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var_GuiBRF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</si>
  <si>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gui_var_p(BRFinPel)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</si>
  <si>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gui_p(BRFinPel)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</si>
  <si>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priv_p(BRF)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</si>
  <si>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priv_var_p(BRF)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</si>
  <si>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PRIV_BRF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</si>
  <si>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GuiYE (</t>
    </r>
    <r>
      <rPr>
        <b/>
        <i/>
        <sz val="11"/>
        <color theme="1"/>
        <rFont val="Calibri"/>
        <family val="2"/>
        <scheme val="minor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i/>
        <sz val="11"/>
        <color theme="1"/>
        <rFont val="Calibri"/>
        <family val="2"/>
        <scheme val="minor"/>
      </rPr>
      <t xml:space="preserve"> and G-hat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</si>
  <si>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Gui_Nonpelharv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Ni</t>
    </r>
    <r>
      <rPr>
        <sz val="11"/>
        <color theme="1"/>
        <rFont val="Calibri"/>
        <family val="2"/>
        <scheme val="minor"/>
      </rPr>
      <t>)</t>
    </r>
  </si>
  <si>
    <r>
      <t>Gui_Yeharv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</si>
  <si>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t>Substitute neighboring CFMU values</t>
  </si>
  <si>
    <t>SC</t>
  </si>
  <si>
    <t>SKMA</t>
  </si>
  <si>
    <t>EWYKT</t>
  </si>
  <si>
    <t>average used because sample size &lt;100</t>
  </si>
  <si>
    <t>SWHS rockfish</t>
  </si>
  <si>
    <t>Est rockfish</t>
  </si>
  <si>
    <t>% diff</t>
  </si>
  <si>
    <t>SWHS g+u</t>
  </si>
  <si>
    <t>logbook g</t>
  </si>
  <si>
    <t>YEAR</t>
  </si>
  <si>
    <t>NORTHEAST</t>
  </si>
  <si>
    <t>LB</t>
  </si>
  <si>
    <t>logbook proportion used</t>
  </si>
  <si>
    <t>Total Rockfish Harvest</t>
  </si>
  <si>
    <t>BLACK Rockfish Harvest</t>
  </si>
  <si>
    <t>YELLOWEYE Rockfish Harvest</t>
  </si>
  <si>
    <t xml:space="preserve">b. CFMU without adequate SWHS responses: use proportion from neighboring CFMU </t>
  </si>
  <si>
    <t xml:space="preserve">a. CFMUs with full samples </t>
  </si>
  <si>
    <t xml:space="preserve">1. Estimate total rockfish harvest [TOTAL_rfharv (H-hati)] by expanding logbook harvest [Log_rfharv (Gi)] by the proportion of guided harvest in total harvest from SWHS estimates [SWHS_gprop (p-hatgi)] 
</t>
  </si>
  <si>
    <t>Source data: logbook_harvest_forR.cvs; SWHS rf_byMgmtUnit_20191118.xls</t>
  </si>
  <si>
    <t>i. Use neighboring CFMU</t>
  </si>
  <si>
    <t>i. Apply %BRF from port sample [priv_p(BRF) (p-hatBui)] to private rockfish harvest [PRIV_rfharv (U-hati)] to get private BRF harv [PRIV_BRF (U-hatBi)]</t>
  </si>
  <si>
    <t>b. CFMUs with small samples (&lt;50 annually)</t>
  </si>
  <si>
    <t>c. CFMU with absent samples (less than 2 years have a sample size &gt;50 for sample estimated)</t>
  </si>
  <si>
    <r>
      <t>i. Apply mean %BRFinPelagic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</si>
  <si>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r>
      <t>i. Apply mean %BRF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</si>
  <si>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r>
      <t>a. For 1998-2010, CFMU with adequate SWHS reponses 2011 to present: expand by mean SWHS proportion, variance using bootstrap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</si>
  <si>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i. Apply %BRFinPelagic from port sample [gui_p(BRFinPel) (p-hatbgi)] to Pelagic harvest number from logbook [Log_rfharv (Gi)] to get guided BRF harvest [GuiBRF (G-hatBi)]</t>
  </si>
  <si>
    <t>2. Estimate private rockfish harvest [PRIV_rfharv (U-hati)] by subtracting logbook harvest  [Log_rfharv (Gi)] from the total [TOTAL_rfharv (H-hati)]</t>
  </si>
  <si>
    <r>
      <t>var_PrivBRF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</si>
  <si>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a. Guided YE harvest [GuiYE (GYi)] is logbook YE harvest [Gui_Yeharv (GYi)] since 2006 (</t>
    </r>
    <r>
      <rPr>
        <i/>
        <sz val="11"/>
        <color rgb="FFFF0000"/>
        <rFont val="Calibri"/>
        <family val="2"/>
        <scheme val="minor"/>
      </rPr>
      <t>Source data: logbook_harvest_forR.cvs)</t>
    </r>
  </si>
  <si>
    <t>b. Prior to 2006</t>
  </si>
  <si>
    <t xml:space="preserve">i. CFMUs with full samples </t>
  </si>
  <si>
    <t>1. Apply %YEinNonpel from port sample [gui_p(YEinNonpel) (p-hatygi)] to nonpelagic harvest number from logbook [Gui_Nonpelharv (GNi)] to get guided YE harvest [GuiYE (G-hatYi)]</t>
  </si>
  <si>
    <r>
      <t>1. Apply average %YEinNonpel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</si>
  <si>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iii. CFMUs with absent samples (less than 2 years have a sample size &gt;50 for sample estimated)</t>
  </si>
  <si>
    <r>
      <t xml:space="preserve">gui_p(YEinNonpel) </t>
    </r>
    <r>
      <rPr>
        <i/>
        <sz val="11"/>
        <color theme="1"/>
        <rFont val="Calibri"/>
        <family val="2"/>
        <scheme val="minor"/>
      </rPr>
      <t>(p-hat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</si>
  <si>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gui_var_p(YEinNonpel)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var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</si>
  <si>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 xml:space="preserve">1. Apply mean proportion of yelloweye in nonpelagic rockfish harvest since 2006 [gui_p(YEinNonpel) (p-barygi)] to the guided logbook nonpelagic harvest [Gui_Nonpelharv (GNi)]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</si>
  <si>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r>
      <t xml:space="preserve">var_GuiYE (var 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i/>
        <sz val="11"/>
        <color theme="1"/>
        <rFont val="Calibri"/>
        <family val="2"/>
        <scheme val="minor"/>
      </rPr>
      <t xml:space="preserve"> and G-hat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</si>
  <si>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PrivYE (U-hat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</si>
  <si>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var_PrivYE (var U-hat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</si>
  <si>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i. Apply %YE from port sample [(p-hatYui)] to private rockfish harvest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[PRIV_rfharv]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 get private YE harv [PrivYE (U-hatYi)]</t>
    </r>
  </si>
  <si>
    <r>
      <t>priv_p(YE) (p-hat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</si>
  <si>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priv_var_p(YE) (var 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var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</si>
  <si>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i. Apply average %YE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</si>
  <si>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c. CFMUs with absent samples (less than 2 years have a sample size &gt;50 for sample estimated)</t>
  </si>
  <si>
    <r>
      <t>gui_p(YE) (p-bar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</si>
  <si>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var_gui_p(YE) (var 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</si>
  <si>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 xml:space="preserve">1. Apply mean proportion of yelloweye in rockfish harvest since 2006 in guide logbook [gui_p(YE) (p-barYgi)] to the private rockfish harvest [PRIV-rfharv]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</si>
  <si>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r>
      <t>TotalYEharv (H-hat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</si>
  <si>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var_totalYEharv (var H-hat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</si>
  <si>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TotalBRFharv (H-hat</t>
    </r>
    <r>
      <rPr>
        <b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</si>
  <si>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var_totalBRFharv (var H-hat</t>
    </r>
    <r>
      <rPr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</si>
  <si>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t>a. BRF: SUM PRIVATE [PRIV_BRF (U-hatBi)] AND GUIDED BRF HARVESTS [GuiBRF (G-hatBi)] FOR TOTAL BRF HARVEST [TotalBRFharv (H-hatBi)] BY CFMU for each year</t>
  </si>
  <si>
    <t>b. YE: SUM PRIVATE [PrivYE (U-hatYi)] AND GUIDED YE HARVESTS [GuiYE (GYi and G-hatYi)] FOR TOTAL BRF HARVEST [TotalYEharv (H-hatYi)] BY CFMU for each year</t>
  </si>
  <si>
    <r>
      <t>3. Apportion harvests to assemblage and then species (</t>
    </r>
    <r>
      <rPr>
        <i/>
        <sz val="11"/>
        <color rgb="FFFF0000"/>
        <rFont val="Calibri"/>
        <family val="2"/>
        <scheme val="minor"/>
      </rPr>
      <t>Source data: species_comp_Region1_forR.csv; species_comp_Region2_forR.csv; logbook_harvest_forR.csv</t>
    </r>
    <r>
      <rPr>
        <sz val="11"/>
        <color theme="1"/>
        <rFont val="Calibri"/>
        <family val="2"/>
        <scheme val="minor"/>
      </rPr>
      <t>)</t>
    </r>
  </si>
  <si>
    <t>Harvest</t>
  </si>
  <si>
    <t>Var</t>
  </si>
  <si>
    <t>substitute CFMU</t>
  </si>
  <si>
    <r>
      <t xml:space="preserve">gui_p(SlopeinNonpel) </t>
    </r>
    <r>
      <rPr>
        <i/>
        <sz val="11"/>
        <color theme="1"/>
        <rFont val="Calibri"/>
        <family val="2"/>
        <scheme val="minor"/>
      </rPr>
      <t>(p-hatd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</si>
  <si>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gui_var_p(SlopeinNonpel) (</t>
    </r>
    <r>
      <rPr>
        <i/>
        <sz val="11"/>
        <color theme="1"/>
        <rFont val="Calibri"/>
        <family val="2"/>
        <scheme val="minor"/>
      </rPr>
      <t>var 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var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</si>
  <si>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GuiSlope (</t>
    </r>
    <r>
      <rPr>
        <b/>
        <i/>
        <sz val="11"/>
        <color theme="1"/>
        <rFont val="Calibri"/>
        <family val="2"/>
        <scheme val="minor"/>
      </rPr>
      <t>G-hatS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</si>
  <si>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 xml:space="preserve">var_GuiSlope (var </t>
    </r>
    <r>
      <rPr>
        <i/>
        <sz val="11"/>
        <color theme="1"/>
        <rFont val="Calibri"/>
        <family val="2"/>
        <scheme val="minor"/>
      </rPr>
      <t>G-hatS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</si>
  <si>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priv_p(Slope) (p-hatS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</si>
  <si>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priv_var_p(Slope) (var 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var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</si>
  <si>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PrivSlope (U-hatS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</si>
  <si>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var_PrivSlope (var U-hatS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</si>
  <si>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TotalSlopeharv (H-hatS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</si>
  <si>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var_totalSlopeharv (var H-hatS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</si>
  <si>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SE</t>
  </si>
  <si>
    <t>2011-2019 average used as surrogate</t>
  </si>
  <si>
    <t>Total Central</t>
  </si>
  <si>
    <t>Varience</t>
  </si>
  <si>
    <t>Sqrt(var)</t>
  </si>
  <si>
    <t>pVar</t>
  </si>
  <si>
    <t>Total Kodiak</t>
  </si>
  <si>
    <t>Total SEAK</t>
  </si>
  <si>
    <t>NA</t>
  </si>
  <si>
    <r>
      <t>ii. CFMUs with small samples (</t>
    </r>
    <r>
      <rPr>
        <b/>
        <sz val="11"/>
        <color theme="5" tint="-0.249977111117893"/>
        <rFont val="Calibri"/>
        <family val="2"/>
        <scheme val="minor"/>
      </rPr>
      <t>&lt;50 annually</t>
    </r>
    <r>
      <rPr>
        <sz val="11"/>
        <color theme="1"/>
        <rFont val="Calibri"/>
        <family val="2"/>
        <scheme val="minor"/>
      </rPr>
      <t>)</t>
    </r>
  </si>
  <si>
    <t>6.29881582262535e-05</t>
  </si>
  <si>
    <r>
      <t>Gui_Nonpelharv (</t>
    </r>
    <r>
      <rPr>
        <i/>
        <sz val="12"/>
        <color theme="1"/>
        <rFont val="Calibri"/>
        <family val="2"/>
        <scheme val="minor"/>
      </rPr>
      <t>G</t>
    </r>
    <r>
      <rPr>
        <i/>
        <vertAlign val="subscript"/>
        <sz val="12"/>
        <color theme="1"/>
        <rFont val="Calibri"/>
        <family val="2"/>
        <scheme val="minor"/>
      </rPr>
      <t>Ni</t>
    </r>
    <r>
      <rPr>
        <sz val="12"/>
        <color theme="1"/>
        <rFont val="Calibri"/>
        <family val="2"/>
        <scheme val="minor"/>
      </rPr>
      <t>)</t>
    </r>
  </si>
  <si>
    <r>
      <t xml:space="preserve">gui_p(DSRinNonpel) </t>
    </r>
    <r>
      <rPr>
        <i/>
        <sz val="12"/>
        <color theme="1"/>
        <rFont val="Calibri"/>
        <family val="2"/>
        <scheme val="minor"/>
      </rPr>
      <t>(p-hatd</t>
    </r>
    <r>
      <rPr>
        <i/>
        <vertAlign val="subscript"/>
        <sz val="12"/>
        <color theme="1"/>
        <rFont val="Calibri"/>
        <family val="2"/>
        <scheme val="minor"/>
      </rPr>
      <t xml:space="preserve">gi </t>
    </r>
    <r>
      <rPr>
        <i/>
        <sz val="12"/>
        <color theme="1"/>
        <rFont val="Calibri"/>
        <family val="2"/>
        <scheme val="minor"/>
      </rPr>
      <t>and p-bard</t>
    </r>
    <r>
      <rPr>
        <i/>
        <vertAlign val="subscript"/>
        <sz val="12"/>
        <color theme="1"/>
        <rFont val="Calibri"/>
        <family val="2"/>
        <scheme val="minor"/>
      </rPr>
      <t>gi</t>
    </r>
    <r>
      <rPr>
        <sz val="12"/>
        <color theme="1"/>
        <rFont val="Calibri"/>
        <family val="2"/>
        <scheme val="minor"/>
      </rPr>
      <t>)</t>
    </r>
  </si>
  <si>
    <r>
      <t>gui_var_p(DSRinNonpel) (</t>
    </r>
    <r>
      <rPr>
        <i/>
        <sz val="12"/>
        <color theme="1"/>
        <rFont val="Calibri"/>
        <family val="2"/>
        <scheme val="minor"/>
      </rPr>
      <t>var p-hatd</t>
    </r>
    <r>
      <rPr>
        <i/>
        <vertAlign val="subscript"/>
        <sz val="12"/>
        <color theme="1"/>
        <rFont val="Calibri"/>
        <family val="2"/>
        <scheme val="minor"/>
      </rPr>
      <t xml:space="preserve">gi </t>
    </r>
    <r>
      <rPr>
        <i/>
        <sz val="12"/>
        <color theme="1"/>
        <rFont val="Calibri"/>
        <family val="2"/>
        <scheme val="minor"/>
      </rPr>
      <t>and var p-bard</t>
    </r>
    <r>
      <rPr>
        <i/>
        <vertAlign val="subscript"/>
        <sz val="12"/>
        <color theme="1"/>
        <rFont val="Calibri"/>
        <family val="2"/>
        <scheme val="minor"/>
      </rPr>
      <t>gi</t>
    </r>
    <r>
      <rPr>
        <sz val="12"/>
        <color theme="1"/>
        <rFont val="Calibri"/>
        <family val="2"/>
        <scheme val="minor"/>
      </rPr>
      <t>)</t>
    </r>
  </si>
  <si>
    <r>
      <t>GuiDSR (</t>
    </r>
    <r>
      <rPr>
        <b/>
        <i/>
        <sz val="12"/>
        <color theme="1"/>
        <rFont val="Calibri"/>
        <family val="2"/>
        <scheme val="minor"/>
      </rPr>
      <t>G-hatD</t>
    </r>
    <r>
      <rPr>
        <b/>
        <i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</si>
  <si>
    <r>
      <t xml:space="preserve">var_GuiDSR (var </t>
    </r>
    <r>
      <rPr>
        <i/>
        <sz val="12"/>
        <color theme="1"/>
        <rFont val="Calibri"/>
        <family val="2"/>
        <scheme val="minor"/>
      </rPr>
      <t>G-hatD</t>
    </r>
    <r>
      <rPr>
        <i/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</t>
    </r>
  </si>
  <si>
    <r>
      <t>priv_p(DSR) (p-hatD</t>
    </r>
    <r>
      <rPr>
        <vertAlign val="subscript"/>
        <sz val="12"/>
        <color theme="1"/>
        <rFont val="Calibri"/>
        <family val="2"/>
        <scheme val="minor"/>
      </rPr>
      <t xml:space="preserve">ui </t>
    </r>
    <r>
      <rPr>
        <sz val="12"/>
        <color theme="1"/>
        <rFont val="Calibri"/>
        <family val="2"/>
        <scheme val="minor"/>
      </rPr>
      <t>and p-barD</t>
    </r>
    <r>
      <rPr>
        <vertAlign val="subscript"/>
        <sz val="12"/>
        <color theme="1"/>
        <rFont val="Calibri"/>
        <family val="2"/>
        <scheme val="minor"/>
      </rPr>
      <t>ui)</t>
    </r>
  </si>
  <si>
    <r>
      <t>priv_var_p(DSR) (var p-hatD</t>
    </r>
    <r>
      <rPr>
        <vertAlign val="subscript"/>
        <sz val="12"/>
        <color theme="1"/>
        <rFont val="Calibri"/>
        <family val="2"/>
        <scheme val="minor"/>
      </rPr>
      <t xml:space="preserve">ui </t>
    </r>
    <r>
      <rPr>
        <sz val="12"/>
        <color theme="1"/>
        <rFont val="Calibri"/>
        <family val="2"/>
        <scheme val="minor"/>
      </rPr>
      <t>and var p-barD</t>
    </r>
    <r>
      <rPr>
        <vertAlign val="subscript"/>
        <sz val="12"/>
        <color theme="1"/>
        <rFont val="Calibri"/>
        <family val="2"/>
        <scheme val="minor"/>
      </rPr>
      <t>ui)</t>
    </r>
  </si>
  <si>
    <r>
      <t>PrivDSR (U-hatD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</si>
  <si>
    <r>
      <t>var_PrivDSR (var U-hatD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</t>
    </r>
  </si>
  <si>
    <r>
      <t>TotalDSRharv (H-hatD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</si>
  <si>
    <r>
      <t>var_totalDSRharv (var H-hatD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</t>
    </r>
  </si>
  <si>
    <t>DSR FOR SE ONLY</t>
  </si>
  <si>
    <t xml:space="preserve">FOR DISEMINATION: </t>
  </si>
  <si>
    <t>CV</t>
  </si>
  <si>
    <t>0.975159375686964</t>
  </si>
  <si>
    <t>0.885217391304348</t>
  </si>
  <si>
    <t>0.000177016657555179</t>
  </si>
  <si>
    <t>0.99208211143695</t>
  </si>
  <si>
    <t>0.982222222222222</t>
  </si>
  <si>
    <t>3.88902636861063e-05</t>
  </si>
  <si>
    <t>0.635247381726255</t>
  </si>
  <si>
    <t>0.532051282051282</t>
  </si>
  <si>
    <t>0.391788856304985</t>
  </si>
  <si>
    <t>0.0646900269541779</t>
  </si>
  <si>
    <t>0.000163527641532015</t>
  </si>
  <si>
    <t>0.019047619047619</t>
  </si>
  <si>
    <t>4.45938120673886e-05</t>
  </si>
  <si>
    <t>0.458422174840085</t>
  </si>
  <si>
    <t>0.000176579860921032</t>
  </si>
  <si>
    <t>0.869030898876405</t>
  </si>
  <si>
    <t>0.897826086956522</t>
  </si>
  <si>
    <t>0.000199857090494253</t>
  </si>
  <si>
    <t>0.529816513761468</t>
  </si>
  <si>
    <t>0.753246753246753</t>
  </si>
  <si>
    <t>0.454461396208969</t>
  </si>
  <si>
    <t>0.528571428571429</t>
  </si>
  <si>
    <t>0.000356485942016291</t>
  </si>
  <si>
    <t>0.343971631205674</t>
  </si>
  <si>
    <t>0.0004008084336259</t>
  </si>
  <si>
    <t>0.996837752371686</t>
  </si>
  <si>
    <t>0.9064039408867</t>
  </si>
  <si>
    <t>0.000419979390256238</t>
  </si>
  <si>
    <t>0.00173913043478261</t>
  </si>
  <si>
    <t>3.02457466918715e-06</t>
  </si>
  <si>
    <t>0.0107816711590297</t>
  </si>
  <si>
    <t>2.88254776379681e-05</t>
  </si>
  <si>
    <t>0.0119047619047619</t>
  </si>
  <si>
    <t>2.80740776819877e-05</t>
  </si>
  <si>
    <t>0.000710732054015636</t>
  </si>
  <si>
    <t>5.05140052605285e-07</t>
  </si>
  <si>
    <t>0.0230496453900709</t>
  </si>
  <si>
    <t>3.99970856793302e-05</t>
  </si>
  <si>
    <t>0.00735294117647059</t>
  </si>
  <si>
    <t>2.28446805399873e-06</t>
  </si>
  <si>
    <t>0.015625</t>
  </si>
  <si>
    <t>1.67456280620577e-06</t>
  </si>
  <si>
    <t>0.0564516129032258</t>
  </si>
  <si>
    <t>5.55246828977902e-06</t>
  </si>
  <si>
    <t>0.0260869565217391</t>
  </si>
  <si>
    <t>4.4262068329568e-05</t>
  </si>
  <si>
    <t>Borrowed from NSEO</t>
  </si>
  <si>
    <t>0.00338983050847458</t>
  </si>
  <si>
    <t>1.1490950876185e-05</t>
  </si>
  <si>
    <t>0.0177777777777778</t>
  </si>
  <si>
    <t>0.363636363636364</t>
  </si>
  <si>
    <t>0.000352751461398911</t>
  </si>
  <si>
    <t>0.0169491525423729</t>
  </si>
  <si>
    <t>9.14482918247434e-06</t>
  </si>
  <si>
    <t>0.124031007751938</t>
  </si>
  <si>
    <t>3.75033886323703e-05</t>
  </si>
  <si>
    <t>0.070362473347548</t>
  </si>
  <si>
    <t>4.65231832802017e-05</t>
  </si>
  <si>
    <t>0.0421052631578947</t>
  </si>
  <si>
    <t>1.78699202358437e-05</t>
  </si>
  <si>
    <t>0.0630841121495327</t>
  </si>
  <si>
    <t>2.72245540966549e-05</t>
  </si>
  <si>
    <t>0.0657142857142857</t>
  </si>
  <si>
    <t>8.78339318560042e-05</t>
  </si>
  <si>
    <t>0.24113475177305</t>
  </si>
  <si>
    <t>0.000325024481812432</t>
  </si>
  <si>
    <t>0.0197044334975369</t>
  </si>
  <si>
    <t>9.56245980102876e-05</t>
  </si>
  <si>
    <t>0.992647058823529</t>
  </si>
  <si>
    <t>0.984375</t>
  </si>
  <si>
    <t>0.943548387096774</t>
  </si>
  <si>
    <t>0.0513513513513513</t>
  </si>
  <si>
    <t>0.000132017317251332</t>
  </si>
  <si>
    <t>0.0319148936170213</t>
  </si>
  <si>
    <t>6.58770430329115e-05</t>
  </si>
  <si>
    <t>0.0469565217391304</t>
  </si>
  <si>
    <t>7.79644717862248e-05</t>
  </si>
  <si>
    <t>5.53516932923138e-05</t>
  </si>
  <si>
    <t>0.636363636363636</t>
  </si>
  <si>
    <t>0.983050847457627</t>
  </si>
  <si>
    <t>9.14482918247432e-06</t>
  </si>
  <si>
    <t>0.875968992248062</t>
  </si>
  <si>
    <t>0.22911051212938</t>
  </si>
  <si>
    <t>0.000477348338814036</t>
  </si>
  <si>
    <t>0.183333333333333</t>
  </si>
  <si>
    <t>0.000357332272606736</t>
  </si>
  <si>
    <t>0.0717839374555792</t>
  </si>
  <si>
    <t>4.73904721045183e-05</t>
  </si>
  <si>
    <t>0.957894736842105</t>
  </si>
  <si>
    <t>0.936915887850467</t>
  </si>
  <si>
    <t>0.0352422907488987</t>
  </si>
  <si>
    <t>5.00003995465717e-05</t>
  </si>
  <si>
    <t>0.0942857142857143</t>
  </si>
  <si>
    <t>0.000122168695804502</t>
  </si>
  <si>
    <t>0.179078014184397</t>
  </si>
  <si>
    <t>0.000261117369485204</t>
  </si>
  <si>
    <t>1</t>
  </si>
  <si>
    <t>0</t>
  </si>
  <si>
    <t>0.0350877192982456</t>
  </si>
  <si>
    <t>0.00019915630148643</t>
  </si>
  <si>
    <t>0.0738916256157636</t>
  </si>
  <si>
    <t>0.000338770560790215</t>
  </si>
  <si>
    <t>0.941176470588235</t>
  </si>
  <si>
    <t>1.732811323922e-05</t>
  </si>
  <si>
    <t>0.97156564474608</t>
  </si>
  <si>
    <t>3.00771286828675e-06</t>
  </si>
  <si>
    <t>2.5251295420384e-06</t>
  </si>
  <si>
    <t>0.0027027027027027</t>
  </si>
  <si>
    <t>7.30460189919649e-06</t>
  </si>
  <si>
    <t>0.982598607888631</t>
  </si>
  <si>
    <t>1.98589821881014e-05</t>
  </si>
  <si>
    <t>0.990133488102147</t>
  </si>
  <si>
    <t>5.67314973334618e-06</t>
  </si>
  <si>
    <t>2.30087744691066e-06</t>
  </si>
  <si>
    <t>0.00145924536168439</t>
  </si>
  <si>
    <t>1.51893668785447e-07</t>
  </si>
  <si>
    <t>0.0487804878048781</t>
  </si>
  <si>
    <t>4.83695943025083e-06</t>
  </si>
  <si>
    <t>0.000379531578229983</t>
  </si>
  <si>
    <t>0.00013078504301878</t>
  </si>
  <si>
    <t>7.99821007028625e-05</t>
  </si>
  <si>
    <t>0.0727762803234501</t>
  </si>
  <si>
    <t>0.000182378090123602</t>
  </si>
  <si>
    <t>0.0476190476190476</t>
  </si>
  <si>
    <t>0.000108237407930555</t>
  </si>
  <si>
    <t>0.970588235294118</t>
  </si>
  <si>
    <t>0.000119442312982294</t>
  </si>
  <si>
    <t>0.852941176470588</t>
  </si>
  <si>
    <t>0.000737838387950336</t>
  </si>
  <si>
    <t>3.75755020384526e-05</t>
  </si>
  <si>
    <t>0.000250831419662588</t>
  </si>
  <si>
    <t>0.00010984768966095</t>
  </si>
  <si>
    <t>0.000114744806774349</t>
  </si>
  <si>
    <t>0.854961832061069</t>
  </si>
  <si>
    <t>0.000106622612020507</t>
  </si>
  <si>
    <t>0.831491712707182</t>
  </si>
  <si>
    <t>0.000139833577251955</t>
  </si>
  <si>
    <t>0.0102790014684288</t>
  </si>
  <si>
    <t>1.49607994077071e-05</t>
  </si>
  <si>
    <t>0.01</t>
  </si>
  <si>
    <t>1.41630901287554e-05</t>
  </si>
  <si>
    <t>0.992518703241895</t>
  </si>
  <si>
    <t>6.03685118448934e-06</t>
  </si>
  <si>
    <t>0.981465136804943</t>
  </si>
  <si>
    <t>5.24699222422783e-06</t>
  </si>
  <si>
    <t>7.42054571151487e-07</t>
  </si>
  <si>
    <t>0.0144927536231884</t>
  </si>
  <si>
    <t>4.11961745474646e-06</t>
  </si>
  <si>
    <t>0.985507246376812</t>
  </si>
  <si>
    <t>4.11961745474644e-06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</si>
</sst>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#,###,##0"/>
    <numFmt numFmtId="166" formatCode="_(* #,##0.00000000_);_(* \(#,##0.00000000\);_(* &quot;-&quot;??_);_(@_)"/>
    <numFmt numFmtId="167" formatCode="0.000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b/>
      <sz val="9.5"/>
      <color rgb="FF112277"/>
      <name val="Arial"/>
      <family val="2"/>
    </font>
    <font>
      <sz val="11"/>
      <color theme="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/>
      <bottom style="thin">
        <color indexed="64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1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wrapText="1"/>
    </xf>
    <xf numFmtId="165" fontId="0" fillId="2" borderId="1" xfId="0" applyNumberFormat="1" applyFill="1" applyBorder="1" applyAlignment="1">
      <alignment horizontal="right"/>
    </xf>
    <xf numFmtId="164" fontId="2" fillId="0" borderId="0" xfId="1" applyNumberFormat="1" applyFont="1" applyAlignment="1">
      <alignment wrapText="1"/>
    </xf>
    <xf numFmtId="164" fontId="2" fillId="0" borderId="0" xfId="1" applyNumberFormat="1" applyFont="1"/>
    <xf numFmtId="43" fontId="0" fillId="0" borderId="0" xfId="0" applyNumberFormat="1"/>
    <xf numFmtId="164" fontId="2" fillId="0" borderId="0" xfId="1" applyNumberFormat="1" applyFont="1" applyFill="1" applyAlignment="1">
      <alignment wrapText="1"/>
    </xf>
    <xf numFmtId="11" fontId="0" fillId="0" borderId="0" xfId="0" applyNumberFormat="1"/>
    <xf numFmtId="9" fontId="0" fillId="0" borderId="0" xfId="2" applyFont="1"/>
    <xf numFmtId="9" fontId="0" fillId="3" borderId="0" xfId="2" applyFont="1" applyFill="1"/>
    <xf numFmtId="0" fontId="0" fillId="0" borderId="2" xfId="0" applyBorder="1"/>
    <xf numFmtId="0" fontId="0" fillId="4" borderId="0" xfId="0" applyFill="1" applyAlignment="1">
      <alignment wrapText="1"/>
    </xf>
    <xf numFmtId="0" fontId="0" fillId="5" borderId="0" xfId="0" applyFill="1"/>
    <xf numFmtId="164" fontId="3" fillId="0" borderId="0" xfId="1" applyNumberFormat="1" applyFont="1" applyAlignment="1">
      <alignment wrapText="1"/>
    </xf>
    <xf numFmtId="164" fontId="8" fillId="0" borderId="0" xfId="1" applyNumberFormat="1" applyFont="1"/>
    <xf numFmtId="164" fontId="2" fillId="0" borderId="0" xfId="0" applyNumberFormat="1" applyFont="1"/>
    <xf numFmtId="166" fontId="0" fillId="0" borderId="0" xfId="0" applyNumberForma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165" fontId="9" fillId="2" borderId="1" xfId="0" applyNumberFormat="1" applyFont="1" applyFill="1" applyBorder="1" applyAlignment="1">
      <alignment horizontal="right"/>
    </xf>
    <xf numFmtId="164" fontId="11" fillId="0" borderId="0" xfId="1" applyNumberFormat="1" applyFont="1"/>
    <xf numFmtId="165" fontId="11" fillId="2" borderId="1" xfId="0" applyNumberFormat="1" applyFont="1" applyFill="1" applyBorder="1" applyAlignment="1">
      <alignment horizontal="right"/>
    </xf>
    <xf numFmtId="0" fontId="0" fillId="6" borderId="0" xfId="0" applyFill="1"/>
    <xf numFmtId="9" fontId="0" fillId="0" borderId="0" xfId="0" applyNumberFormat="1"/>
    <xf numFmtId="0" fontId="12" fillId="7" borderId="3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3" fontId="0" fillId="0" borderId="0" xfId="0" applyNumberFormat="1"/>
    <xf numFmtId="165" fontId="0" fillId="0" borderId="0" xfId="0" applyNumberFormat="1"/>
    <xf numFmtId="0" fontId="13" fillId="0" borderId="0" xfId="0" applyFont="1"/>
    <xf numFmtId="11" fontId="13" fillId="0" borderId="0" xfId="0" applyNumberFormat="1" applyFont="1"/>
    <xf numFmtId="164" fontId="0" fillId="0" borderId="0" xfId="1" applyNumberFormat="1" applyFont="1" applyFill="1"/>
    <xf numFmtId="0" fontId="11" fillId="0" borderId="0" xfId="0" applyFont="1" applyAlignment="1">
      <alignment horizontal="left"/>
    </xf>
    <xf numFmtId="0" fontId="14" fillId="0" borderId="0" xfId="0" applyFont="1"/>
    <xf numFmtId="0" fontId="11" fillId="0" borderId="0" xfId="0" applyFont="1"/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0" fillId="4" borderId="0" xfId="0" applyFill="1"/>
    <xf numFmtId="167" fontId="0" fillId="6" borderId="0" xfId="0" applyNumberFormat="1" applyFill="1"/>
    <xf numFmtId="167" fontId="0" fillId="0" borderId="0" xfId="0" applyNumberFormat="1"/>
    <xf numFmtId="0" fontId="10" fillId="6" borderId="0" xfId="0" applyFont="1" applyFill="1"/>
    <xf numFmtId="0" fontId="0" fillId="3" borderId="0" xfId="0" applyFill="1"/>
    <xf numFmtId="43" fontId="2" fillId="0" borderId="0" xfId="1" applyFont="1"/>
    <xf numFmtId="0" fontId="0" fillId="2" borderId="0" xfId="0" applyFill="1" applyAlignment="1">
      <alignment horizontal="right"/>
    </xf>
    <xf numFmtId="165" fontId="0" fillId="0" borderId="0" xfId="0" applyNumberFormat="1" applyAlignment="1">
      <alignment horizontal="right"/>
    </xf>
    <xf numFmtId="165" fontId="11" fillId="0" borderId="0" xfId="0" applyNumberFormat="1" applyFont="1" applyAlignment="1">
      <alignment horizontal="right"/>
    </xf>
    <xf numFmtId="37" fontId="0" fillId="0" borderId="0" xfId="1" applyNumberFormat="1" applyFont="1"/>
    <xf numFmtId="165" fontId="9" fillId="0" borderId="0" xfId="0" applyNumberFormat="1" applyFont="1" applyAlignment="1">
      <alignment horizontal="right"/>
    </xf>
    <xf numFmtId="164" fontId="9" fillId="0" borderId="0" xfId="1" applyNumberFormat="1" applyFont="1" applyFill="1"/>
    <xf numFmtId="0" fontId="19" fillId="0" borderId="0" xfId="0" applyFont="1"/>
    <xf numFmtId="164" fontId="10" fillId="0" borderId="0" xfId="1" applyNumberFormat="1" applyFont="1"/>
    <xf numFmtId="164" fontId="13" fillId="0" borderId="0" xfId="1" applyNumberFormat="1" applyFont="1"/>
    <xf numFmtId="164" fontId="22" fillId="0" borderId="0" xfId="1" applyNumberFormat="1" applyFont="1"/>
    <xf numFmtId="164" fontId="2" fillId="0" borderId="0" xfId="1" applyNumberFormat="1" applyFont="1" applyFill="1"/>
    <xf numFmtId="164" fontId="22" fillId="0" borderId="0" xfId="1" applyNumberFormat="1" applyFont="1" applyFill="1"/>
    <xf numFmtId="165" fontId="10" fillId="2" borderId="1" xfId="0" applyNumberFormat="1" applyFont="1" applyFill="1" applyBorder="1" applyAlignment="1">
      <alignment horizontal="right"/>
    </xf>
    <xf numFmtId="164" fontId="10" fillId="0" borderId="0" xfId="1" applyNumberFormat="1" applyFont="1" applyFill="1"/>
    <xf numFmtId="164" fontId="0" fillId="2" borderId="1" xfId="1" applyNumberFormat="1" applyFont="1" applyFill="1" applyBorder="1" applyAlignment="1">
      <alignment horizontal="right"/>
    </xf>
    <xf numFmtId="164" fontId="23" fillId="0" borderId="0" xfId="1" applyNumberFormat="1" applyFont="1"/>
    <xf numFmtId="164" fontId="23" fillId="0" borderId="0" xfId="1" applyNumberFormat="1" applyFont="1" applyBorder="1"/>
    <xf numFmtId="164" fontId="23" fillId="0" borderId="0" xfId="1" applyNumberFormat="1" applyFont="1" applyFill="1" applyBorder="1"/>
    <xf numFmtId="164" fontId="2" fillId="3" borderId="0" xfId="1" applyNumberFormat="1" applyFont="1" applyFill="1"/>
    <xf numFmtId="164" fontId="0" fillId="3" borderId="0" xfId="1" applyNumberFormat="1" applyFont="1" applyFill="1"/>
    <xf numFmtId="164" fontId="2" fillId="3" borderId="0" xfId="0" applyNumberFormat="1" applyFont="1" applyFill="1"/>
    <xf numFmtId="164" fontId="13" fillId="3" borderId="0" xfId="1" applyNumberFormat="1" applyFont="1" applyFill="1"/>
    <xf numFmtId="165" fontId="0" fillId="3" borderId="0" xfId="0" applyNumberFormat="1" applyFill="1" applyAlignment="1">
      <alignment horizontal="right"/>
    </xf>
    <xf numFmtId="164" fontId="0" fillId="3" borderId="0" xfId="0" applyNumberFormat="1" applyFill="1"/>
    <xf numFmtId="164" fontId="11" fillId="3" borderId="0" xfId="1" applyNumberFormat="1" applyFont="1" applyFill="1"/>
    <xf numFmtId="1" fontId="0" fillId="3" borderId="0" xfId="0" applyNumberFormat="1" applyFill="1"/>
    <xf numFmtId="43" fontId="0" fillId="3" borderId="0" xfId="0" applyNumberFormat="1" applyFill="1"/>
    <xf numFmtId="164" fontId="23" fillId="3" borderId="0" xfId="1" applyNumberFormat="1" applyFont="1" applyFill="1" applyBorder="1"/>
    <xf numFmtId="0" fontId="2" fillId="3" borderId="0" xfId="0" applyFont="1" applyFill="1"/>
    <xf numFmtId="11" fontId="0" fillId="3" borderId="0" xfId="0" applyNumberFormat="1" applyFill="1"/>
    <xf numFmtId="164" fontId="1" fillId="3" borderId="0" xfId="1" applyNumberFormat="1" applyFont="1" applyFill="1"/>
    <xf numFmtId="164" fontId="25" fillId="3" borderId="0" xfId="1" applyNumberFormat="1" applyFont="1" applyFill="1"/>
    <xf numFmtId="3" fontId="0" fillId="3" borderId="0" xfId="0" applyNumberFormat="1" applyFill="1"/>
    <xf numFmtId="0" fontId="0" fillId="0" borderId="0" xfId="0" quotePrefix="1"/>
    <xf numFmtId="0" fontId="26" fillId="0" borderId="0" xfId="0" applyFont="1"/>
    <xf numFmtId="0" fontId="13" fillId="4" borderId="0" xfId="0" applyFont="1" applyFill="1"/>
    <xf numFmtId="11" fontId="13" fillId="4" borderId="0" xfId="0" applyNumberFormat="1" applyFont="1" applyFill="1"/>
    <xf numFmtId="0" fontId="0" fillId="12" borderId="0" xfId="0" applyFill="1"/>
    <xf numFmtId="0" fontId="0" fillId="13" borderId="0" xfId="0" applyFill="1"/>
    <xf numFmtId="0" fontId="27" fillId="0" borderId="0" xfId="0" applyFont="1" applyAlignment="1">
      <alignment wrapText="1"/>
    </xf>
    <xf numFmtId="0" fontId="30" fillId="0" borderId="0" xfId="0" applyFont="1" applyAlignment="1">
      <alignment wrapText="1"/>
    </xf>
    <xf numFmtId="164" fontId="30" fillId="0" borderId="0" xfId="1" applyNumberFormat="1" applyFont="1" applyFill="1" applyAlignment="1">
      <alignment wrapText="1"/>
    </xf>
    <xf numFmtId="164" fontId="30" fillId="0" borderId="0" xfId="1" applyNumberFormat="1" applyFont="1" applyAlignment="1">
      <alignment wrapText="1"/>
    </xf>
    <xf numFmtId="0" fontId="27" fillId="14" borderId="0" xfId="0" applyFont="1" applyFill="1" applyAlignment="1">
      <alignment wrapText="1"/>
    </xf>
    <xf numFmtId="0" fontId="35" fillId="0" borderId="0" xfId="0" applyFont="1"/>
    <xf numFmtId="0" fontId="36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43" fontId="0" fillId="15" borderId="0" xfId="0" applyNumberFormat="1" applyFill="1"/>
    <xf numFmtId="9" fontId="0" fillId="0" borderId="0" xfId="1" applyNumberFormat="1" applyFont="1"/>
    <xf numFmtId="0" fontId="0" fillId="11" borderId="0" xfId="0" applyFill="1"/>
    <xf numFmtId="0" fontId="0" fillId="10" borderId="0" xfId="0" applyFill="1"/>
    <xf numFmtId="37" fontId="2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0" fontId="9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Normal" xfId="0" builtinId="0"/>
    <cellStyle name="Normal 2" xfId="3" xr:uid="{DC2F3041-0D07-4DB8-B11F-BFAA6A9B50F0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harvests'!$D$2:$D$26</c:f>
            </c:numRef>
          </c:val>
          <c:smooth val="0"/>
          <c:extLst>
            <c:ext xmlns:c16="http://schemas.microsoft.com/office/drawing/2014/chart" uri="{C3380CC4-5D6E-409C-BE32-E72D297353CC}">
              <c16:uniqueId val="{00000000-AB4F-4688-9DB6-4023C9734F8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harvests'!$N$2:$N$25</c:f>
              </c:numRef>
            </c:plus>
            <c:minus>
              <c:numRef>
                <c:f>'rockfish harvests'!$N$2:$N$25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harvests'!$O$2:$O$26</c:f>
            </c:numRef>
          </c:val>
          <c:smooth val="0"/>
          <c:extLst>
            <c:ext xmlns:c16="http://schemas.microsoft.com/office/drawing/2014/chart" uri="{C3380CC4-5D6E-409C-BE32-E72D297353CC}">
              <c16:uniqueId val="{00000001-AB4F-4688-9DB6-4023C9734F8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harvests'!$N$2:$N$25</c:f>
              </c:numRef>
            </c:plus>
            <c:minus>
              <c:numRef>
                <c:f>'rockfish harvests'!$O$2:$O$25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harvests'!$K$2:$K$26</c:f>
            </c:numRef>
          </c:val>
          <c:smooth val="0"/>
          <c:extLst>
            <c:ext xmlns:c16="http://schemas.microsoft.com/office/drawing/2014/chart" uri="{C3380CC4-5D6E-409C-BE32-E72D297353CC}">
              <c16:uniqueId val="{00000002-AB4F-4688-9DB6-4023C97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harvests'!$D$227:$D$250</c:f>
              <c:numCache>
                <c:formatCode>_(* #,##0_);_(* \(#,##0\);_(* "-"??_);_(@_)</c:formatCode>
                <c:ptCount val="24"/>
                <c:pt idx="0">
                  <c:v>9366</c:v>
                </c:pt>
                <c:pt idx="1">
                  <c:v>9636</c:v>
                </c:pt>
                <c:pt idx="2">
                  <c:v>16855</c:v>
                </c:pt>
                <c:pt idx="3">
                  <c:v>15083</c:v>
                </c:pt>
                <c:pt idx="4">
                  <c:v>14004</c:v>
                </c:pt>
                <c:pt idx="5">
                  <c:v>15272</c:v>
                </c:pt>
                <c:pt idx="6">
                  <c:v>21796</c:v>
                </c:pt>
                <c:pt idx="7">
                  <c:v>27304</c:v>
                </c:pt>
                <c:pt idx="8">
                  <c:v>33748</c:v>
                </c:pt>
                <c:pt idx="9">
                  <c:v>38443</c:v>
                </c:pt>
                <c:pt idx="10">
                  <c:v>52901</c:v>
                </c:pt>
                <c:pt idx="11">
                  <c:v>31717</c:v>
                </c:pt>
                <c:pt idx="12">
                  <c:v>43813</c:v>
                </c:pt>
                <c:pt idx="13">
                  <c:v>58843</c:v>
                </c:pt>
                <c:pt idx="14">
                  <c:v>57675</c:v>
                </c:pt>
                <c:pt idx="15">
                  <c:v>60735</c:v>
                </c:pt>
                <c:pt idx="16">
                  <c:v>73709</c:v>
                </c:pt>
                <c:pt idx="17">
                  <c:v>80105</c:v>
                </c:pt>
                <c:pt idx="18">
                  <c:v>54908</c:v>
                </c:pt>
                <c:pt idx="19">
                  <c:v>57388</c:v>
                </c:pt>
                <c:pt idx="20">
                  <c:v>55460</c:v>
                </c:pt>
                <c:pt idx="21">
                  <c:v>59842</c:v>
                </c:pt>
                <c:pt idx="22">
                  <c:v>24728</c:v>
                </c:pt>
                <c:pt idx="23">
                  <c:v>56521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6A8-98F4-9639A24C983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plus>
            <c:min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harvests'!$O$227:$O$250</c:f>
              <c:numCache>
                <c:formatCode>_(* #,##0_);_(* \(#,##0\);_(* "-"??_);_(@_)</c:formatCode>
                <c:ptCount val="24"/>
                <c:pt idx="0">
                  <c:v>1419.5566561478372</c:v>
                </c:pt>
                <c:pt idx="1">
                  <c:v>1460.4791734615155</c:v>
                </c:pt>
                <c:pt idx="2">
                  <c:v>2554.6260345261362</c:v>
                </c:pt>
                <c:pt idx="3">
                  <c:v>2286.0530690452506</c:v>
                </c:pt>
                <c:pt idx="4">
                  <c:v>2122.5145646694764</c:v>
                </c:pt>
                <c:pt idx="5">
                  <c:v>2314.6988311648274</c:v>
                </c:pt>
                <c:pt idx="6">
                  <c:v>3303.5081013664603</c:v>
                </c:pt>
                <c:pt idx="7">
                  <c:v>4138.3274545655077</c:v>
                </c:pt>
                <c:pt idx="8">
                  <c:v>5115.01153445198</c:v>
                </c:pt>
                <c:pt idx="9">
                  <c:v>5826.6086410731732</c:v>
                </c:pt>
                <c:pt idx="10">
                  <c:v>8017.9336607812002</c:v>
                </c:pt>
                <c:pt idx="11">
                  <c:v>4807.1832653257516</c:v>
                </c:pt>
                <c:pt idx="12">
                  <c:v>6640.5120409785595</c:v>
                </c:pt>
                <c:pt idx="13">
                  <c:v>9637.9680383923114</c:v>
                </c:pt>
                <c:pt idx="14">
                  <c:v>6152.5876396981548</c:v>
                </c:pt>
                <c:pt idx="15">
                  <c:v>9629.9871638141776</c:v>
                </c:pt>
                <c:pt idx="16">
                  <c:v>12999.052896462119</c:v>
                </c:pt>
                <c:pt idx="17">
                  <c:v>8154.5459903117735</c:v>
                </c:pt>
                <c:pt idx="18">
                  <c:v>8439.7721422199611</c:v>
                </c:pt>
                <c:pt idx="19">
                  <c:v>14552.082903438393</c:v>
                </c:pt>
                <c:pt idx="20">
                  <c:v>6239.0473207200412</c:v>
                </c:pt>
                <c:pt idx="21">
                  <c:v>9834.2503043694014</c:v>
                </c:pt>
                <c:pt idx="22">
                  <c:v>5579.5825129317564</c:v>
                </c:pt>
                <c:pt idx="23">
                  <c:v>6300.3832456916716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D-46A8-98F4-9639A24C983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plus>
            <c:min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harvests'!$K$227:$K$250</c:f>
              <c:numCache>
                <c:formatCode>_(* #,##0_);_(* \(#,##0\);_(* "-"??_);_(@_)</c:formatCode>
                <c:ptCount val="24"/>
                <c:pt idx="0">
                  <c:v>10785.556656147837</c:v>
                </c:pt>
                <c:pt idx="1">
                  <c:v>11096.479173461516</c:v>
                </c:pt>
                <c:pt idx="2">
                  <c:v>19409.626034526136</c:v>
                </c:pt>
                <c:pt idx="3">
                  <c:v>17369.053069045251</c:v>
                </c:pt>
                <c:pt idx="4">
                  <c:v>16126.514564669476</c:v>
                </c:pt>
                <c:pt idx="5">
                  <c:v>17586.698831164827</c:v>
                </c:pt>
                <c:pt idx="6">
                  <c:v>25099.50810136646</c:v>
                </c:pt>
                <c:pt idx="7">
                  <c:v>31442.327454565508</c:v>
                </c:pt>
                <c:pt idx="8">
                  <c:v>38863.01153445198</c:v>
                </c:pt>
                <c:pt idx="9">
                  <c:v>44269.608641073173</c:v>
                </c:pt>
                <c:pt idx="10">
                  <c:v>60918.9336607812</c:v>
                </c:pt>
                <c:pt idx="11">
                  <c:v>36524.183265325752</c:v>
                </c:pt>
                <c:pt idx="12">
                  <c:v>50453.51204097856</c:v>
                </c:pt>
                <c:pt idx="13">
                  <c:v>68480.968038392311</c:v>
                </c:pt>
                <c:pt idx="14">
                  <c:v>63827.587639698155</c:v>
                </c:pt>
                <c:pt idx="15">
                  <c:v>70364.987163814178</c:v>
                </c:pt>
                <c:pt idx="16">
                  <c:v>86708.052896462119</c:v>
                </c:pt>
                <c:pt idx="17">
                  <c:v>88259.545990311773</c:v>
                </c:pt>
                <c:pt idx="18">
                  <c:v>63347.772142219961</c:v>
                </c:pt>
                <c:pt idx="19">
                  <c:v>71940.082903438393</c:v>
                </c:pt>
                <c:pt idx="20">
                  <c:v>61699.047320720041</c:v>
                </c:pt>
                <c:pt idx="21">
                  <c:v>69676.250304369401</c:v>
                </c:pt>
                <c:pt idx="22">
                  <c:v>30307.582512931756</c:v>
                </c:pt>
                <c:pt idx="23">
                  <c:v>62821.383245691672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D-46A8-98F4-9639A24C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harvests'!$D$252:$D$275</c:f>
              <c:numCache>
                <c:formatCode>_(* #,##0_);_(* \(#,##0\);_(* "-"??_);_(@_)</c:formatCode>
                <c:ptCount val="24"/>
                <c:pt idx="0">
                  <c:v>1305</c:v>
                </c:pt>
                <c:pt idx="1">
                  <c:v>663</c:v>
                </c:pt>
                <c:pt idx="2">
                  <c:v>1199</c:v>
                </c:pt>
                <c:pt idx="3">
                  <c:v>1043</c:v>
                </c:pt>
                <c:pt idx="4">
                  <c:v>893</c:v>
                </c:pt>
                <c:pt idx="5">
                  <c:v>1627</c:v>
                </c:pt>
                <c:pt idx="6">
                  <c:v>1501</c:v>
                </c:pt>
                <c:pt idx="7">
                  <c:v>1676</c:v>
                </c:pt>
                <c:pt idx="8">
                  <c:v>2529</c:v>
                </c:pt>
                <c:pt idx="9">
                  <c:v>2290</c:v>
                </c:pt>
                <c:pt idx="10">
                  <c:v>2857</c:v>
                </c:pt>
                <c:pt idx="11">
                  <c:v>2494</c:v>
                </c:pt>
                <c:pt idx="12">
                  <c:v>2435</c:v>
                </c:pt>
                <c:pt idx="13">
                  <c:v>2848</c:v>
                </c:pt>
                <c:pt idx="14">
                  <c:v>3241</c:v>
                </c:pt>
                <c:pt idx="15">
                  <c:v>3884</c:v>
                </c:pt>
                <c:pt idx="16">
                  <c:v>4695</c:v>
                </c:pt>
                <c:pt idx="17">
                  <c:v>5729</c:v>
                </c:pt>
                <c:pt idx="18">
                  <c:v>7499</c:v>
                </c:pt>
                <c:pt idx="19">
                  <c:v>6324</c:v>
                </c:pt>
                <c:pt idx="20">
                  <c:v>8659</c:v>
                </c:pt>
                <c:pt idx="21">
                  <c:v>7908</c:v>
                </c:pt>
                <c:pt idx="22">
                  <c:v>4059</c:v>
                </c:pt>
                <c:pt idx="23">
                  <c:v>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9-4484-A775-C33FCBB708D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harvests'!$N$252:$N$275</c:f>
                <c:numCache>
                  <c:formatCode>General</c:formatCode>
                  <c:ptCount val="24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  <c:pt idx="23">
                    <c:v>1079.5672877968864</c:v>
                  </c:pt>
                </c:numCache>
              </c:numRef>
            </c:plus>
            <c:minus>
              <c:numRef>
                <c:f>'rockfish harvests'!$N$252:$N$275</c:f>
                <c:numCache>
                  <c:formatCode>General</c:formatCode>
                  <c:ptCount val="24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  <c:pt idx="23">
                    <c:v>1079.5672877968864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harvests'!$O$252:$O$275</c:f>
              <c:numCache>
                <c:formatCode>_(* #,##0_);_(* \(#,##0\);_(* "-"??_);_(@_)</c:formatCode>
                <c:ptCount val="24"/>
                <c:pt idx="0">
                  <c:v>340.03895326402039</c:v>
                </c:pt>
                <c:pt idx="1">
                  <c:v>172.7554222329851</c:v>
                </c:pt>
                <c:pt idx="2">
                  <c:v>312.41893100655966</c:v>
                </c:pt>
                <c:pt idx="3">
                  <c:v>271.77059636350441</c:v>
                </c:pt>
                <c:pt idx="4">
                  <c:v>232.6856592067204</c:v>
                </c:pt>
                <c:pt idx="5">
                  <c:v>423.94128502725016</c:v>
                </c:pt>
                <c:pt idx="6">
                  <c:v>391.10993781555135</c:v>
                </c:pt>
                <c:pt idx="7">
                  <c:v>436.70903116513273</c:v>
                </c:pt>
                <c:pt idx="8">
                  <c:v>658.97204046337765</c:v>
                </c:pt>
                <c:pt idx="9">
                  <c:v>596.69670726023514</c:v>
                </c:pt>
                <c:pt idx="10">
                  <c:v>744.43776971287843</c:v>
                </c:pt>
                <c:pt idx="11">
                  <c:v>649.85222179346101</c:v>
                </c:pt>
                <c:pt idx="12">
                  <c:v>634.4788131784594</c:v>
                </c:pt>
                <c:pt idx="13">
                  <c:v>1436.4366812227072</c:v>
                </c:pt>
                <c:pt idx="14">
                  <c:v>535.14427701186287</c:v>
                </c:pt>
                <c:pt idx="15">
                  <c:v>591.36648814078035</c:v>
                </c:pt>
                <c:pt idx="16">
                  <c:v>1023.1397849462364</c:v>
                </c:pt>
                <c:pt idx="17">
                  <c:v>2397.5678935972783</c:v>
                </c:pt>
                <c:pt idx="18">
                  <c:v>2107.8674308497375</c:v>
                </c:pt>
                <c:pt idx="19">
                  <c:v>1256.0488400488402</c:v>
                </c:pt>
                <c:pt idx="20">
                  <c:v>1971.3795063043872</c:v>
                </c:pt>
                <c:pt idx="21">
                  <c:v>3002.4944735311237</c:v>
                </c:pt>
                <c:pt idx="22">
                  <c:v>914.63838771593146</c:v>
                </c:pt>
                <c:pt idx="23">
                  <c:v>1513.750779741571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484-A775-C33FCBB708D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harvests'!$N$252:$N$275</c:f>
                <c:numCache>
                  <c:formatCode>General</c:formatCode>
                  <c:ptCount val="24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  <c:pt idx="23">
                    <c:v>1079.5672877968864</c:v>
                  </c:pt>
                </c:numCache>
              </c:numRef>
            </c:plus>
            <c:minus>
              <c:numRef>
                <c:f>'rockfish harvests'!$N$252:$N$275</c:f>
                <c:numCache>
                  <c:formatCode>General</c:formatCode>
                  <c:ptCount val="24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  <c:pt idx="23">
                    <c:v>1079.5672877968864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harvests'!$K$252:$K$275</c:f>
              <c:numCache>
                <c:formatCode>_(* #,##0_);_(* \(#,##0\);_(* "-"??_);_(@_)</c:formatCode>
                <c:ptCount val="24"/>
                <c:pt idx="0">
                  <c:v>1645.0389532640204</c:v>
                </c:pt>
                <c:pt idx="1">
                  <c:v>835.7554222329851</c:v>
                </c:pt>
                <c:pt idx="2">
                  <c:v>1511.4189310065597</c:v>
                </c:pt>
                <c:pt idx="3">
                  <c:v>1314.7705963635044</c:v>
                </c:pt>
                <c:pt idx="4">
                  <c:v>1125.6856592067204</c:v>
                </c:pt>
                <c:pt idx="5">
                  <c:v>2050.9412850272502</c:v>
                </c:pt>
                <c:pt idx="6">
                  <c:v>1892.1099378155513</c:v>
                </c:pt>
                <c:pt idx="7">
                  <c:v>2112.7090311651327</c:v>
                </c:pt>
                <c:pt idx="8">
                  <c:v>3187.9720404633777</c:v>
                </c:pt>
                <c:pt idx="9">
                  <c:v>2886.6967072602351</c:v>
                </c:pt>
                <c:pt idx="10">
                  <c:v>3601.4377697128784</c:v>
                </c:pt>
                <c:pt idx="11">
                  <c:v>3143.852221793461</c:v>
                </c:pt>
                <c:pt idx="12">
                  <c:v>3069.4788131784594</c:v>
                </c:pt>
                <c:pt idx="13">
                  <c:v>4284.4366812227072</c:v>
                </c:pt>
                <c:pt idx="14">
                  <c:v>3776.1442770118629</c:v>
                </c:pt>
                <c:pt idx="15">
                  <c:v>4475.3664881407803</c:v>
                </c:pt>
                <c:pt idx="16">
                  <c:v>5718.1397849462364</c:v>
                </c:pt>
                <c:pt idx="17">
                  <c:v>8126.5678935972783</c:v>
                </c:pt>
                <c:pt idx="18">
                  <c:v>9606.8674308497375</c:v>
                </c:pt>
                <c:pt idx="19">
                  <c:v>7580.0488400488402</c:v>
                </c:pt>
                <c:pt idx="20">
                  <c:v>10630.379506304387</c:v>
                </c:pt>
                <c:pt idx="21">
                  <c:v>10910.494473531124</c:v>
                </c:pt>
                <c:pt idx="22">
                  <c:v>4973.6383877159315</c:v>
                </c:pt>
                <c:pt idx="23">
                  <c:v>8856.750779741571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9-4484-A775-C33FCBB7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harvests'!$D$277:$D$300</c:f>
              <c:numCache>
                <c:formatCode>_(* #,##0_);_(* \(#,##0\);_(* "-"??_);_(@_)</c:formatCode>
                <c:ptCount val="24"/>
                <c:pt idx="0">
                  <c:v>5285</c:v>
                </c:pt>
                <c:pt idx="1">
                  <c:v>6363</c:v>
                </c:pt>
                <c:pt idx="2">
                  <c:v>9746</c:v>
                </c:pt>
                <c:pt idx="3">
                  <c:v>7242</c:v>
                </c:pt>
                <c:pt idx="4">
                  <c:v>4958</c:v>
                </c:pt>
                <c:pt idx="5">
                  <c:v>6069</c:v>
                </c:pt>
                <c:pt idx="6">
                  <c:v>6052</c:v>
                </c:pt>
                <c:pt idx="7">
                  <c:v>7678</c:v>
                </c:pt>
                <c:pt idx="8">
                  <c:v>6437</c:v>
                </c:pt>
                <c:pt idx="9">
                  <c:v>7499</c:v>
                </c:pt>
                <c:pt idx="10">
                  <c:v>10923</c:v>
                </c:pt>
                <c:pt idx="11">
                  <c:v>9325</c:v>
                </c:pt>
                <c:pt idx="12">
                  <c:v>11942</c:v>
                </c:pt>
                <c:pt idx="13">
                  <c:v>13281</c:v>
                </c:pt>
                <c:pt idx="14">
                  <c:v>15243</c:v>
                </c:pt>
                <c:pt idx="15">
                  <c:v>14770</c:v>
                </c:pt>
                <c:pt idx="16">
                  <c:v>19857</c:v>
                </c:pt>
                <c:pt idx="17">
                  <c:v>22095</c:v>
                </c:pt>
                <c:pt idx="18">
                  <c:v>25877</c:v>
                </c:pt>
                <c:pt idx="19">
                  <c:v>24305</c:v>
                </c:pt>
                <c:pt idx="20">
                  <c:v>34673</c:v>
                </c:pt>
                <c:pt idx="21">
                  <c:v>36293</c:v>
                </c:pt>
                <c:pt idx="22">
                  <c:v>17585</c:v>
                </c:pt>
                <c:pt idx="23">
                  <c:v>33151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5-41D9-8E94-5A6D909F2BB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plus>
            <c:min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harvests'!$O$277:$O$300</c:f>
              <c:numCache>
                <c:formatCode>_(* #,##0_);_(* \(#,##0\);_(* "-"??_);_(@_)</c:formatCode>
                <c:ptCount val="24"/>
                <c:pt idx="0">
                  <c:v>3144.4015142904627</c:v>
                </c:pt>
                <c:pt idx="1">
                  <c:v>3785.7761278013659</c:v>
                </c:pt>
                <c:pt idx="2">
                  <c:v>5798.550077251628</c:v>
                </c:pt>
                <c:pt idx="3">
                  <c:v>4308.7522736975479</c:v>
                </c:pt>
                <c:pt idx="4">
                  <c:v>2949.8472484109971</c:v>
                </c:pt>
                <c:pt idx="5">
                  <c:v>3610.8557786620295</c:v>
                </c:pt>
                <c:pt idx="6">
                  <c:v>3600.7413367049921</c:v>
                </c:pt>
                <c:pt idx="7">
                  <c:v>4568.1579615368355</c:v>
                </c:pt>
                <c:pt idx="8">
                  <c:v>3829.8036986731713</c:v>
                </c:pt>
                <c:pt idx="9">
                  <c:v>4461.6588374009807</c:v>
                </c:pt>
                <c:pt idx="10">
                  <c:v>6498.8264409829208</c:v>
                </c:pt>
                <c:pt idx="11">
                  <c:v>5548.0688970214906</c:v>
                </c:pt>
                <c:pt idx="12">
                  <c:v>7105.0979912311668</c:v>
                </c:pt>
                <c:pt idx="13">
                  <c:v>7853.144125958821</c:v>
                </c:pt>
                <c:pt idx="14">
                  <c:v>15088.837840909095</c:v>
                </c:pt>
                <c:pt idx="15">
                  <c:v>8172.238805970148</c:v>
                </c:pt>
                <c:pt idx="16">
                  <c:v>12419.119924151324</c:v>
                </c:pt>
                <c:pt idx="17">
                  <c:v>9668.8857001484394</c:v>
                </c:pt>
                <c:pt idx="18">
                  <c:v>14189.291818701371</c:v>
                </c:pt>
                <c:pt idx="19">
                  <c:v>16806.228360636691</c:v>
                </c:pt>
                <c:pt idx="20">
                  <c:v>15349.26901059274</c:v>
                </c:pt>
                <c:pt idx="21">
                  <c:v>23183.361216730038</c:v>
                </c:pt>
                <c:pt idx="22">
                  <c:v>4858.3978904449577</c:v>
                </c:pt>
                <c:pt idx="23">
                  <c:v>7926.4899805809182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5-41D9-8E94-5A6D909F2BB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plus>
            <c:min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harvests'!$K$277:$K$300</c:f>
              <c:numCache>
                <c:formatCode>_(* #,##0_);_(* \(#,##0\);_(* "-"??_);_(@_)</c:formatCode>
                <c:ptCount val="24"/>
                <c:pt idx="0">
                  <c:v>8429.4015142904627</c:v>
                </c:pt>
                <c:pt idx="1">
                  <c:v>10148.776127801366</c:v>
                </c:pt>
                <c:pt idx="2">
                  <c:v>15544.550077251628</c:v>
                </c:pt>
                <c:pt idx="3">
                  <c:v>11550.752273697548</c:v>
                </c:pt>
                <c:pt idx="4">
                  <c:v>7907.8472484109971</c:v>
                </c:pt>
                <c:pt idx="5">
                  <c:v>9679.8557786620295</c:v>
                </c:pt>
                <c:pt idx="6">
                  <c:v>9652.7413367049921</c:v>
                </c:pt>
                <c:pt idx="7">
                  <c:v>12246.157961536836</c:v>
                </c:pt>
                <c:pt idx="8">
                  <c:v>10266.803698673171</c:v>
                </c:pt>
                <c:pt idx="9">
                  <c:v>11960.658837400981</c:v>
                </c:pt>
                <c:pt idx="10">
                  <c:v>17421.826440982921</c:v>
                </c:pt>
                <c:pt idx="11">
                  <c:v>14873.068897021491</c:v>
                </c:pt>
                <c:pt idx="12">
                  <c:v>19047.097991231167</c:v>
                </c:pt>
                <c:pt idx="13">
                  <c:v>21134.144125958821</c:v>
                </c:pt>
                <c:pt idx="14">
                  <c:v>30331.837840909095</c:v>
                </c:pt>
                <c:pt idx="15">
                  <c:v>22942.238805970148</c:v>
                </c:pt>
                <c:pt idx="16">
                  <c:v>32276.119924151324</c:v>
                </c:pt>
                <c:pt idx="17">
                  <c:v>31763.885700148439</c:v>
                </c:pt>
                <c:pt idx="18">
                  <c:v>40066.291818701371</c:v>
                </c:pt>
                <c:pt idx="19">
                  <c:v>41111.228360636691</c:v>
                </c:pt>
                <c:pt idx="20">
                  <c:v>50022.26901059274</c:v>
                </c:pt>
                <c:pt idx="21">
                  <c:v>59476.361216730038</c:v>
                </c:pt>
                <c:pt idx="22">
                  <c:v>22443.397890444958</c:v>
                </c:pt>
                <c:pt idx="23">
                  <c:v>41077.489980580918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5-41D9-8E94-5A6D909F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harvests'!$D$302:$D$325</c:f>
              <c:numCache>
                <c:formatCode>_(* #,##0_);_(* \(#,##0\);_(* "-"??_);_(@_)</c:formatCode>
                <c:ptCount val="24"/>
                <c:pt idx="0">
                  <c:v>1123</c:v>
                </c:pt>
                <c:pt idx="1">
                  <c:v>1071</c:v>
                </c:pt>
                <c:pt idx="2">
                  <c:v>2883</c:v>
                </c:pt>
                <c:pt idx="3">
                  <c:v>2839</c:v>
                </c:pt>
                <c:pt idx="4">
                  <c:v>2029</c:v>
                </c:pt>
                <c:pt idx="5">
                  <c:v>3083</c:v>
                </c:pt>
                <c:pt idx="6">
                  <c:v>2923</c:v>
                </c:pt>
                <c:pt idx="7">
                  <c:v>2796</c:v>
                </c:pt>
                <c:pt idx="8">
                  <c:v>3058</c:v>
                </c:pt>
                <c:pt idx="9">
                  <c:v>4266</c:v>
                </c:pt>
                <c:pt idx="10">
                  <c:v>5010</c:v>
                </c:pt>
                <c:pt idx="11">
                  <c:v>2818</c:v>
                </c:pt>
                <c:pt idx="12">
                  <c:v>4613</c:v>
                </c:pt>
                <c:pt idx="13">
                  <c:v>8950</c:v>
                </c:pt>
                <c:pt idx="14">
                  <c:v>8600</c:v>
                </c:pt>
                <c:pt idx="15">
                  <c:v>6970</c:v>
                </c:pt>
                <c:pt idx="16">
                  <c:v>8688</c:v>
                </c:pt>
                <c:pt idx="17">
                  <c:v>9156</c:v>
                </c:pt>
                <c:pt idx="18">
                  <c:v>5839</c:v>
                </c:pt>
                <c:pt idx="19">
                  <c:v>9211</c:v>
                </c:pt>
                <c:pt idx="20">
                  <c:v>11024</c:v>
                </c:pt>
                <c:pt idx="21">
                  <c:v>11553</c:v>
                </c:pt>
                <c:pt idx="22">
                  <c:v>3314</c:v>
                </c:pt>
                <c:pt idx="23">
                  <c:v>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0-45F1-89FB-206B60EA8E9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plus>
            <c:min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harvests'!$O$302:$O$325</c:f>
              <c:numCache>
                <c:formatCode>_(* #,##0_);_(* \(#,##0\);_(* "-"??_);_(@_)</c:formatCode>
                <c:ptCount val="24"/>
                <c:pt idx="0">
                  <c:v>595.65533897155365</c:v>
                </c:pt>
                <c:pt idx="1">
                  <c:v>568.07379166387705</c:v>
                </c:pt>
                <c:pt idx="2">
                  <c:v>1529.1846324621447</c:v>
                </c:pt>
                <c:pt idx="3">
                  <c:v>1505.8464001248803</c:v>
                </c:pt>
                <c:pt idx="4">
                  <c:v>1076.2107593706878</c:v>
                </c:pt>
                <c:pt idx="5">
                  <c:v>1635.26750672244</c:v>
                </c:pt>
                <c:pt idx="6">
                  <c:v>1550.4012073142039</c:v>
                </c:pt>
                <c:pt idx="7">
                  <c:v>1483.0385821589171</c:v>
                </c:pt>
                <c:pt idx="8">
                  <c:v>1622.0071474399028</c:v>
                </c:pt>
                <c:pt idx="9">
                  <c:v>2262.7477079720811</c:v>
                </c:pt>
                <c:pt idx="10">
                  <c:v>2657.3760002203771</c:v>
                </c:pt>
                <c:pt idx="11">
                  <c:v>1494.7076983275492</c:v>
                </c:pt>
                <c:pt idx="12">
                  <c:v>2446.8014948136924</c:v>
                </c:pt>
                <c:pt idx="13">
                  <c:v>2109.8638720829731</c:v>
                </c:pt>
                <c:pt idx="14">
                  <c:v>4056.1403508771928</c:v>
                </c:pt>
                <c:pt idx="15">
                  <c:v>3563.4638032559742</c:v>
                </c:pt>
                <c:pt idx="16">
                  <c:v>9722.2508839872025</c:v>
                </c:pt>
                <c:pt idx="17">
                  <c:v>4529.4803554223308</c:v>
                </c:pt>
                <c:pt idx="18">
                  <c:v>1660.6278507924235</c:v>
                </c:pt>
                <c:pt idx="19">
                  <c:v>6867.0171471927151</c:v>
                </c:pt>
                <c:pt idx="20">
                  <c:v>7836.8836407058479</c:v>
                </c:pt>
                <c:pt idx="21">
                  <c:v>6640.6634516724807</c:v>
                </c:pt>
                <c:pt idx="22">
                  <c:v>1085.5719163465646</c:v>
                </c:pt>
                <c:pt idx="23">
                  <c:v>6262.8946783553529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0-45F1-89FB-206B60EA8E9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plus>
            <c:min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harvests'!$K$302:$K$325</c:f>
              <c:numCache>
                <c:formatCode>_(* #,##0_);_(* \(#,##0\);_(* "-"??_);_(@_)</c:formatCode>
                <c:ptCount val="24"/>
                <c:pt idx="0">
                  <c:v>1718.6553389715536</c:v>
                </c:pt>
                <c:pt idx="1">
                  <c:v>1639.073791663877</c:v>
                </c:pt>
                <c:pt idx="2">
                  <c:v>4412.1846324621447</c:v>
                </c:pt>
                <c:pt idx="3">
                  <c:v>4344.8464001248803</c:v>
                </c:pt>
                <c:pt idx="4">
                  <c:v>3105.2107593706878</c:v>
                </c:pt>
                <c:pt idx="5">
                  <c:v>4718.26750672244</c:v>
                </c:pt>
                <c:pt idx="6">
                  <c:v>4473.4012073142039</c:v>
                </c:pt>
                <c:pt idx="7">
                  <c:v>4279.0385821589171</c:v>
                </c:pt>
                <c:pt idx="8">
                  <c:v>4680.0071474399028</c:v>
                </c:pt>
                <c:pt idx="9">
                  <c:v>6528.7477079720811</c:v>
                </c:pt>
                <c:pt idx="10">
                  <c:v>7667.3760002203771</c:v>
                </c:pt>
                <c:pt idx="11">
                  <c:v>4312.7076983275492</c:v>
                </c:pt>
                <c:pt idx="12">
                  <c:v>7059.8014948136924</c:v>
                </c:pt>
                <c:pt idx="13">
                  <c:v>11059.863872082973</c:v>
                </c:pt>
                <c:pt idx="14">
                  <c:v>12656.140350877193</c:v>
                </c:pt>
                <c:pt idx="15">
                  <c:v>10533.463803255974</c:v>
                </c:pt>
                <c:pt idx="16">
                  <c:v>18410.250883987203</c:v>
                </c:pt>
                <c:pt idx="17">
                  <c:v>13685.480355422331</c:v>
                </c:pt>
                <c:pt idx="18">
                  <c:v>7499.6278507924235</c:v>
                </c:pt>
                <c:pt idx="19">
                  <c:v>16078.017147192715</c:v>
                </c:pt>
                <c:pt idx="20">
                  <c:v>18860.883640705848</c:v>
                </c:pt>
                <c:pt idx="21">
                  <c:v>18193.663451672481</c:v>
                </c:pt>
                <c:pt idx="22">
                  <c:v>4399.5719163465646</c:v>
                </c:pt>
                <c:pt idx="23">
                  <c:v>15994.894678355353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0-45F1-89FB-206B60EA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harvests'!$D$327:$D$350</c:f>
              <c:numCache>
                <c:formatCode>_(* #,##0_);_(* \(#,##0\);_(* "-"??_);_(@_)</c:formatCode>
                <c:ptCount val="24"/>
                <c:pt idx="0">
                  <c:v>6261</c:v>
                </c:pt>
                <c:pt idx="1">
                  <c:v>7370</c:v>
                </c:pt>
                <c:pt idx="2">
                  <c:v>11989</c:v>
                </c:pt>
                <c:pt idx="3">
                  <c:v>9348</c:v>
                </c:pt>
                <c:pt idx="4">
                  <c:v>8033</c:v>
                </c:pt>
                <c:pt idx="5">
                  <c:v>11263</c:v>
                </c:pt>
                <c:pt idx="6">
                  <c:v>13195</c:v>
                </c:pt>
                <c:pt idx="7">
                  <c:v>15329</c:v>
                </c:pt>
                <c:pt idx="8">
                  <c:v>17714</c:v>
                </c:pt>
                <c:pt idx="9">
                  <c:v>20368</c:v>
                </c:pt>
                <c:pt idx="10">
                  <c:v>18756</c:v>
                </c:pt>
                <c:pt idx="11">
                  <c:v>14837</c:v>
                </c:pt>
                <c:pt idx="12">
                  <c:v>20015</c:v>
                </c:pt>
                <c:pt idx="13">
                  <c:v>17328</c:v>
                </c:pt>
                <c:pt idx="14">
                  <c:v>20908</c:v>
                </c:pt>
                <c:pt idx="15">
                  <c:v>24779</c:v>
                </c:pt>
                <c:pt idx="16">
                  <c:v>25686</c:v>
                </c:pt>
                <c:pt idx="17">
                  <c:v>29160</c:v>
                </c:pt>
                <c:pt idx="18">
                  <c:v>32540</c:v>
                </c:pt>
                <c:pt idx="19">
                  <c:v>30249</c:v>
                </c:pt>
                <c:pt idx="20">
                  <c:v>42049</c:v>
                </c:pt>
                <c:pt idx="21">
                  <c:v>35867</c:v>
                </c:pt>
                <c:pt idx="22">
                  <c:v>11107</c:v>
                </c:pt>
                <c:pt idx="23">
                  <c:v>28388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A-4611-936D-FEB6AF71167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plus>
            <c:min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harvests'!$O$327:$O$350</c:f>
              <c:numCache>
                <c:formatCode>_(* #,##0_);_(* \(#,##0\);_(* "-"??_);_(@_)</c:formatCode>
                <c:ptCount val="24"/>
                <c:pt idx="0">
                  <c:v>7422.4767633387146</c:v>
                </c:pt>
                <c:pt idx="1">
                  <c:v>8737.2071148069517</c:v>
                </c:pt>
                <c:pt idx="2">
                  <c:v>14213.076811318933</c:v>
                </c:pt>
                <c:pt idx="3">
                  <c:v>11082.145469364368</c:v>
                </c:pt>
                <c:pt idx="4">
                  <c:v>9523.200102204104</c:v>
                </c:pt>
                <c:pt idx="5">
                  <c:v>13352.396707472279</c:v>
                </c:pt>
                <c:pt idx="6">
                  <c:v>15642.801611923707</c:v>
                </c:pt>
                <c:pt idx="7">
                  <c:v>18172.679492927513</c:v>
                </c:pt>
                <c:pt idx="8">
                  <c:v>21000.120329944417</c:v>
                </c:pt>
                <c:pt idx="9">
                  <c:v>24146.463299102848</c:v>
                </c:pt>
                <c:pt idx="10">
                  <c:v>22235.421525823498</c:v>
                </c:pt>
                <c:pt idx="11">
                  <c:v>17589.408678750442</c:v>
                </c:pt>
                <c:pt idx="12">
                  <c:v>23727.978345028649</c:v>
                </c:pt>
                <c:pt idx="13">
                  <c:v>26057.656259472569</c:v>
                </c:pt>
                <c:pt idx="14">
                  <c:v>30342.239687848378</c:v>
                </c:pt>
                <c:pt idx="15">
                  <c:v>34267.842065821518</c:v>
                </c:pt>
                <c:pt idx="16">
                  <c:v>33152.073336968373</c:v>
                </c:pt>
                <c:pt idx="17">
                  <c:v>31796.645359656926</c:v>
                </c:pt>
                <c:pt idx="18">
                  <c:v>33865.532446281708</c:v>
                </c:pt>
                <c:pt idx="19">
                  <c:v>32660.834871736792</c:v>
                </c:pt>
                <c:pt idx="20">
                  <c:v>34725.8595505618</c:v>
                </c:pt>
                <c:pt idx="21">
                  <c:v>69950.34860446323</c:v>
                </c:pt>
                <c:pt idx="22">
                  <c:v>15196.649154865238</c:v>
                </c:pt>
                <c:pt idx="23">
                  <c:v>14186.636497865038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A-4611-936D-FEB6AF71167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plus>
            <c:min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harvests'!$K$327:$K$350</c:f>
              <c:numCache>
                <c:formatCode>_(* #,##0_);_(* \(#,##0\);_(* "-"??_);_(@_)</c:formatCode>
                <c:ptCount val="24"/>
                <c:pt idx="0">
                  <c:v>13683.476763338715</c:v>
                </c:pt>
                <c:pt idx="1">
                  <c:v>16107.207114806952</c:v>
                </c:pt>
                <c:pt idx="2">
                  <c:v>26202.076811318933</c:v>
                </c:pt>
                <c:pt idx="3">
                  <c:v>20430.145469364368</c:v>
                </c:pt>
                <c:pt idx="4">
                  <c:v>17556.200102204104</c:v>
                </c:pt>
                <c:pt idx="5">
                  <c:v>24615.396707472279</c:v>
                </c:pt>
                <c:pt idx="6">
                  <c:v>28837.801611923707</c:v>
                </c:pt>
                <c:pt idx="7">
                  <c:v>33501.679492927513</c:v>
                </c:pt>
                <c:pt idx="8">
                  <c:v>38714.120329944417</c:v>
                </c:pt>
                <c:pt idx="9">
                  <c:v>44514.463299102848</c:v>
                </c:pt>
                <c:pt idx="10">
                  <c:v>40991.421525823498</c:v>
                </c:pt>
                <c:pt idx="11">
                  <c:v>32426.408678750442</c:v>
                </c:pt>
                <c:pt idx="12">
                  <c:v>43742.978345028649</c:v>
                </c:pt>
                <c:pt idx="13">
                  <c:v>43385.656259472569</c:v>
                </c:pt>
                <c:pt idx="14">
                  <c:v>51250.239687848378</c:v>
                </c:pt>
                <c:pt idx="15">
                  <c:v>59046.842065821518</c:v>
                </c:pt>
                <c:pt idx="16">
                  <c:v>58838.073336968373</c:v>
                </c:pt>
                <c:pt idx="17">
                  <c:v>60956.645359656926</c:v>
                </c:pt>
                <c:pt idx="18">
                  <c:v>66405.532446281708</c:v>
                </c:pt>
                <c:pt idx="19">
                  <c:v>62909.834871736792</c:v>
                </c:pt>
                <c:pt idx="20">
                  <c:v>76774.8595505618</c:v>
                </c:pt>
                <c:pt idx="21">
                  <c:v>105817.34860446323</c:v>
                </c:pt>
                <c:pt idx="22">
                  <c:v>26303.649154865238</c:v>
                </c:pt>
                <c:pt idx="23">
                  <c:v>42574.636497865038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A-4611-936D-FEB6AF71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harvests'!$D$352:$D$375</c:f>
              <c:numCache>
                <c:formatCode>_(* #,##0_);_(* \(#,##0\);_(* "-"??_);_(@_)</c:formatCode>
                <c:ptCount val="24"/>
                <c:pt idx="0">
                  <c:v>3185</c:v>
                </c:pt>
                <c:pt idx="1">
                  <c:v>4616</c:v>
                </c:pt>
                <c:pt idx="2">
                  <c:v>6910</c:v>
                </c:pt>
                <c:pt idx="3">
                  <c:v>5756</c:v>
                </c:pt>
                <c:pt idx="4">
                  <c:v>7617</c:v>
                </c:pt>
                <c:pt idx="5">
                  <c:v>6896</c:v>
                </c:pt>
                <c:pt idx="6">
                  <c:v>10061</c:v>
                </c:pt>
                <c:pt idx="7">
                  <c:v>12666</c:v>
                </c:pt>
                <c:pt idx="8">
                  <c:v>12007</c:v>
                </c:pt>
                <c:pt idx="9">
                  <c:v>12018</c:v>
                </c:pt>
                <c:pt idx="10">
                  <c:v>17754</c:v>
                </c:pt>
                <c:pt idx="11">
                  <c:v>9645</c:v>
                </c:pt>
                <c:pt idx="12">
                  <c:v>12415</c:v>
                </c:pt>
                <c:pt idx="13">
                  <c:v>11926</c:v>
                </c:pt>
                <c:pt idx="14">
                  <c:v>14290</c:v>
                </c:pt>
                <c:pt idx="15">
                  <c:v>15619</c:v>
                </c:pt>
                <c:pt idx="16">
                  <c:v>18453</c:v>
                </c:pt>
                <c:pt idx="17">
                  <c:v>17669</c:v>
                </c:pt>
                <c:pt idx="18">
                  <c:v>17707</c:v>
                </c:pt>
                <c:pt idx="19">
                  <c:v>20760</c:v>
                </c:pt>
                <c:pt idx="20">
                  <c:v>26949</c:v>
                </c:pt>
                <c:pt idx="21">
                  <c:v>22912</c:v>
                </c:pt>
                <c:pt idx="22">
                  <c:v>12619</c:v>
                </c:pt>
                <c:pt idx="23">
                  <c:v>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0-43CA-A65C-A0D8F8987E6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plus>
            <c:min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harvests'!$O$352:$O$375</c:f>
              <c:numCache>
                <c:formatCode>_(* #,##0_);_(* \(#,##0\);_(* "-"??_);_(@_)</c:formatCode>
                <c:ptCount val="24"/>
                <c:pt idx="0">
                  <c:v>1543.4215757484271</c:v>
                </c:pt>
                <c:pt idx="1">
                  <c:v>2236.8709556215817</c:v>
                </c:pt>
                <c:pt idx="2">
                  <c:v>3348.5221627697429</c:v>
                </c:pt>
                <c:pt idx="3">
                  <c:v>2789.304423864347</c:v>
                </c:pt>
                <c:pt idx="4">
                  <c:v>3691.1278312325794</c:v>
                </c:pt>
                <c:pt idx="5">
                  <c:v>3341.7378921071122</c:v>
                </c:pt>
                <c:pt idx="6">
                  <c:v>4875.4676526232088</c:v>
                </c:pt>
                <c:pt idx="7">
                  <c:v>6137.826586634088</c:v>
                </c:pt>
                <c:pt idx="8">
                  <c:v>5818.4812747288415</c:v>
                </c:pt>
                <c:pt idx="9">
                  <c:v>5823.8117731066231</c:v>
                </c:pt>
                <c:pt idx="10">
                  <c:v>8603.4243817386414</c:v>
                </c:pt>
                <c:pt idx="11">
                  <c:v>4673.8778957907616</c:v>
                </c:pt>
                <c:pt idx="12">
                  <c:v>6016.1943054683579</c:v>
                </c:pt>
                <c:pt idx="13">
                  <c:v>5499.8326454033777</c:v>
                </c:pt>
                <c:pt idx="14">
                  <c:v>7211.4840486137473</c:v>
                </c:pt>
                <c:pt idx="15">
                  <c:v>7064.6801916454569</c:v>
                </c:pt>
                <c:pt idx="16">
                  <c:v>5969.0572591587515</c:v>
                </c:pt>
                <c:pt idx="17">
                  <c:v>15546.524335519505</c:v>
                </c:pt>
                <c:pt idx="18">
                  <c:v>9530.7617028217246</c:v>
                </c:pt>
                <c:pt idx="19">
                  <c:v>7420.2213327054378</c:v>
                </c:pt>
                <c:pt idx="20">
                  <c:v>12867.635899450121</c:v>
                </c:pt>
                <c:pt idx="21">
                  <c:v>16359.985999299963</c:v>
                </c:pt>
                <c:pt idx="22">
                  <c:v>2769.6225355790575</c:v>
                </c:pt>
                <c:pt idx="23">
                  <c:v>1670.0870000715477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0-43CA-A65C-A0D8F8987E6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plus>
            <c:min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harvests'!$K$352:$K$375</c:f>
              <c:numCache>
                <c:formatCode>_(* #,##0_);_(* \(#,##0\);_(* "-"??_);_(@_)</c:formatCode>
                <c:ptCount val="24"/>
                <c:pt idx="0">
                  <c:v>4728.4215757484271</c:v>
                </c:pt>
                <c:pt idx="1">
                  <c:v>6852.8709556215817</c:v>
                </c:pt>
                <c:pt idx="2">
                  <c:v>10258.522162769743</c:v>
                </c:pt>
                <c:pt idx="3">
                  <c:v>8545.304423864347</c:v>
                </c:pt>
                <c:pt idx="4">
                  <c:v>11308.127831232579</c:v>
                </c:pt>
                <c:pt idx="5">
                  <c:v>10237.737892107112</c:v>
                </c:pt>
                <c:pt idx="6">
                  <c:v>14936.467652623209</c:v>
                </c:pt>
                <c:pt idx="7">
                  <c:v>18803.826586634088</c:v>
                </c:pt>
                <c:pt idx="8">
                  <c:v>17825.481274728842</c:v>
                </c:pt>
                <c:pt idx="9">
                  <c:v>17841.811773106623</c:v>
                </c:pt>
                <c:pt idx="10">
                  <c:v>26357.424381738641</c:v>
                </c:pt>
                <c:pt idx="11">
                  <c:v>14318.877895790762</c:v>
                </c:pt>
                <c:pt idx="12">
                  <c:v>18431.194305468358</c:v>
                </c:pt>
                <c:pt idx="13">
                  <c:v>17425.832645403378</c:v>
                </c:pt>
                <c:pt idx="14">
                  <c:v>21501.484048613747</c:v>
                </c:pt>
                <c:pt idx="15">
                  <c:v>22683.680191645457</c:v>
                </c:pt>
                <c:pt idx="16">
                  <c:v>24422.057259158752</c:v>
                </c:pt>
                <c:pt idx="17">
                  <c:v>33215.524335519505</c:v>
                </c:pt>
                <c:pt idx="18">
                  <c:v>27237.761702821725</c:v>
                </c:pt>
                <c:pt idx="19">
                  <c:v>28180.221332705438</c:v>
                </c:pt>
                <c:pt idx="20">
                  <c:v>39816.635899450121</c:v>
                </c:pt>
                <c:pt idx="21">
                  <c:v>39271.985999299963</c:v>
                </c:pt>
                <c:pt idx="22">
                  <c:v>15388.622535579058</c:v>
                </c:pt>
                <c:pt idx="23">
                  <c:v>31069.087000071548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0-43CA-A65C-A0D8F898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harvests'!$N$2:$N$25</c:f>
              </c:numRef>
            </c:plus>
            <c:minus>
              <c:numRef>
                <c:f>'rockfish harvests'!$N$2:$N$25</c:f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harvests'!$K$2:$K$26</c:f>
            </c:numRef>
          </c:val>
          <c:smooth val="0"/>
          <c:extLst>
            <c:ext xmlns:c16="http://schemas.microsoft.com/office/drawing/2014/chart" uri="{C3380CC4-5D6E-409C-BE32-E72D297353CC}">
              <c16:uniqueId val="{00000003-4234-42A6-8C57-F6711561EC0F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harvests'!$N$27:$N$50</c:f>
              </c:numRef>
            </c:plus>
            <c:minus>
              <c:numRef>
                <c:f>'rockfish harvests'!$N$27:$N$50</c:f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harvests'!$K$27:$K$51</c:f>
            </c:numRef>
          </c:val>
          <c:smooth val="0"/>
          <c:extLst>
            <c:ext xmlns:c16="http://schemas.microsoft.com/office/drawing/2014/chart" uri="{C3380CC4-5D6E-409C-BE32-E72D297353CC}">
              <c16:uniqueId val="{00000004-4234-42A6-8C57-F6711561EC0F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harvests'!$N$52:$N$74</c:f>
              </c:numRef>
            </c:plus>
            <c:minus>
              <c:numRef>
                <c:f>'rockfish harvests'!$N$52:$N$74</c:f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harvests'!$K$52:$K$76</c:f>
            </c:numRef>
          </c:val>
          <c:smooth val="0"/>
          <c:extLst>
            <c:ext xmlns:c16="http://schemas.microsoft.com/office/drawing/2014/chart" uri="{C3380CC4-5D6E-409C-BE32-E72D297353CC}">
              <c16:uniqueId val="{00000005-4234-42A6-8C57-F6711561EC0F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harvests'!$N$102:$N$125</c:f>
              </c:numRef>
            </c:plus>
            <c:minus>
              <c:numRef>
                <c:f>'rockfish harvests'!$N$102:$N$125</c:f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harvests'!$K$102:$K$126</c:f>
            </c:numRef>
          </c:val>
          <c:smooth val="0"/>
          <c:extLst>
            <c:ext xmlns:c16="http://schemas.microsoft.com/office/drawing/2014/chart" uri="{C3380CC4-5D6E-409C-BE32-E72D297353CC}">
              <c16:uniqueId val="{00000006-4234-42A6-8C57-F6711561EC0F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harvests'!$N$152:$N$175</c:f>
              </c:numRef>
            </c:plus>
            <c:minus>
              <c:numRef>
                <c:f>'rockfish harvests'!$N$152:$N$175</c:f>
              </c:numRef>
            </c:minus>
            <c:spPr>
              <a:noFill/>
              <a:ln w="19050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harvests'!$K$152:$K$176</c:f>
            </c:numRef>
          </c:val>
          <c:smooth val="0"/>
          <c:extLst>
            <c:ext xmlns:c16="http://schemas.microsoft.com/office/drawing/2014/chart" uri="{C3380CC4-5D6E-409C-BE32-E72D297353CC}">
              <c16:uniqueId val="{00000007-4234-42A6-8C57-F6711561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harvests'!$N$77:$N$100</c:f>
              </c:numRef>
            </c:plus>
            <c:minus>
              <c:numRef>
                <c:f>'rockfish harvests'!$N$77:$N$100</c:f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harvests'!$K$77:$K$101</c:f>
            </c:numRef>
          </c:val>
          <c:smooth val="0"/>
          <c:extLst>
            <c:ext xmlns:c16="http://schemas.microsoft.com/office/drawing/2014/chart" uri="{C3380CC4-5D6E-409C-BE32-E72D297353CC}">
              <c16:uniqueId val="{00000000-39B9-4027-B8CD-8D8FB0F2D285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harvests'!$N$127:$N$150</c:f>
              </c:numRef>
            </c:plus>
            <c:minus>
              <c:numRef>
                <c:f>'rockfish harvests'!$N$127:$N$150</c:f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harvests'!$K$127:$K$151</c:f>
            </c:numRef>
          </c:val>
          <c:smooth val="0"/>
          <c:extLst>
            <c:ext xmlns:c16="http://schemas.microsoft.com/office/drawing/2014/chart" uri="{C3380CC4-5D6E-409C-BE32-E72D297353CC}">
              <c16:uniqueId val="{00000001-39B9-4027-B8CD-8D8FB0F2D285}"/>
            </c:ext>
          </c:extLst>
        </c:ser>
        <c:ser>
          <c:idx val="2"/>
          <c:order val="2"/>
          <c:tx>
            <c:v>PWSI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harvests'!$N$177:$N$200</c:f>
              </c:numRef>
            </c:plus>
            <c:minus>
              <c:numRef>
                <c:f>'rockfish harvests'!$N$177:$N$200</c:f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harvests'!$K$177:$K$201</c:f>
            </c:numRef>
          </c:val>
          <c:smooth val="0"/>
          <c:extLst>
            <c:ext xmlns:c16="http://schemas.microsoft.com/office/drawing/2014/chart" uri="{C3380CC4-5D6E-409C-BE32-E72D297353CC}">
              <c16:uniqueId val="{00000002-39B9-4027-B8CD-8D8FB0F2D285}"/>
            </c:ext>
          </c:extLst>
        </c:ser>
        <c:ser>
          <c:idx val="3"/>
          <c:order val="3"/>
          <c:tx>
            <c:v>PWSO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harvests'!$N$202:$N$225</c:f>
              </c:numRef>
            </c:plus>
            <c:minus>
              <c:numRef>
                <c:f>'rockfish harvests'!$N$202:$N$225</c:f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harvests'!$K$202:$K$226</c:f>
            </c:numRef>
          </c:val>
          <c:smooth val="0"/>
          <c:extLst>
            <c:ext xmlns:c16="http://schemas.microsoft.com/office/drawing/2014/chart" uri="{C3380CC4-5D6E-409C-BE32-E72D297353CC}">
              <c16:uniqueId val="{00000003-39B9-4027-B8CD-8D8FB0F2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plus>
            <c:min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harvests'!$K$227:$K$250</c:f>
              <c:numCache>
                <c:formatCode>_(* #,##0_);_(* \(#,##0\);_(* "-"??_);_(@_)</c:formatCode>
                <c:ptCount val="24"/>
                <c:pt idx="0">
                  <c:v>10785.556656147837</c:v>
                </c:pt>
                <c:pt idx="1">
                  <c:v>11096.479173461516</c:v>
                </c:pt>
                <c:pt idx="2">
                  <c:v>19409.626034526136</c:v>
                </c:pt>
                <c:pt idx="3">
                  <c:v>17369.053069045251</c:v>
                </c:pt>
                <c:pt idx="4">
                  <c:v>16126.514564669476</c:v>
                </c:pt>
                <c:pt idx="5">
                  <c:v>17586.698831164827</c:v>
                </c:pt>
                <c:pt idx="6">
                  <c:v>25099.50810136646</c:v>
                </c:pt>
                <c:pt idx="7">
                  <c:v>31442.327454565508</c:v>
                </c:pt>
                <c:pt idx="8">
                  <c:v>38863.01153445198</c:v>
                </c:pt>
                <c:pt idx="9">
                  <c:v>44269.608641073173</c:v>
                </c:pt>
                <c:pt idx="10">
                  <c:v>60918.9336607812</c:v>
                </c:pt>
                <c:pt idx="11">
                  <c:v>36524.183265325752</c:v>
                </c:pt>
                <c:pt idx="12">
                  <c:v>50453.51204097856</c:v>
                </c:pt>
                <c:pt idx="13">
                  <c:v>68480.968038392311</c:v>
                </c:pt>
                <c:pt idx="14">
                  <c:v>63827.587639698155</c:v>
                </c:pt>
                <c:pt idx="15">
                  <c:v>70364.987163814178</c:v>
                </c:pt>
                <c:pt idx="16">
                  <c:v>86708.052896462119</c:v>
                </c:pt>
                <c:pt idx="17">
                  <c:v>88259.545990311773</c:v>
                </c:pt>
                <c:pt idx="18">
                  <c:v>63347.772142219961</c:v>
                </c:pt>
                <c:pt idx="19">
                  <c:v>71940.082903438393</c:v>
                </c:pt>
                <c:pt idx="20">
                  <c:v>61699.047320720041</c:v>
                </c:pt>
                <c:pt idx="21">
                  <c:v>69676.250304369401</c:v>
                </c:pt>
                <c:pt idx="22">
                  <c:v>30307.582512931756</c:v>
                </c:pt>
                <c:pt idx="23">
                  <c:v>62821.383245691672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7C1-A689-C71495ADDA54}"/>
            </c:ext>
          </c:extLst>
        </c:ser>
        <c:ser>
          <c:idx val="1"/>
          <c:order val="1"/>
          <c:tx>
            <c:v>EWYKT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harvests'!$N$252:$N$274</c:f>
                <c:numCache>
                  <c:formatCode>General</c:formatCode>
                  <c:ptCount val="23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</c:numCache>
              </c:numRef>
            </c:plus>
            <c:minus>
              <c:numRef>
                <c:f>'rockfish harvests'!$N$252:$N$274</c:f>
                <c:numCache>
                  <c:formatCode>General</c:formatCode>
                  <c:ptCount val="23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harvests'!$K$252:$K$275</c:f>
              <c:numCache>
                <c:formatCode>_(* #,##0_);_(* \(#,##0\);_(* "-"??_);_(@_)</c:formatCode>
                <c:ptCount val="24"/>
                <c:pt idx="0">
                  <c:v>1645.0389532640204</c:v>
                </c:pt>
                <c:pt idx="1">
                  <c:v>835.7554222329851</c:v>
                </c:pt>
                <c:pt idx="2">
                  <c:v>1511.4189310065597</c:v>
                </c:pt>
                <c:pt idx="3">
                  <c:v>1314.7705963635044</c:v>
                </c:pt>
                <c:pt idx="4">
                  <c:v>1125.6856592067204</c:v>
                </c:pt>
                <c:pt idx="5">
                  <c:v>2050.9412850272502</c:v>
                </c:pt>
                <c:pt idx="6">
                  <c:v>1892.1099378155513</c:v>
                </c:pt>
                <c:pt idx="7">
                  <c:v>2112.7090311651327</c:v>
                </c:pt>
                <c:pt idx="8">
                  <c:v>3187.9720404633777</c:v>
                </c:pt>
                <c:pt idx="9">
                  <c:v>2886.6967072602351</c:v>
                </c:pt>
                <c:pt idx="10">
                  <c:v>3601.4377697128784</c:v>
                </c:pt>
                <c:pt idx="11">
                  <c:v>3143.852221793461</c:v>
                </c:pt>
                <c:pt idx="12">
                  <c:v>3069.4788131784594</c:v>
                </c:pt>
                <c:pt idx="13">
                  <c:v>4284.4366812227072</c:v>
                </c:pt>
                <c:pt idx="14">
                  <c:v>3776.1442770118629</c:v>
                </c:pt>
                <c:pt idx="15">
                  <c:v>4475.3664881407803</c:v>
                </c:pt>
                <c:pt idx="16">
                  <c:v>5718.1397849462364</c:v>
                </c:pt>
                <c:pt idx="17">
                  <c:v>8126.5678935972783</c:v>
                </c:pt>
                <c:pt idx="18">
                  <c:v>9606.8674308497375</c:v>
                </c:pt>
                <c:pt idx="19">
                  <c:v>7580.0488400488402</c:v>
                </c:pt>
                <c:pt idx="20">
                  <c:v>10630.379506304387</c:v>
                </c:pt>
                <c:pt idx="21">
                  <c:v>10910.494473531124</c:v>
                </c:pt>
                <c:pt idx="22">
                  <c:v>4973.6383877159315</c:v>
                </c:pt>
                <c:pt idx="23">
                  <c:v>8856.750779741571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6-47C1-A689-C71495ADDA54}"/>
            </c:ext>
          </c:extLst>
        </c:ser>
        <c:ser>
          <c:idx val="2"/>
          <c:order val="2"/>
          <c:tx>
            <c:v>NSEI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plus>
            <c:min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harvests'!$K$277:$K$300</c:f>
              <c:numCache>
                <c:formatCode>_(* #,##0_);_(* \(#,##0\);_(* "-"??_);_(@_)</c:formatCode>
                <c:ptCount val="24"/>
                <c:pt idx="0">
                  <c:v>8429.4015142904627</c:v>
                </c:pt>
                <c:pt idx="1">
                  <c:v>10148.776127801366</c:v>
                </c:pt>
                <c:pt idx="2">
                  <c:v>15544.550077251628</c:v>
                </c:pt>
                <c:pt idx="3">
                  <c:v>11550.752273697548</c:v>
                </c:pt>
                <c:pt idx="4">
                  <c:v>7907.8472484109971</c:v>
                </c:pt>
                <c:pt idx="5">
                  <c:v>9679.8557786620295</c:v>
                </c:pt>
                <c:pt idx="6">
                  <c:v>9652.7413367049921</c:v>
                </c:pt>
                <c:pt idx="7">
                  <c:v>12246.157961536836</c:v>
                </c:pt>
                <c:pt idx="8">
                  <c:v>10266.803698673171</c:v>
                </c:pt>
                <c:pt idx="9">
                  <c:v>11960.658837400981</c:v>
                </c:pt>
                <c:pt idx="10">
                  <c:v>17421.826440982921</c:v>
                </c:pt>
                <c:pt idx="11">
                  <c:v>14873.068897021491</c:v>
                </c:pt>
                <c:pt idx="12">
                  <c:v>19047.097991231167</c:v>
                </c:pt>
                <c:pt idx="13">
                  <c:v>21134.144125958821</c:v>
                </c:pt>
                <c:pt idx="14">
                  <c:v>30331.837840909095</c:v>
                </c:pt>
                <c:pt idx="15">
                  <c:v>22942.238805970148</c:v>
                </c:pt>
                <c:pt idx="16">
                  <c:v>32276.119924151324</c:v>
                </c:pt>
                <c:pt idx="17">
                  <c:v>31763.885700148439</c:v>
                </c:pt>
                <c:pt idx="18">
                  <c:v>40066.291818701371</c:v>
                </c:pt>
                <c:pt idx="19">
                  <c:v>41111.228360636691</c:v>
                </c:pt>
                <c:pt idx="20">
                  <c:v>50022.26901059274</c:v>
                </c:pt>
                <c:pt idx="21">
                  <c:v>59476.361216730038</c:v>
                </c:pt>
                <c:pt idx="22">
                  <c:v>22443.397890444958</c:v>
                </c:pt>
                <c:pt idx="23">
                  <c:v>41077.489980580918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6-47C1-A689-C71495ADDA5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plus>
            <c:min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harvests'!$K$302:$K$325</c:f>
              <c:numCache>
                <c:formatCode>_(* #,##0_);_(* \(#,##0\);_(* "-"??_);_(@_)</c:formatCode>
                <c:ptCount val="24"/>
                <c:pt idx="0">
                  <c:v>1718.6553389715536</c:v>
                </c:pt>
                <c:pt idx="1">
                  <c:v>1639.073791663877</c:v>
                </c:pt>
                <c:pt idx="2">
                  <c:v>4412.1846324621447</c:v>
                </c:pt>
                <c:pt idx="3">
                  <c:v>4344.8464001248803</c:v>
                </c:pt>
                <c:pt idx="4">
                  <c:v>3105.2107593706878</c:v>
                </c:pt>
                <c:pt idx="5">
                  <c:v>4718.26750672244</c:v>
                </c:pt>
                <c:pt idx="6">
                  <c:v>4473.4012073142039</c:v>
                </c:pt>
                <c:pt idx="7">
                  <c:v>4279.0385821589171</c:v>
                </c:pt>
                <c:pt idx="8">
                  <c:v>4680.0071474399028</c:v>
                </c:pt>
                <c:pt idx="9">
                  <c:v>6528.7477079720811</c:v>
                </c:pt>
                <c:pt idx="10">
                  <c:v>7667.3760002203771</c:v>
                </c:pt>
                <c:pt idx="11">
                  <c:v>4312.7076983275492</c:v>
                </c:pt>
                <c:pt idx="12">
                  <c:v>7059.8014948136924</c:v>
                </c:pt>
                <c:pt idx="13">
                  <c:v>11059.863872082973</c:v>
                </c:pt>
                <c:pt idx="14">
                  <c:v>12656.140350877193</c:v>
                </c:pt>
                <c:pt idx="15">
                  <c:v>10533.463803255974</c:v>
                </c:pt>
                <c:pt idx="16">
                  <c:v>18410.250883987203</c:v>
                </c:pt>
                <c:pt idx="17">
                  <c:v>13685.480355422331</c:v>
                </c:pt>
                <c:pt idx="18">
                  <c:v>7499.6278507924235</c:v>
                </c:pt>
                <c:pt idx="19">
                  <c:v>16078.017147192715</c:v>
                </c:pt>
                <c:pt idx="20">
                  <c:v>18860.883640705848</c:v>
                </c:pt>
                <c:pt idx="21">
                  <c:v>18193.663451672481</c:v>
                </c:pt>
                <c:pt idx="22">
                  <c:v>4399.5719163465646</c:v>
                </c:pt>
                <c:pt idx="23">
                  <c:v>15994.894678355353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6-47C1-A689-C71495ADDA5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plus>
            <c:min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harvests'!$K$327:$K$350</c:f>
              <c:numCache>
                <c:formatCode>_(* #,##0_);_(* \(#,##0\);_(* "-"??_);_(@_)</c:formatCode>
                <c:ptCount val="24"/>
                <c:pt idx="0">
                  <c:v>13683.476763338715</c:v>
                </c:pt>
                <c:pt idx="1">
                  <c:v>16107.207114806952</c:v>
                </c:pt>
                <c:pt idx="2">
                  <c:v>26202.076811318933</c:v>
                </c:pt>
                <c:pt idx="3">
                  <c:v>20430.145469364368</c:v>
                </c:pt>
                <c:pt idx="4">
                  <c:v>17556.200102204104</c:v>
                </c:pt>
                <c:pt idx="5">
                  <c:v>24615.396707472279</c:v>
                </c:pt>
                <c:pt idx="6">
                  <c:v>28837.801611923707</c:v>
                </c:pt>
                <c:pt idx="7">
                  <c:v>33501.679492927513</c:v>
                </c:pt>
                <c:pt idx="8">
                  <c:v>38714.120329944417</c:v>
                </c:pt>
                <c:pt idx="9">
                  <c:v>44514.463299102848</c:v>
                </c:pt>
                <c:pt idx="10">
                  <c:v>40991.421525823498</c:v>
                </c:pt>
                <c:pt idx="11">
                  <c:v>32426.408678750442</c:v>
                </c:pt>
                <c:pt idx="12">
                  <c:v>43742.978345028649</c:v>
                </c:pt>
                <c:pt idx="13">
                  <c:v>43385.656259472569</c:v>
                </c:pt>
                <c:pt idx="14">
                  <c:v>51250.239687848378</c:v>
                </c:pt>
                <c:pt idx="15">
                  <c:v>59046.842065821518</c:v>
                </c:pt>
                <c:pt idx="16">
                  <c:v>58838.073336968373</c:v>
                </c:pt>
                <c:pt idx="17">
                  <c:v>60956.645359656926</c:v>
                </c:pt>
                <c:pt idx="18">
                  <c:v>66405.532446281708</c:v>
                </c:pt>
                <c:pt idx="19">
                  <c:v>62909.834871736792</c:v>
                </c:pt>
                <c:pt idx="20">
                  <c:v>76774.8595505618</c:v>
                </c:pt>
                <c:pt idx="21">
                  <c:v>105817.34860446323</c:v>
                </c:pt>
                <c:pt idx="22">
                  <c:v>26303.649154865238</c:v>
                </c:pt>
                <c:pt idx="23">
                  <c:v>42574.636497865038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6-47C1-A689-C71495ADDA5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plus>
            <c:min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harvests'!$K$352:$K$375</c:f>
              <c:numCache>
                <c:formatCode>_(* #,##0_);_(* \(#,##0\);_(* "-"??_);_(@_)</c:formatCode>
                <c:ptCount val="24"/>
                <c:pt idx="0">
                  <c:v>4728.4215757484271</c:v>
                </c:pt>
                <c:pt idx="1">
                  <c:v>6852.8709556215817</c:v>
                </c:pt>
                <c:pt idx="2">
                  <c:v>10258.522162769743</c:v>
                </c:pt>
                <c:pt idx="3">
                  <c:v>8545.304423864347</c:v>
                </c:pt>
                <c:pt idx="4">
                  <c:v>11308.127831232579</c:v>
                </c:pt>
                <c:pt idx="5">
                  <c:v>10237.737892107112</c:v>
                </c:pt>
                <c:pt idx="6">
                  <c:v>14936.467652623209</c:v>
                </c:pt>
                <c:pt idx="7">
                  <c:v>18803.826586634088</c:v>
                </c:pt>
                <c:pt idx="8">
                  <c:v>17825.481274728842</c:v>
                </c:pt>
                <c:pt idx="9">
                  <c:v>17841.811773106623</c:v>
                </c:pt>
                <c:pt idx="10">
                  <c:v>26357.424381738641</c:v>
                </c:pt>
                <c:pt idx="11">
                  <c:v>14318.877895790762</c:v>
                </c:pt>
                <c:pt idx="12">
                  <c:v>18431.194305468358</c:v>
                </c:pt>
                <c:pt idx="13">
                  <c:v>17425.832645403378</c:v>
                </c:pt>
                <c:pt idx="14">
                  <c:v>21501.484048613747</c:v>
                </c:pt>
                <c:pt idx="15">
                  <c:v>22683.680191645457</c:v>
                </c:pt>
                <c:pt idx="16">
                  <c:v>24422.057259158752</c:v>
                </c:pt>
                <c:pt idx="17">
                  <c:v>33215.524335519505</c:v>
                </c:pt>
                <c:pt idx="18">
                  <c:v>27237.761702821725</c:v>
                </c:pt>
                <c:pt idx="19">
                  <c:v>28180.221332705438</c:v>
                </c:pt>
                <c:pt idx="20">
                  <c:v>39816.635899450121</c:v>
                </c:pt>
                <c:pt idx="21">
                  <c:v>39271.985999299963</c:v>
                </c:pt>
                <c:pt idx="22">
                  <c:v>15388.622535579058</c:v>
                </c:pt>
                <c:pt idx="23">
                  <c:v>31069.087000071548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6-47C1-A689-C71495AD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harvest'!$K$3:$K$26</c:f>
                <c:numCache>
                  <c:formatCode>General</c:formatCode>
                  <c:ptCount val="24"/>
                  <c:pt idx="0">
                    <c:v>26.119729556791537</c:v>
                  </c:pt>
                  <c:pt idx="1">
                    <c:v>26.523433055853808</c:v>
                  </c:pt>
                  <c:pt idx="2">
                    <c:v>67.707904930080446</c:v>
                  </c:pt>
                  <c:pt idx="3">
                    <c:v>26.100180243283837</c:v>
                  </c:pt>
                  <c:pt idx="4">
                    <c:v>25.015790636418078</c:v>
                  </c:pt>
                  <c:pt idx="5">
                    <c:v>34.64001533579264</c:v>
                  </c:pt>
                  <c:pt idx="6">
                    <c:v>22.197756418348657</c:v>
                  </c:pt>
                  <c:pt idx="7">
                    <c:v>53.270701438261973</c:v>
                  </c:pt>
                  <c:pt idx="8">
                    <c:v>48.532956950679527</c:v>
                  </c:pt>
                  <c:pt idx="9">
                    <c:v>235.23014587707468</c:v>
                  </c:pt>
                  <c:pt idx="10">
                    <c:v>136.72047857485995</c:v>
                  </c:pt>
                  <c:pt idx="11">
                    <c:v>328.67951370106738</c:v>
                  </c:pt>
                  <c:pt idx="12">
                    <c:v>194.63070125352101</c:v>
                  </c:pt>
                  <c:pt idx="13">
                    <c:v>147.99746841456633</c:v>
                  </c:pt>
                  <c:pt idx="14">
                    <c:v>174.03368383476976</c:v>
                  </c:pt>
                  <c:pt idx="15">
                    <c:v>92.643565920687422</c:v>
                  </c:pt>
                  <c:pt idx="16">
                    <c:v>98.309389962575864</c:v>
                  </c:pt>
                  <c:pt idx="17">
                    <c:v>292.77215380414543</c:v>
                  </c:pt>
                  <c:pt idx="18">
                    <c:v>246.99155837919821</c:v>
                  </c:pt>
                  <c:pt idx="19">
                    <c:v>259.58987251248897</c:v>
                  </c:pt>
                  <c:pt idx="20">
                    <c:v>547.82166485762684</c:v>
                  </c:pt>
                  <c:pt idx="21">
                    <c:v>311.53948179785283</c:v>
                  </c:pt>
                  <c:pt idx="22">
                    <c:v>501.46240023028827</c:v>
                  </c:pt>
                  <c:pt idx="23">
                    <c:v>622.41452620741188</c:v>
                  </c:pt>
                </c:numCache>
              </c:numRef>
            </c:plus>
            <c:minus>
              <c:numRef>
                <c:f>'BRF harvest'!$K$3:$K$26</c:f>
                <c:numCache>
                  <c:formatCode>General</c:formatCode>
                  <c:ptCount val="24"/>
                  <c:pt idx="0">
                    <c:v>26.119729556791537</c:v>
                  </c:pt>
                  <c:pt idx="1">
                    <c:v>26.523433055853808</c:v>
                  </c:pt>
                  <c:pt idx="2">
                    <c:v>67.707904930080446</c:v>
                  </c:pt>
                  <c:pt idx="3">
                    <c:v>26.100180243283837</c:v>
                  </c:pt>
                  <c:pt idx="4">
                    <c:v>25.015790636418078</c:v>
                  </c:pt>
                  <c:pt idx="5">
                    <c:v>34.64001533579264</c:v>
                  </c:pt>
                  <c:pt idx="6">
                    <c:v>22.197756418348657</c:v>
                  </c:pt>
                  <c:pt idx="7">
                    <c:v>53.270701438261973</c:v>
                  </c:pt>
                  <c:pt idx="8">
                    <c:v>48.532956950679527</c:v>
                  </c:pt>
                  <c:pt idx="9">
                    <c:v>235.23014587707468</c:v>
                  </c:pt>
                  <c:pt idx="10">
                    <c:v>136.72047857485995</c:v>
                  </c:pt>
                  <c:pt idx="11">
                    <c:v>328.67951370106738</c:v>
                  </c:pt>
                  <c:pt idx="12">
                    <c:v>194.63070125352101</c:v>
                  </c:pt>
                  <c:pt idx="13">
                    <c:v>147.99746841456633</c:v>
                  </c:pt>
                  <c:pt idx="14">
                    <c:v>174.03368383476976</c:v>
                  </c:pt>
                  <c:pt idx="15">
                    <c:v>92.643565920687422</c:v>
                  </c:pt>
                  <c:pt idx="16">
                    <c:v>98.309389962575864</c:v>
                  </c:pt>
                  <c:pt idx="17">
                    <c:v>292.77215380414543</c:v>
                  </c:pt>
                  <c:pt idx="18">
                    <c:v>246.99155837919821</c:v>
                  </c:pt>
                  <c:pt idx="19">
                    <c:v>259.58987251248897</c:v>
                  </c:pt>
                  <c:pt idx="20">
                    <c:v>547.82166485762684</c:v>
                  </c:pt>
                  <c:pt idx="21">
                    <c:v>311.53948179785283</c:v>
                  </c:pt>
                  <c:pt idx="22">
                    <c:v>501.46240023028827</c:v>
                  </c:pt>
                  <c:pt idx="23">
                    <c:v>622.41452620741188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harvest'!$H$3:$H$26</c:f>
              <c:numCache>
                <c:formatCode>0</c:formatCode>
                <c:ptCount val="24"/>
                <c:pt idx="0">
                  <c:v>264.55670091899998</c:v>
                </c:pt>
                <c:pt idx="1">
                  <c:v>367.12380944400002</c:v>
                </c:pt>
                <c:pt idx="2">
                  <c:v>1116.0000001440001</c:v>
                </c:pt>
                <c:pt idx="3">
                  <c:v>453.54098354399997</c:v>
                </c:pt>
                <c:pt idx="4">
                  <c:v>255.26315776199999</c:v>
                </c:pt>
                <c:pt idx="5">
                  <c:v>415.60869556799997</c:v>
                </c:pt>
                <c:pt idx="6">
                  <c:v>262.16666678799999</c:v>
                </c:pt>
                <c:pt idx="7">
                  <c:v>1099.7394955110001</c:v>
                </c:pt>
                <c:pt idx="8">
                  <c:v>663.41071461399997</c:v>
                </c:pt>
                <c:pt idx="9">
                  <c:v>1354.6329123600001</c:v>
                </c:pt>
                <c:pt idx="10">
                  <c:v>1710.5905521259999</c:v>
                </c:pt>
                <c:pt idx="11">
                  <c:v>2359.9722218659999</c:v>
                </c:pt>
                <c:pt idx="12">
                  <c:v>1055.181817485</c:v>
                </c:pt>
                <c:pt idx="13">
                  <c:v>2211.8478271650001</c:v>
                </c:pt>
                <c:pt idx="14">
                  <c:v>1858.6573420550001</c:v>
                </c:pt>
                <c:pt idx="15">
                  <c:v>1087.203540126</c:v>
                </c:pt>
                <c:pt idx="16">
                  <c:v>1844.1980520950001</c:v>
                </c:pt>
                <c:pt idx="17">
                  <c:v>2299.1067954139999</c:v>
                </c:pt>
                <c:pt idx="18">
                  <c:v>2467.9906561799999</c:v>
                </c:pt>
                <c:pt idx="19">
                  <c:v>2629.0083667540002</c:v>
                </c:pt>
                <c:pt idx="20">
                  <c:v>2822.0722867639997</c:v>
                </c:pt>
                <c:pt idx="21">
                  <c:v>4567.1152067359999</c:v>
                </c:pt>
                <c:pt idx="22">
                  <c:v>3719.1891879720001</c:v>
                </c:pt>
                <c:pt idx="23">
                  <c:v>1486.875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7-4701-8B71-C700DDC3609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harvest'!$T$3:$T$26</c:f>
                <c:numCache>
                  <c:formatCode>General</c:formatCode>
                  <c:ptCount val="24"/>
                  <c:pt idx="0">
                    <c:v>102.83079246540652</c:v>
                  </c:pt>
                  <c:pt idx="1">
                    <c:v>106.9648794306737</c:v>
                  </c:pt>
                  <c:pt idx="2">
                    <c:v>311.27843052722812</c:v>
                  </c:pt>
                  <c:pt idx="3">
                    <c:v>130.20178347673883</c:v>
                  </c:pt>
                  <c:pt idx="4">
                    <c:v>62.380891901161291</c:v>
                  </c:pt>
                  <c:pt idx="5">
                    <c:v>123.17809752184935</c:v>
                  </c:pt>
                  <c:pt idx="6">
                    <c:v>108.2543010113625</c:v>
                  </c:pt>
                  <c:pt idx="7">
                    <c:v>337.25646120686156</c:v>
                  </c:pt>
                  <c:pt idx="8">
                    <c:v>219.0281969105115</c:v>
                  </c:pt>
                  <c:pt idx="9">
                    <c:v>659.24319147920392</c:v>
                  </c:pt>
                  <c:pt idx="10">
                    <c:v>551.4211606379547</c:v>
                  </c:pt>
                  <c:pt idx="11">
                    <c:v>630.43521857549001</c:v>
                  </c:pt>
                  <c:pt idx="12">
                    <c:v>679.65756368101972</c:v>
                  </c:pt>
                  <c:pt idx="13">
                    <c:v>634.31922719228794</c:v>
                  </c:pt>
                  <c:pt idx="14">
                    <c:v>749.77319548903779</c:v>
                  </c:pt>
                  <c:pt idx="15">
                    <c:v>467.49124780357869</c:v>
                  </c:pt>
                  <c:pt idx="16">
                    <c:v>794.65811808457852</c:v>
                  </c:pt>
                  <c:pt idx="17">
                    <c:v>1488.3002021600437</c:v>
                  </c:pt>
                  <c:pt idx="18">
                    <c:v>413.01082577501973</c:v>
                  </c:pt>
                  <c:pt idx="19">
                    <c:v>418.51536348168963</c:v>
                  </c:pt>
                  <c:pt idx="20">
                    <c:v>957.67419369032257</c:v>
                  </c:pt>
                  <c:pt idx="21">
                    <c:v>2919.8038153181456</c:v>
                  </c:pt>
                  <c:pt idx="22">
                    <c:v>1072.1415230218795</c:v>
                  </c:pt>
                  <c:pt idx="23">
                    <c:v>1021.8007043669371</c:v>
                  </c:pt>
                </c:numCache>
              </c:numRef>
            </c:plus>
            <c:minus>
              <c:numRef>
                <c:f>'BRF harvest'!$T$3:$T$26</c:f>
                <c:numCache>
                  <c:formatCode>General</c:formatCode>
                  <c:ptCount val="24"/>
                  <c:pt idx="0">
                    <c:v>102.83079246540652</c:v>
                  </c:pt>
                  <c:pt idx="1">
                    <c:v>106.9648794306737</c:v>
                  </c:pt>
                  <c:pt idx="2">
                    <c:v>311.27843052722812</c:v>
                  </c:pt>
                  <c:pt idx="3">
                    <c:v>130.20178347673883</c:v>
                  </c:pt>
                  <c:pt idx="4">
                    <c:v>62.380891901161291</c:v>
                  </c:pt>
                  <c:pt idx="5">
                    <c:v>123.17809752184935</c:v>
                  </c:pt>
                  <c:pt idx="6">
                    <c:v>108.2543010113625</c:v>
                  </c:pt>
                  <c:pt idx="7">
                    <c:v>337.25646120686156</c:v>
                  </c:pt>
                  <c:pt idx="8">
                    <c:v>219.0281969105115</c:v>
                  </c:pt>
                  <c:pt idx="9">
                    <c:v>659.24319147920392</c:v>
                  </c:pt>
                  <c:pt idx="10">
                    <c:v>551.4211606379547</c:v>
                  </c:pt>
                  <c:pt idx="11">
                    <c:v>630.43521857549001</c:v>
                  </c:pt>
                  <c:pt idx="12">
                    <c:v>679.65756368101972</c:v>
                  </c:pt>
                  <c:pt idx="13">
                    <c:v>634.31922719228794</c:v>
                  </c:pt>
                  <c:pt idx="14">
                    <c:v>749.77319548903779</c:v>
                  </c:pt>
                  <c:pt idx="15">
                    <c:v>467.49124780357869</c:v>
                  </c:pt>
                  <c:pt idx="16">
                    <c:v>794.65811808457852</c:v>
                  </c:pt>
                  <c:pt idx="17">
                    <c:v>1488.3002021600437</c:v>
                  </c:pt>
                  <c:pt idx="18">
                    <c:v>413.01082577501973</c:v>
                  </c:pt>
                  <c:pt idx="19">
                    <c:v>418.51536348168963</c:v>
                  </c:pt>
                  <c:pt idx="20">
                    <c:v>957.67419369032257</c:v>
                  </c:pt>
                  <c:pt idx="21">
                    <c:v>2919.8038153181456</c:v>
                  </c:pt>
                  <c:pt idx="22">
                    <c:v>1072.1415230218795</c:v>
                  </c:pt>
                  <c:pt idx="23">
                    <c:v>1021.8007043669371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harvest'!$Q$3:$Q$26</c:f>
              <c:numCache>
                <c:formatCode>_(* #,##0_);_(* \(#,##0\);_(* "-"??_);_(@_)</c:formatCode>
                <c:ptCount val="24"/>
                <c:pt idx="0">
                  <c:v>94.584663366050634</c:v>
                </c:pt>
                <c:pt idx="1">
                  <c:v>98.435423933791753</c:v>
                </c:pt>
                <c:pt idx="2">
                  <c:v>286.46840230762723</c:v>
                </c:pt>
                <c:pt idx="3">
                  <c:v>119.72787474448849</c:v>
                </c:pt>
                <c:pt idx="4">
                  <c:v>57.271824547636839</c:v>
                </c:pt>
                <c:pt idx="5">
                  <c:v>113.33672465032411</c:v>
                </c:pt>
                <c:pt idx="6">
                  <c:v>99.554366063801695</c:v>
                </c:pt>
                <c:pt idx="7">
                  <c:v>310.55977287759237</c:v>
                </c:pt>
                <c:pt idx="8">
                  <c:v>201.41653657914128</c:v>
                </c:pt>
                <c:pt idx="9">
                  <c:v>606.95106897750304</c:v>
                </c:pt>
                <c:pt idx="10">
                  <c:v>505.08210233391543</c:v>
                </c:pt>
                <c:pt idx="11">
                  <c:v>573.7431850456411</c:v>
                </c:pt>
                <c:pt idx="12">
                  <c:v>618.83777179870913</c:v>
                </c:pt>
                <c:pt idx="13">
                  <c:v>612.53213787956372</c:v>
                </c:pt>
                <c:pt idx="14">
                  <c:v>827.62076873840772</c:v>
                </c:pt>
                <c:pt idx="15">
                  <c:v>488.91445553678665</c:v>
                </c:pt>
                <c:pt idx="16">
                  <c:v>959.902790419702</c:v>
                </c:pt>
                <c:pt idx="17">
                  <c:v>1270.3838399821288</c:v>
                </c:pt>
                <c:pt idx="18">
                  <c:v>390.14252283389879</c:v>
                </c:pt>
                <c:pt idx="19">
                  <c:v>382.94146016068242</c:v>
                </c:pt>
                <c:pt idx="20">
                  <c:v>1136.0641034459836</c:v>
                </c:pt>
                <c:pt idx="21">
                  <c:v>3492.8589353612178</c:v>
                </c:pt>
                <c:pt idx="22">
                  <c:v>1265.6366533148309</c:v>
                </c:pt>
                <c:pt idx="23">
                  <c:v>1261.8771419600091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7-4701-8B71-C700DDC3609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harvest'!$Y$3:$Y$26</c:f>
                <c:numCache>
                  <c:formatCode>General</c:formatCode>
                  <c:ptCount val="24"/>
                  <c:pt idx="0">
                    <c:v>106.09624004263033</c:v>
                  </c:pt>
                  <c:pt idx="1">
                    <c:v>110.20425551078743</c:v>
                  </c:pt>
                  <c:pt idx="2">
                    <c:v>318.55709331533529</c:v>
                  </c:pt>
                  <c:pt idx="3">
                    <c:v>132.79203225064177</c:v>
                  </c:pt>
                  <c:pt idx="4">
                    <c:v>67.209861296906965</c:v>
                  </c:pt>
                  <c:pt idx="5">
                    <c:v>127.95614237529271</c:v>
                  </c:pt>
                  <c:pt idx="6">
                    <c:v>110.50671507861874</c:v>
                  </c:pt>
                  <c:pt idx="7">
                    <c:v>341.43767843853988</c:v>
                  </c:pt>
                  <c:pt idx="8">
                    <c:v>224.34080982346103</c:v>
                  </c:pt>
                  <c:pt idx="9">
                    <c:v>699.95343205175891</c:v>
                  </c:pt>
                  <c:pt idx="10">
                    <c:v>568.11775686124065</c:v>
                  </c:pt>
                  <c:pt idx="11">
                    <c:v>710.97031411100136</c:v>
                  </c:pt>
                  <c:pt idx="12">
                    <c:v>706.97631766506618</c:v>
                  </c:pt>
                  <c:pt idx="13">
                    <c:v>651.35561150798571</c:v>
                  </c:pt>
                  <c:pt idx="14">
                    <c:v>769.70615677863941</c:v>
                  </c:pt>
                  <c:pt idx="15">
                    <c:v>476.58251864650651</c:v>
                  </c:pt>
                  <c:pt idx="16">
                    <c:v>800.71609250254107</c:v>
                  </c:pt>
                  <c:pt idx="17">
                    <c:v>1516.8233337448187</c:v>
                  </c:pt>
                  <c:pt idx="18">
                    <c:v>481.23047712914916</c:v>
                  </c:pt>
                  <c:pt idx="19">
                    <c:v>492.48554433735518</c:v>
                  </c:pt>
                  <c:pt idx="20">
                    <c:v>1103.2898249090269</c:v>
                  </c:pt>
                  <c:pt idx="21">
                    <c:v>2936.3772183875276</c:v>
                  </c:pt>
                  <c:pt idx="22">
                    <c:v>1183.6181750177702</c:v>
                  </c:pt>
                  <c:pt idx="23">
                    <c:v>1196.4432798418679</c:v>
                  </c:pt>
                </c:numCache>
              </c:numRef>
            </c:plus>
            <c:minus>
              <c:numRef>
                <c:f>'BRF harvest'!$Y$3:$Y$26</c:f>
                <c:numCache>
                  <c:formatCode>General</c:formatCode>
                  <c:ptCount val="24"/>
                  <c:pt idx="0">
                    <c:v>106.09624004263033</c:v>
                  </c:pt>
                  <c:pt idx="1">
                    <c:v>110.20425551078743</c:v>
                  </c:pt>
                  <c:pt idx="2">
                    <c:v>318.55709331533529</c:v>
                  </c:pt>
                  <c:pt idx="3">
                    <c:v>132.79203225064177</c:v>
                  </c:pt>
                  <c:pt idx="4">
                    <c:v>67.209861296906965</c:v>
                  </c:pt>
                  <c:pt idx="5">
                    <c:v>127.95614237529271</c:v>
                  </c:pt>
                  <c:pt idx="6">
                    <c:v>110.50671507861874</c:v>
                  </c:pt>
                  <c:pt idx="7">
                    <c:v>341.43767843853988</c:v>
                  </c:pt>
                  <c:pt idx="8">
                    <c:v>224.34080982346103</c:v>
                  </c:pt>
                  <c:pt idx="9">
                    <c:v>699.95343205175891</c:v>
                  </c:pt>
                  <c:pt idx="10">
                    <c:v>568.11775686124065</c:v>
                  </c:pt>
                  <c:pt idx="11">
                    <c:v>710.97031411100136</c:v>
                  </c:pt>
                  <c:pt idx="12">
                    <c:v>706.97631766506618</c:v>
                  </c:pt>
                  <c:pt idx="13">
                    <c:v>651.35561150798571</c:v>
                  </c:pt>
                  <c:pt idx="14">
                    <c:v>769.70615677863941</c:v>
                  </c:pt>
                  <c:pt idx="15">
                    <c:v>476.58251864650651</c:v>
                  </c:pt>
                  <c:pt idx="16">
                    <c:v>800.71609250254107</c:v>
                  </c:pt>
                  <c:pt idx="17">
                    <c:v>1516.8233337448187</c:v>
                  </c:pt>
                  <c:pt idx="18">
                    <c:v>481.23047712914916</c:v>
                  </c:pt>
                  <c:pt idx="19">
                    <c:v>492.48554433735518</c:v>
                  </c:pt>
                  <c:pt idx="20">
                    <c:v>1103.2898249090269</c:v>
                  </c:pt>
                  <c:pt idx="21">
                    <c:v>2936.3772183875276</c:v>
                  </c:pt>
                  <c:pt idx="22">
                    <c:v>1183.6181750177702</c:v>
                  </c:pt>
                  <c:pt idx="23">
                    <c:v>1196.4432798418679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harvest'!$V$3:$V$26</c:f>
              <c:numCache>
                <c:formatCode>_(* #,##0_);_(* \(#,##0\);_(* "-"??_);_(@_)</c:formatCode>
                <c:ptCount val="24"/>
                <c:pt idx="0">
                  <c:v>359.1413642850506</c:v>
                </c:pt>
                <c:pt idx="1">
                  <c:v>465.55923337779177</c:v>
                </c:pt>
                <c:pt idx="2">
                  <c:v>1402.4684024516273</c:v>
                </c:pt>
                <c:pt idx="3">
                  <c:v>573.26885828848845</c:v>
                </c:pt>
                <c:pt idx="4">
                  <c:v>312.5349823096368</c:v>
                </c:pt>
                <c:pt idx="5">
                  <c:v>528.9454202183241</c:v>
                </c:pt>
                <c:pt idx="6">
                  <c:v>361.72103285180168</c:v>
                </c:pt>
                <c:pt idx="7">
                  <c:v>1410.2992683885925</c:v>
                </c:pt>
                <c:pt idx="8">
                  <c:v>864.82725119314125</c:v>
                </c:pt>
                <c:pt idx="9">
                  <c:v>1961.5839813375032</c:v>
                </c:pt>
                <c:pt idx="10">
                  <c:v>2215.6726544599155</c:v>
                </c:pt>
                <c:pt idx="11">
                  <c:v>2933.7154069116409</c:v>
                </c:pt>
                <c:pt idx="12">
                  <c:v>1674.0195892837091</c:v>
                </c:pt>
                <c:pt idx="13">
                  <c:v>2824.379965044564</c:v>
                </c:pt>
                <c:pt idx="14">
                  <c:v>2686.2781107934079</c:v>
                </c:pt>
                <c:pt idx="15">
                  <c:v>1576.1179956627866</c:v>
                </c:pt>
                <c:pt idx="16">
                  <c:v>2804.100842514702</c:v>
                </c:pt>
                <c:pt idx="17">
                  <c:v>3569.4906353961287</c:v>
                </c:pt>
                <c:pt idx="18">
                  <c:v>2858.1331790138988</c:v>
                </c:pt>
                <c:pt idx="19">
                  <c:v>3011.9498269146825</c:v>
                </c:pt>
                <c:pt idx="20">
                  <c:v>3958.1363902099833</c:v>
                </c:pt>
                <c:pt idx="21">
                  <c:v>8059.9741420972177</c:v>
                </c:pt>
                <c:pt idx="22">
                  <c:v>4984.8258412868308</c:v>
                </c:pt>
                <c:pt idx="23">
                  <c:v>2748.7521419600089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7-4701-8B71-C700DDC3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harvests'!$D$27:$D$51</c:f>
            </c:numRef>
          </c:val>
          <c:smooth val="0"/>
          <c:extLst>
            <c:ext xmlns:c16="http://schemas.microsoft.com/office/drawing/2014/chart" uri="{C3380CC4-5D6E-409C-BE32-E72D297353CC}">
              <c16:uniqueId val="{00000000-BA6D-46A9-9654-A4946435692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harvests'!$N$27:$N$50</c:f>
              </c:numRef>
            </c:plus>
            <c:minus>
              <c:numRef>
                <c:f>'rockfish harvests'!$N$27:$N$50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harvests'!$O$27:$O$51</c:f>
            </c:numRef>
          </c:val>
          <c:smooth val="0"/>
          <c:extLst>
            <c:ext xmlns:c16="http://schemas.microsoft.com/office/drawing/2014/chart" uri="{C3380CC4-5D6E-409C-BE32-E72D297353CC}">
              <c16:uniqueId val="{00000001-BA6D-46A9-9654-A4946435692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harvests'!$N$27:$N$50</c:f>
              </c:numRef>
            </c:plus>
            <c:minus>
              <c:numRef>
                <c:f>'rockfish harvests'!$N$27:$N$50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harvests'!$K$27:$K$51</c:f>
            </c:numRef>
          </c:val>
          <c:smooth val="0"/>
          <c:extLst>
            <c:ext xmlns:c16="http://schemas.microsoft.com/office/drawing/2014/chart" uri="{C3380CC4-5D6E-409C-BE32-E72D297353CC}">
              <c16:uniqueId val="{00000002-BA6D-46A9-9654-A4946435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harvest'!$K$28:$K$51</c:f>
                <c:numCache>
                  <c:formatCode>General</c:formatCode>
                  <c:ptCount val="24"/>
                  <c:pt idx="0">
                    <c:v>9.2887792040869606</c:v>
                  </c:pt>
                  <c:pt idx="1">
                    <c:v>14.116290146671595</c:v>
                  </c:pt>
                  <c:pt idx="2">
                    <c:v>17.037610064105213</c:v>
                  </c:pt>
                  <c:pt idx="3">
                    <c:v>63.362701722689074</c:v>
                  </c:pt>
                  <c:pt idx="4">
                    <c:v>69.717547100120484</c:v>
                  </c:pt>
                  <c:pt idx="5">
                    <c:v>68.5643278753912</c:v>
                  </c:pt>
                  <c:pt idx="6">
                    <c:v>47.022466258987102</c:v>
                  </c:pt>
                  <c:pt idx="7">
                    <c:v>51.192285606065155</c:v>
                  </c:pt>
                  <c:pt idx="8">
                    <c:v>36.8749098502552</c:v>
                  </c:pt>
                  <c:pt idx="9">
                    <c:v>140.87959286044585</c:v>
                  </c:pt>
                  <c:pt idx="10">
                    <c:v>59.47241697311452</c:v>
                  </c:pt>
                  <c:pt idx="11">
                    <c:v>155.52302628961922</c:v>
                  </c:pt>
                  <c:pt idx="12">
                    <c:v>78.306517551518098</c:v>
                  </c:pt>
                  <c:pt idx="13">
                    <c:v>64.449579812503146</c:v>
                  </c:pt>
                  <c:pt idx="14">
                    <c:v>93.487415696694683</c:v>
                  </c:pt>
                  <c:pt idx="15">
                    <c:v>74.795649546692019</c:v>
                  </c:pt>
                  <c:pt idx="16">
                    <c:v>76.3277057729765</c:v>
                  </c:pt>
                  <c:pt idx="17">
                    <c:v>148.12188018549648</c:v>
                  </c:pt>
                  <c:pt idx="18">
                    <c:v>144.2557279334217</c:v>
                  </c:pt>
                  <c:pt idx="19">
                    <c:v>141.64484151084588</c:v>
                  </c:pt>
                  <c:pt idx="20">
                    <c:v>385.47624218084775</c:v>
                  </c:pt>
                  <c:pt idx="21">
                    <c:v>305.15946464197873</c:v>
                  </c:pt>
                  <c:pt idx="22">
                    <c:v>346.33374404394016</c:v>
                  </c:pt>
                  <c:pt idx="23">
                    <c:v>541.02185739567346</c:v>
                  </c:pt>
                </c:numCache>
              </c:numRef>
            </c:plus>
            <c:minus>
              <c:numRef>
                <c:f>'BRF harvest'!$K$28:$K$51</c:f>
                <c:numCache>
                  <c:formatCode>General</c:formatCode>
                  <c:ptCount val="24"/>
                  <c:pt idx="0">
                    <c:v>9.2887792040869606</c:v>
                  </c:pt>
                  <c:pt idx="1">
                    <c:v>14.116290146671595</c:v>
                  </c:pt>
                  <c:pt idx="2">
                    <c:v>17.037610064105213</c:v>
                  </c:pt>
                  <c:pt idx="3">
                    <c:v>63.362701722689074</c:v>
                  </c:pt>
                  <c:pt idx="4">
                    <c:v>69.717547100120484</c:v>
                  </c:pt>
                  <c:pt idx="5">
                    <c:v>68.5643278753912</c:v>
                  </c:pt>
                  <c:pt idx="6">
                    <c:v>47.022466258987102</c:v>
                  </c:pt>
                  <c:pt idx="7">
                    <c:v>51.192285606065155</c:v>
                  </c:pt>
                  <c:pt idx="8">
                    <c:v>36.8749098502552</c:v>
                  </c:pt>
                  <c:pt idx="9">
                    <c:v>140.87959286044585</c:v>
                  </c:pt>
                  <c:pt idx="10">
                    <c:v>59.47241697311452</c:v>
                  </c:pt>
                  <c:pt idx="11">
                    <c:v>155.52302628961922</c:v>
                  </c:pt>
                  <c:pt idx="12">
                    <c:v>78.306517551518098</c:v>
                  </c:pt>
                  <c:pt idx="13">
                    <c:v>64.449579812503146</c:v>
                  </c:pt>
                  <c:pt idx="14">
                    <c:v>93.487415696694683</c:v>
                  </c:pt>
                  <c:pt idx="15">
                    <c:v>74.795649546692019</c:v>
                  </c:pt>
                  <c:pt idx="16">
                    <c:v>76.3277057729765</c:v>
                  </c:pt>
                  <c:pt idx="17">
                    <c:v>148.12188018549648</c:v>
                  </c:pt>
                  <c:pt idx="18">
                    <c:v>144.2557279334217</c:v>
                  </c:pt>
                  <c:pt idx="19">
                    <c:v>141.64484151084588</c:v>
                  </c:pt>
                  <c:pt idx="20">
                    <c:v>385.47624218084775</c:v>
                  </c:pt>
                  <c:pt idx="21">
                    <c:v>305.15946464197873</c:v>
                  </c:pt>
                  <c:pt idx="22">
                    <c:v>346.33374404394016</c:v>
                  </c:pt>
                  <c:pt idx="23">
                    <c:v>541.02185739567346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harvest'!$H$28:$H$51</c:f>
              <c:numCache>
                <c:formatCode>0</c:formatCode>
                <c:ptCount val="24"/>
                <c:pt idx="0">
                  <c:v>94.082474187000003</c:v>
                </c:pt>
                <c:pt idx="1">
                  <c:v>195.390476148</c:v>
                </c:pt>
                <c:pt idx="2">
                  <c:v>280.82352944799999</c:v>
                </c:pt>
                <c:pt idx="3">
                  <c:v>1101.0491801759999</c:v>
                </c:pt>
                <c:pt idx="4">
                  <c:v>711.40350840199994</c:v>
                </c:pt>
                <c:pt idx="5">
                  <c:v>822.630434616</c:v>
                </c:pt>
                <c:pt idx="6">
                  <c:v>555.35897461599995</c:v>
                </c:pt>
                <c:pt idx="7">
                  <c:v>1056.831932497</c:v>
                </c:pt>
                <c:pt idx="8">
                  <c:v>504.05357167800003</c:v>
                </c:pt>
                <c:pt idx="9">
                  <c:v>811.29113982000001</c:v>
                </c:pt>
                <c:pt idx="10">
                  <c:v>744.09448859999998</c:v>
                </c:pt>
                <c:pt idx="11">
                  <c:v>1116.6805553870001</c:v>
                </c:pt>
                <c:pt idx="12">
                  <c:v>424.53535325500002</c:v>
                </c:pt>
                <c:pt idx="13">
                  <c:v>963.21014539700002</c:v>
                </c:pt>
                <c:pt idx="14">
                  <c:v>998.43356611000002</c:v>
                </c:pt>
                <c:pt idx="15">
                  <c:v>877.75221263399999</c:v>
                </c:pt>
                <c:pt idx="16">
                  <c:v>1431.8409092050001</c:v>
                </c:pt>
                <c:pt idx="17">
                  <c:v>1163.1844656640001</c:v>
                </c:pt>
                <c:pt idx="18">
                  <c:v>1441.43302296</c:v>
                </c:pt>
                <c:pt idx="19">
                  <c:v>1434.5146435620002</c:v>
                </c:pt>
                <c:pt idx="20">
                  <c:v>1985.7590344609998</c:v>
                </c:pt>
                <c:pt idx="21">
                  <c:v>4473.5852528320002</c:v>
                </c:pt>
                <c:pt idx="22">
                  <c:v>2568.6486478080001</c:v>
                </c:pt>
                <c:pt idx="23">
                  <c:v>1292.4375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6-47F9-8B8F-25D6CB8229D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harvest'!$T$28:$T$51</c:f>
                <c:numCache>
                  <c:formatCode>General</c:formatCode>
                  <c:ptCount val="24"/>
                  <c:pt idx="0">
                    <c:v>42.706419668061642</c:v>
                  </c:pt>
                  <c:pt idx="1">
                    <c:v>56.270714584852101</c:v>
                  </c:pt>
                  <c:pt idx="2">
                    <c:v>99.348903712051211</c:v>
                  </c:pt>
                  <c:pt idx="3">
                    <c:v>335.77723393264108</c:v>
                  </c:pt>
                  <c:pt idx="4">
                    <c:v>185.65514837338935</c:v>
                  </c:pt>
                  <c:pt idx="5">
                    <c:v>280.76046361768567</c:v>
                  </c:pt>
                  <c:pt idx="6">
                    <c:v>218.70791992965647</c:v>
                  </c:pt>
                  <c:pt idx="7">
                    <c:v>359.97521071380601</c:v>
                  </c:pt>
                  <c:pt idx="8">
                    <c:v>203.70456241064443</c:v>
                  </c:pt>
                  <c:pt idx="9">
                    <c:v>508.94346915117939</c:v>
                  </c:pt>
                  <c:pt idx="10">
                    <c:v>288.02726914924523</c:v>
                  </c:pt>
                  <c:pt idx="11">
                    <c:v>360.62282247562479</c:v>
                  </c:pt>
                  <c:pt idx="12">
                    <c:v>330.4139342082313</c:v>
                  </c:pt>
                  <c:pt idx="13">
                    <c:v>320.30246493554125</c:v>
                  </c:pt>
                  <c:pt idx="14">
                    <c:v>940.34182037124424</c:v>
                  </c:pt>
                  <c:pt idx="15">
                    <c:v>346.09773089906196</c:v>
                  </c:pt>
                  <c:pt idx="16">
                    <c:v>755.56015818991693</c:v>
                  </c:pt>
                  <c:pt idx="17">
                    <c:v>1173.6351813666581</c:v>
                  </c:pt>
                  <c:pt idx="18">
                    <c:v>260.68037178196346</c:v>
                  </c:pt>
                  <c:pt idx="19">
                    <c:v>816.46486420304336</c:v>
                  </c:pt>
                  <c:pt idx="20">
                    <c:v>626.42464576624229</c:v>
                  </c:pt>
                  <c:pt idx="21">
                    <c:v>2993.8536909056897</c:v>
                  </c:pt>
                  <c:pt idx="22">
                    <c:v>543.48179988775689</c:v>
                  </c:pt>
                  <c:pt idx="23">
                    <c:v>898.93957826175313</c:v>
                  </c:pt>
                </c:numCache>
              </c:numRef>
            </c:plus>
            <c:minus>
              <c:numRef>
                <c:f>'BRF harvest'!$T$28:$T$51</c:f>
                <c:numCache>
                  <c:formatCode>General</c:formatCode>
                  <c:ptCount val="24"/>
                  <c:pt idx="0">
                    <c:v>42.706419668061642</c:v>
                  </c:pt>
                  <c:pt idx="1">
                    <c:v>56.270714584852101</c:v>
                  </c:pt>
                  <c:pt idx="2">
                    <c:v>99.348903712051211</c:v>
                  </c:pt>
                  <c:pt idx="3">
                    <c:v>335.77723393264108</c:v>
                  </c:pt>
                  <c:pt idx="4">
                    <c:v>185.65514837338935</c:v>
                  </c:pt>
                  <c:pt idx="5">
                    <c:v>280.76046361768567</c:v>
                  </c:pt>
                  <c:pt idx="6">
                    <c:v>218.70791992965647</c:v>
                  </c:pt>
                  <c:pt idx="7">
                    <c:v>359.97521071380601</c:v>
                  </c:pt>
                  <c:pt idx="8">
                    <c:v>203.70456241064443</c:v>
                  </c:pt>
                  <c:pt idx="9">
                    <c:v>508.94346915117939</c:v>
                  </c:pt>
                  <c:pt idx="10">
                    <c:v>288.02726914924523</c:v>
                  </c:pt>
                  <c:pt idx="11">
                    <c:v>360.62282247562479</c:v>
                  </c:pt>
                  <c:pt idx="12">
                    <c:v>330.4139342082313</c:v>
                  </c:pt>
                  <c:pt idx="13">
                    <c:v>320.30246493554125</c:v>
                  </c:pt>
                  <c:pt idx="14">
                    <c:v>940.34182037124424</c:v>
                  </c:pt>
                  <c:pt idx="15">
                    <c:v>346.09773089906196</c:v>
                  </c:pt>
                  <c:pt idx="16">
                    <c:v>755.56015818991693</c:v>
                  </c:pt>
                  <c:pt idx="17">
                    <c:v>1173.6351813666581</c:v>
                  </c:pt>
                  <c:pt idx="18">
                    <c:v>260.68037178196346</c:v>
                  </c:pt>
                  <c:pt idx="19">
                    <c:v>816.46486420304336</c:v>
                  </c:pt>
                  <c:pt idx="20">
                    <c:v>626.42464576624229</c:v>
                  </c:pt>
                  <c:pt idx="21">
                    <c:v>2993.8536909056897</c:v>
                  </c:pt>
                  <c:pt idx="22">
                    <c:v>543.48179988775689</c:v>
                  </c:pt>
                  <c:pt idx="23">
                    <c:v>898.93957826175313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harvest'!$Q$28:$Q$51</c:f>
              <c:numCache>
                <c:formatCode>_(* #,##0_);_(* \(#,##0\);_(* "-"??_);_(@_)</c:formatCode>
                <c:ptCount val="24"/>
                <c:pt idx="0">
                  <c:v>35.572170121197559</c:v>
                </c:pt>
                <c:pt idx="1">
                  <c:v>46.887491620335759</c:v>
                </c:pt>
                <c:pt idx="2">
                  <c:v>82.784796822381949</c:v>
                </c:pt>
                <c:pt idx="3">
                  <c:v>279.62771988402562</c:v>
                </c:pt>
                <c:pt idx="4">
                  <c:v>154.42792975983727</c:v>
                </c:pt>
                <c:pt idx="5">
                  <c:v>233.91413867459985</c:v>
                </c:pt>
                <c:pt idx="6">
                  <c:v>182.14645799346255</c:v>
                </c:pt>
                <c:pt idx="7">
                  <c:v>300.08921404354982</c:v>
                </c:pt>
                <c:pt idx="8">
                  <c:v>169.64541729296545</c:v>
                </c:pt>
                <c:pt idx="9">
                  <c:v>424.21933641066119</c:v>
                </c:pt>
                <c:pt idx="10">
                  <c:v>239.16804367554943</c:v>
                </c:pt>
                <c:pt idx="11">
                  <c:v>298.01730717969264</c:v>
                </c:pt>
                <c:pt idx="12">
                  <c:v>273.15086226931606</c:v>
                </c:pt>
                <c:pt idx="13">
                  <c:v>230.69851190999196</c:v>
                </c:pt>
                <c:pt idx="14">
                  <c:v>838.01371243202948</c:v>
                </c:pt>
                <c:pt idx="15">
                  <c:v>268.79497577999979</c:v>
                </c:pt>
                <c:pt idx="16">
                  <c:v>627.56627480587395</c:v>
                </c:pt>
                <c:pt idx="17">
                  <c:v>676.38208750877686</c:v>
                </c:pt>
                <c:pt idx="18">
                  <c:v>246.24656680475132</c:v>
                </c:pt>
                <c:pt idx="19">
                  <c:v>710.61393305407842</c:v>
                </c:pt>
                <c:pt idx="20">
                  <c:v>522.60583246984095</c:v>
                </c:pt>
                <c:pt idx="21">
                  <c:v>3581.4422053231947</c:v>
                </c:pt>
                <c:pt idx="22">
                  <c:v>551.26001148030105</c:v>
                </c:pt>
                <c:pt idx="23">
                  <c:v>1110.1492697780734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6-47F9-8B8F-25D6CB8229D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harvest'!$Y$28:$Y$51</c:f>
                <c:numCache>
                  <c:formatCode>General</c:formatCode>
                  <c:ptCount val="24"/>
                  <c:pt idx="0">
                    <c:v>43.704916199060271</c:v>
                  </c:pt>
                  <c:pt idx="1">
                    <c:v>58.014334154542397</c:v>
                  </c:pt>
                  <c:pt idx="2">
                    <c:v>100.79923028219473</c:v>
                  </c:pt>
                  <c:pt idx="3">
                    <c:v>341.70335496897604</c:v>
                  </c:pt>
                  <c:pt idx="4">
                    <c:v>198.31381820539568</c:v>
                  </c:pt>
                  <c:pt idx="5">
                    <c:v>289.01125408506488</c:v>
                  </c:pt>
                  <c:pt idx="6">
                    <c:v>223.70575891790224</c:v>
                  </c:pt>
                  <c:pt idx="7">
                    <c:v>363.59703303798005</c:v>
                  </c:pt>
                  <c:pt idx="8">
                    <c:v>207.01523548612687</c:v>
                  </c:pt>
                  <c:pt idx="9">
                    <c:v>528.08192023223285</c:v>
                  </c:pt>
                  <c:pt idx="10">
                    <c:v>294.10317263537928</c:v>
                  </c:pt>
                  <c:pt idx="11">
                    <c:v>392.72920924801042</c:v>
                  </c:pt>
                  <c:pt idx="12">
                    <c:v>339.56630959211429</c:v>
                  </c:pt>
                  <c:pt idx="13">
                    <c:v>326.72223276323251</c:v>
                  </c:pt>
                  <c:pt idx="14">
                    <c:v>944.97758493667561</c:v>
                  </c:pt>
                  <c:pt idx="15">
                    <c:v>354.0876000717775</c:v>
                  </c:pt>
                  <c:pt idx="16">
                    <c:v>759.4057356331582</c:v>
                  </c:pt>
                  <c:pt idx="17">
                    <c:v>1182.9453200935516</c:v>
                  </c:pt>
                  <c:pt idx="18">
                    <c:v>297.93283013790887</c:v>
                  </c:pt>
                  <c:pt idx="19">
                    <c:v>828.66044650672609</c:v>
                  </c:pt>
                  <c:pt idx="20">
                    <c:v>735.52686566109173</c:v>
                  </c:pt>
                  <c:pt idx="21">
                    <c:v>3009.3657506873769</c:v>
                  </c:pt>
                  <c:pt idx="22">
                    <c:v>644.45289127501724</c:v>
                  </c:pt>
                  <c:pt idx="23">
                    <c:v>1049.1887416214888</c:v>
                  </c:pt>
                </c:numCache>
              </c:numRef>
            </c:plus>
            <c:minus>
              <c:numRef>
                <c:f>'BRF harvest'!$Y$28:$Y$51</c:f>
                <c:numCache>
                  <c:formatCode>General</c:formatCode>
                  <c:ptCount val="24"/>
                  <c:pt idx="0">
                    <c:v>43.704916199060271</c:v>
                  </c:pt>
                  <c:pt idx="1">
                    <c:v>58.014334154542397</c:v>
                  </c:pt>
                  <c:pt idx="2">
                    <c:v>100.79923028219473</c:v>
                  </c:pt>
                  <c:pt idx="3">
                    <c:v>341.70335496897604</c:v>
                  </c:pt>
                  <c:pt idx="4">
                    <c:v>198.31381820539568</c:v>
                  </c:pt>
                  <c:pt idx="5">
                    <c:v>289.01125408506488</c:v>
                  </c:pt>
                  <c:pt idx="6">
                    <c:v>223.70575891790224</c:v>
                  </c:pt>
                  <c:pt idx="7">
                    <c:v>363.59703303798005</c:v>
                  </c:pt>
                  <c:pt idx="8">
                    <c:v>207.01523548612687</c:v>
                  </c:pt>
                  <c:pt idx="9">
                    <c:v>528.08192023223285</c:v>
                  </c:pt>
                  <c:pt idx="10">
                    <c:v>294.10317263537928</c:v>
                  </c:pt>
                  <c:pt idx="11">
                    <c:v>392.72920924801042</c:v>
                  </c:pt>
                  <c:pt idx="12">
                    <c:v>339.56630959211429</c:v>
                  </c:pt>
                  <c:pt idx="13">
                    <c:v>326.72223276323251</c:v>
                  </c:pt>
                  <c:pt idx="14">
                    <c:v>944.97758493667561</c:v>
                  </c:pt>
                  <c:pt idx="15">
                    <c:v>354.0876000717775</c:v>
                  </c:pt>
                  <c:pt idx="16">
                    <c:v>759.4057356331582</c:v>
                  </c:pt>
                  <c:pt idx="17">
                    <c:v>1182.9453200935516</c:v>
                  </c:pt>
                  <c:pt idx="18">
                    <c:v>297.93283013790887</c:v>
                  </c:pt>
                  <c:pt idx="19">
                    <c:v>828.66044650672609</c:v>
                  </c:pt>
                  <c:pt idx="20">
                    <c:v>735.52686566109173</c:v>
                  </c:pt>
                  <c:pt idx="21">
                    <c:v>3009.3657506873769</c:v>
                  </c:pt>
                  <c:pt idx="22">
                    <c:v>644.45289127501724</c:v>
                  </c:pt>
                  <c:pt idx="23">
                    <c:v>1049.1887416214888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harvest'!$V$28:$V$51</c:f>
              <c:numCache>
                <c:formatCode>_(* #,##0_);_(* \(#,##0\);_(* "-"??_);_(@_)</c:formatCode>
                <c:ptCount val="24"/>
                <c:pt idx="0">
                  <c:v>129.65464430819756</c:v>
                </c:pt>
                <c:pt idx="1">
                  <c:v>242.27796776833577</c:v>
                </c:pt>
                <c:pt idx="2">
                  <c:v>363.60832627038195</c:v>
                </c:pt>
                <c:pt idx="3">
                  <c:v>1380.6769000600257</c:v>
                </c:pt>
                <c:pt idx="4">
                  <c:v>865.83143816183724</c:v>
                </c:pt>
                <c:pt idx="5">
                  <c:v>1056.5445732905998</c:v>
                </c:pt>
                <c:pt idx="6">
                  <c:v>737.50543260946256</c:v>
                </c:pt>
                <c:pt idx="7">
                  <c:v>1356.9211465405499</c:v>
                </c:pt>
                <c:pt idx="8">
                  <c:v>673.6989889709655</c:v>
                </c:pt>
                <c:pt idx="9">
                  <c:v>1235.5104762306612</c:v>
                </c:pt>
                <c:pt idx="10">
                  <c:v>983.26253227554935</c:v>
                </c:pt>
                <c:pt idx="11">
                  <c:v>1414.6978625666927</c:v>
                </c:pt>
                <c:pt idx="12">
                  <c:v>697.68621552431614</c:v>
                </c:pt>
                <c:pt idx="13">
                  <c:v>1193.9086573069919</c:v>
                </c:pt>
                <c:pt idx="14">
                  <c:v>1836.4472785420294</c:v>
                </c:pt>
                <c:pt idx="15">
                  <c:v>1146.5471884139997</c:v>
                </c:pt>
                <c:pt idx="16">
                  <c:v>2059.4071840108741</c:v>
                </c:pt>
                <c:pt idx="17">
                  <c:v>1839.5665531727768</c:v>
                </c:pt>
                <c:pt idx="18">
                  <c:v>1687.6795897647514</c:v>
                </c:pt>
                <c:pt idx="19">
                  <c:v>2145.1285766160786</c:v>
                </c:pt>
                <c:pt idx="20">
                  <c:v>2508.3648669308409</c:v>
                </c:pt>
                <c:pt idx="21">
                  <c:v>8055.0274581551948</c:v>
                </c:pt>
                <c:pt idx="22">
                  <c:v>3119.9086592883014</c:v>
                </c:pt>
                <c:pt idx="23">
                  <c:v>2402.5867697780732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6-47F9-8B8F-25D6CB82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harvest'!$K$53:$K$76</c:f>
                <c:numCache>
                  <c:formatCode>General</c:formatCode>
                  <c:ptCount val="24"/>
                  <c:pt idx="0">
                    <c:v>2.2518513305825496</c:v>
                  </c:pt>
                  <c:pt idx="1">
                    <c:v>7.4720521423875512</c:v>
                  </c:pt>
                  <c:pt idx="2">
                    <c:v>0.51178439331421588</c:v>
                  </c:pt>
                  <c:pt idx="3">
                    <c:v>0.81885502930274545</c:v>
                  </c:pt>
                  <c:pt idx="4">
                    <c:v>9.0074053223301984</c:v>
                  </c:pt>
                  <c:pt idx="5">
                    <c:v>10.645115380935691</c:v>
                  </c:pt>
                  <c:pt idx="6">
                    <c:v>16.274743707392062</c:v>
                  </c:pt>
                  <c:pt idx="7">
                    <c:v>13.101680468843927</c:v>
                  </c:pt>
                  <c:pt idx="8">
                    <c:v>19.550163824603047</c:v>
                  </c:pt>
                  <c:pt idx="9">
                    <c:v>99.183815424295034</c:v>
                  </c:pt>
                  <c:pt idx="10">
                    <c:v>106.6558675666826</c:v>
                  </c:pt>
                  <c:pt idx="11">
                    <c:v>0</c:v>
                  </c:pt>
                  <c:pt idx="12">
                    <c:v>40.94275146513727</c:v>
                  </c:pt>
                  <c:pt idx="13">
                    <c:v>56.500997021889425</c:v>
                  </c:pt>
                  <c:pt idx="14">
                    <c:v>58.138707080494925</c:v>
                  </c:pt>
                  <c:pt idx="15">
                    <c:v>88.845770679347879</c:v>
                  </c:pt>
                  <c:pt idx="16">
                    <c:v>57.012781415203648</c:v>
                  </c:pt>
                  <c:pt idx="17">
                    <c:v>55.989212628575217</c:v>
                  </c:pt>
                  <c:pt idx="18">
                    <c:v>57.688746258789791</c:v>
                  </c:pt>
                  <c:pt idx="19">
                    <c:v>29.434932702865282</c:v>
                  </c:pt>
                  <c:pt idx="20">
                    <c:v>61.311770319043056</c:v>
                  </c:pt>
                  <c:pt idx="21">
                    <c:v>60.23222576302468</c:v>
                  </c:pt>
                  <c:pt idx="22">
                    <c:v>26.101004059025012</c:v>
                  </c:pt>
                  <c:pt idx="23">
                    <c:v>146.16562273054004</c:v>
                  </c:pt>
                </c:numCache>
              </c:numRef>
            </c:plus>
            <c:minus>
              <c:numRef>
                <c:f>'BRF harvest'!$K$53:$K$76</c:f>
                <c:numCache>
                  <c:formatCode>General</c:formatCode>
                  <c:ptCount val="24"/>
                  <c:pt idx="0">
                    <c:v>2.2518513305825496</c:v>
                  </c:pt>
                  <c:pt idx="1">
                    <c:v>7.4720521423875512</c:v>
                  </c:pt>
                  <c:pt idx="2">
                    <c:v>0.51178439331421588</c:v>
                  </c:pt>
                  <c:pt idx="3">
                    <c:v>0.81885502930274545</c:v>
                  </c:pt>
                  <c:pt idx="4">
                    <c:v>9.0074053223301984</c:v>
                  </c:pt>
                  <c:pt idx="5">
                    <c:v>10.645115380935691</c:v>
                  </c:pt>
                  <c:pt idx="6">
                    <c:v>16.274743707392062</c:v>
                  </c:pt>
                  <c:pt idx="7">
                    <c:v>13.101680468843927</c:v>
                  </c:pt>
                  <c:pt idx="8">
                    <c:v>19.550163824603047</c:v>
                  </c:pt>
                  <c:pt idx="9">
                    <c:v>99.183815424295034</c:v>
                  </c:pt>
                  <c:pt idx="10">
                    <c:v>106.6558675666826</c:v>
                  </c:pt>
                  <c:pt idx="11">
                    <c:v>0</c:v>
                  </c:pt>
                  <c:pt idx="12">
                    <c:v>40.94275146513727</c:v>
                  </c:pt>
                  <c:pt idx="13">
                    <c:v>56.500997021889425</c:v>
                  </c:pt>
                  <c:pt idx="14">
                    <c:v>58.138707080494925</c:v>
                  </c:pt>
                  <c:pt idx="15">
                    <c:v>88.845770679347879</c:v>
                  </c:pt>
                  <c:pt idx="16">
                    <c:v>57.012781415203648</c:v>
                  </c:pt>
                  <c:pt idx="17">
                    <c:v>55.989212628575217</c:v>
                  </c:pt>
                  <c:pt idx="18">
                    <c:v>57.688746258789791</c:v>
                  </c:pt>
                  <c:pt idx="19">
                    <c:v>29.434932702865282</c:v>
                  </c:pt>
                  <c:pt idx="20">
                    <c:v>61.311770319043056</c:v>
                  </c:pt>
                  <c:pt idx="21">
                    <c:v>60.23222576302468</c:v>
                  </c:pt>
                  <c:pt idx="22">
                    <c:v>26.101004059025012</c:v>
                  </c:pt>
                  <c:pt idx="23">
                    <c:v>146.16562273054004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harvest'!$H$53:$H$76</c:f>
              <c:numCache>
                <c:formatCode>0</c:formatCode>
                <c:ptCount val="24"/>
                <c:pt idx="0">
                  <c:v>20.730769223999999</c:v>
                </c:pt>
                <c:pt idx="1">
                  <c:v>68.788461515999998</c:v>
                </c:pt>
                <c:pt idx="2">
                  <c:v>4.7115384599999999</c:v>
                </c:pt>
                <c:pt idx="3">
                  <c:v>7.5384615359999998</c:v>
                </c:pt>
                <c:pt idx="4">
                  <c:v>82.923076895999998</c:v>
                </c:pt>
                <c:pt idx="5">
                  <c:v>97.999999967999997</c:v>
                </c:pt>
                <c:pt idx="6">
                  <c:v>149.82692302800001</c:v>
                </c:pt>
                <c:pt idx="7">
                  <c:v>120.615384576</c:v>
                </c:pt>
                <c:pt idx="8">
                  <c:v>179.98076917200001</c:v>
                </c:pt>
                <c:pt idx="9">
                  <c:v>913.09615354799996</c:v>
                </c:pt>
                <c:pt idx="10">
                  <c:v>981.88461506399995</c:v>
                </c:pt>
                <c:pt idx="11">
                  <c:v>721</c:v>
                </c:pt>
                <c:pt idx="12">
                  <c:v>376.92307679999999</c:v>
                </c:pt>
                <c:pt idx="13">
                  <c:v>520.15384598399999</c:v>
                </c:pt>
                <c:pt idx="14">
                  <c:v>535.23076905599999</c:v>
                </c:pt>
                <c:pt idx="15">
                  <c:v>817.92307665599992</c:v>
                </c:pt>
                <c:pt idx="16">
                  <c:v>524.86538444400003</c:v>
                </c:pt>
                <c:pt idx="17">
                  <c:v>515.44230752399994</c:v>
                </c:pt>
                <c:pt idx="18">
                  <c:v>644.44230780199996</c:v>
                </c:pt>
                <c:pt idx="19">
                  <c:v>560.30769226099994</c:v>
                </c:pt>
                <c:pt idx="20">
                  <c:v>564.442307508</c:v>
                </c:pt>
                <c:pt idx="21">
                  <c:v>554.07692289600004</c:v>
                </c:pt>
                <c:pt idx="22">
                  <c:v>240.28846146000001</c:v>
                </c:pt>
                <c:pt idx="23">
                  <c:v>1345.6153841759999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486-B902-013BD90B6C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harvest'!$T$53:$T$76</c:f>
                <c:numCache>
                  <c:formatCode>General</c:formatCode>
                  <c:ptCount val="24"/>
                  <c:pt idx="0">
                    <c:v>7.8516543824983582</c:v>
                  </c:pt>
                  <c:pt idx="1">
                    <c:v>21.887264014750013</c:v>
                  </c:pt>
                  <c:pt idx="2">
                    <c:v>16.859704649120651</c:v>
                  </c:pt>
                  <c:pt idx="3">
                    <c:v>7.7297625519695519</c:v>
                  </c:pt>
                  <c:pt idx="4">
                    <c:v>21.049581954876253</c:v>
                  </c:pt>
                  <c:pt idx="5">
                    <c:v>36.805580503004059</c:v>
                  </c:pt>
                  <c:pt idx="6">
                    <c:v>54.422349260296997</c:v>
                  </c:pt>
                  <c:pt idx="7">
                    <c:v>82.238632349936069</c:v>
                  </c:pt>
                  <c:pt idx="8">
                    <c:v>84.400329437280817</c:v>
                  </c:pt>
                  <c:pt idx="9">
                    <c:v>357.93349473421443</c:v>
                  </c:pt>
                  <c:pt idx="10">
                    <c:v>274.27567188663511</c:v>
                  </c:pt>
                  <c:pt idx="11">
                    <c:v>159.24642962119913</c:v>
                  </c:pt>
                  <c:pt idx="12">
                    <c:v>169.42374674610397</c:v>
                  </c:pt>
                  <c:pt idx="13">
                    <c:v>161.558124700284</c:v>
                  </c:pt>
                  <c:pt idx="14">
                    <c:v>494.12352095065961</c:v>
                  </c:pt>
                  <c:pt idx="15">
                    <c:v>180.64102444807318</c:v>
                  </c:pt>
                  <c:pt idx="16">
                    <c:v>205.91852391402992</c:v>
                  </c:pt>
                  <c:pt idx="17">
                    <c:v>357.6958036760027</c:v>
                  </c:pt>
                  <c:pt idx="18">
                    <c:v>108.32646999338756</c:v>
                  </c:pt>
                  <c:pt idx="19">
                    <c:v>187.57005848886755</c:v>
                  </c:pt>
                  <c:pt idx="20">
                    <c:v>97.956405804975191</c:v>
                  </c:pt>
                  <c:pt idx="21">
                    <c:v>271.05809068434951</c:v>
                  </c:pt>
                  <c:pt idx="22">
                    <c:v>40.676952556654911</c:v>
                  </c:pt>
                  <c:pt idx="23">
                    <c:v>184.00807621662844</c:v>
                  </c:pt>
                </c:numCache>
              </c:numRef>
            </c:plus>
            <c:minus>
              <c:numRef>
                <c:f>'BRF harvest'!$T$53:$T$76</c:f>
                <c:numCache>
                  <c:formatCode>General</c:formatCode>
                  <c:ptCount val="24"/>
                  <c:pt idx="0">
                    <c:v>7.8516543824983582</c:v>
                  </c:pt>
                  <c:pt idx="1">
                    <c:v>21.887264014750013</c:v>
                  </c:pt>
                  <c:pt idx="2">
                    <c:v>16.859704649120651</c:v>
                  </c:pt>
                  <c:pt idx="3">
                    <c:v>7.7297625519695519</c:v>
                  </c:pt>
                  <c:pt idx="4">
                    <c:v>21.049581954876253</c:v>
                  </c:pt>
                  <c:pt idx="5">
                    <c:v>36.805580503004059</c:v>
                  </c:pt>
                  <c:pt idx="6">
                    <c:v>54.422349260296997</c:v>
                  </c:pt>
                  <c:pt idx="7">
                    <c:v>82.238632349936069</c:v>
                  </c:pt>
                  <c:pt idx="8">
                    <c:v>84.400329437280817</c:v>
                  </c:pt>
                  <c:pt idx="9">
                    <c:v>357.93349473421443</c:v>
                  </c:pt>
                  <c:pt idx="10">
                    <c:v>274.27567188663511</c:v>
                  </c:pt>
                  <c:pt idx="11">
                    <c:v>159.24642962119913</c:v>
                  </c:pt>
                  <c:pt idx="12">
                    <c:v>169.42374674610397</c:v>
                  </c:pt>
                  <c:pt idx="13">
                    <c:v>161.558124700284</c:v>
                  </c:pt>
                  <c:pt idx="14">
                    <c:v>494.12352095065961</c:v>
                  </c:pt>
                  <c:pt idx="15">
                    <c:v>180.64102444807318</c:v>
                  </c:pt>
                  <c:pt idx="16">
                    <c:v>205.91852391402992</c:v>
                  </c:pt>
                  <c:pt idx="17">
                    <c:v>357.6958036760027</c:v>
                  </c:pt>
                  <c:pt idx="18">
                    <c:v>108.32646999338756</c:v>
                  </c:pt>
                  <c:pt idx="19">
                    <c:v>187.57005848886755</c:v>
                  </c:pt>
                  <c:pt idx="20">
                    <c:v>97.956405804975191</c:v>
                  </c:pt>
                  <c:pt idx="21">
                    <c:v>271.05809068434951</c:v>
                  </c:pt>
                  <c:pt idx="22">
                    <c:v>40.676952556654911</c:v>
                  </c:pt>
                  <c:pt idx="23">
                    <c:v>184.00807621662844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harvest'!$Q$53:$Q$76</c:f>
              <c:numCache>
                <c:formatCode>_(* #,##0_);_(* \(#,##0\);_(* "-"??_);_(@_)</c:formatCode>
                <c:ptCount val="24"/>
                <c:pt idx="0">
                  <c:v>6.6012509536972832</c:v>
                </c:pt>
                <c:pt idx="1">
                  <c:v>18.408510880234463</c:v>
                </c:pt>
                <c:pt idx="2">
                  <c:v>14.180465025141904</c:v>
                </c:pt>
                <c:pt idx="3">
                  <c:v>6.497411052852768</c:v>
                </c:pt>
                <c:pt idx="4">
                  <c:v>17.67226461016244</c:v>
                </c:pt>
                <c:pt idx="5">
                  <c:v>30.951747805655966</c:v>
                </c:pt>
                <c:pt idx="6">
                  <c:v>45.748782525249233</c:v>
                </c:pt>
                <c:pt idx="7">
                  <c:v>69.201006474455781</c:v>
                </c:pt>
                <c:pt idx="8">
                  <c:v>70.946521489289509</c:v>
                </c:pt>
                <c:pt idx="9">
                  <c:v>301.14820569969572</c:v>
                </c:pt>
                <c:pt idx="10">
                  <c:v>229.86044800469506</c:v>
                </c:pt>
                <c:pt idx="11">
                  <c:v>132.80163678847097</c:v>
                </c:pt>
                <c:pt idx="12">
                  <c:v>141.34113398013176</c:v>
                </c:pt>
                <c:pt idx="13">
                  <c:v>116.36257299120381</c:v>
                </c:pt>
                <c:pt idx="14">
                  <c:v>440.35294104900004</c:v>
                </c:pt>
                <c:pt idx="15">
                  <c:v>140.29389810000001</c:v>
                </c:pt>
                <c:pt idx="16">
                  <c:v>171.03538290827868</c:v>
                </c:pt>
                <c:pt idx="17">
                  <c:v>206.1450084529458</c:v>
                </c:pt>
                <c:pt idx="18">
                  <c:v>78.780677746815343</c:v>
                </c:pt>
                <c:pt idx="19">
                  <c:v>163.25245926664925</c:v>
                </c:pt>
                <c:pt idx="20">
                  <c:v>81.721862872818278</c:v>
                </c:pt>
                <c:pt idx="21">
                  <c:v>181.38047515019116</c:v>
                </c:pt>
                <c:pt idx="22">
                  <c:v>41.259113622565323</c:v>
                </c:pt>
                <c:pt idx="23">
                  <c:v>227.24155926047902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B-4486-B902-013BD90B6C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harvest'!$Y$53:$Y$76</c:f>
                <c:numCache>
                  <c:formatCode>General</c:formatCode>
                  <c:ptCount val="24"/>
                  <c:pt idx="0">
                    <c:v>8.1681889643452834</c:v>
                  </c:pt>
                  <c:pt idx="1">
                    <c:v>23.127556923936631</c:v>
                  </c:pt>
                  <c:pt idx="2">
                    <c:v>16.867470590483347</c:v>
                  </c:pt>
                  <c:pt idx="3">
                    <c:v>7.7730143875362296</c:v>
                  </c:pt>
                  <c:pt idx="4">
                    <c:v>22.895812960360118</c:v>
                  </c:pt>
                  <c:pt idx="5">
                    <c:v>38.314086673657584</c:v>
                  </c:pt>
                  <c:pt idx="6">
                    <c:v>56.803691620800898</c:v>
                  </c:pt>
                  <c:pt idx="7">
                    <c:v>83.275726846996889</c:v>
                  </c:pt>
                  <c:pt idx="8">
                    <c:v>86.635007443240582</c:v>
                  </c:pt>
                  <c:pt idx="9">
                    <c:v>371.42134550233993</c:v>
                  </c:pt>
                  <c:pt idx="10">
                    <c:v>294.28322798839025</c:v>
                  </c:pt>
                  <c:pt idx="11">
                    <c:v>159.24642962119913</c:v>
                  </c:pt>
                  <c:pt idx="12">
                    <c:v>174.30064503329862</c:v>
                  </c:pt>
                  <c:pt idx="13">
                    <c:v>171.15311951916058</c:v>
                  </c:pt>
                  <c:pt idx="14">
                    <c:v>497.53207255177881</c:v>
                  </c:pt>
                  <c:pt idx="15">
                    <c:v>201.30760214471943</c:v>
                  </c:pt>
                  <c:pt idx="16">
                    <c:v>213.66538263282311</c:v>
                  </c:pt>
                  <c:pt idx="17">
                    <c:v>362.05121170656128</c:v>
                  </c:pt>
                  <c:pt idx="18">
                    <c:v>122.72984782089209</c:v>
                  </c:pt>
                  <c:pt idx="19">
                    <c:v>189.8655895752029</c:v>
                  </c:pt>
                  <c:pt idx="20">
                    <c:v>115.56206392187735</c:v>
                  </c:pt>
                  <c:pt idx="21">
                    <c:v>277.66960500892606</c:v>
                  </c:pt>
                  <c:pt idx="22">
                    <c:v>48.330910214743469</c:v>
                  </c:pt>
                  <c:pt idx="23">
                    <c:v>234.99651355105485</c:v>
                  </c:pt>
                </c:numCache>
              </c:numRef>
            </c:plus>
            <c:minus>
              <c:numRef>
                <c:f>'BRF harvest'!$Y$53:$Y$76</c:f>
                <c:numCache>
                  <c:formatCode>General</c:formatCode>
                  <c:ptCount val="24"/>
                  <c:pt idx="0">
                    <c:v>8.1681889643452834</c:v>
                  </c:pt>
                  <c:pt idx="1">
                    <c:v>23.127556923936631</c:v>
                  </c:pt>
                  <c:pt idx="2">
                    <c:v>16.867470590483347</c:v>
                  </c:pt>
                  <c:pt idx="3">
                    <c:v>7.7730143875362296</c:v>
                  </c:pt>
                  <c:pt idx="4">
                    <c:v>22.895812960360118</c:v>
                  </c:pt>
                  <c:pt idx="5">
                    <c:v>38.314086673657584</c:v>
                  </c:pt>
                  <c:pt idx="6">
                    <c:v>56.803691620800898</c:v>
                  </c:pt>
                  <c:pt idx="7">
                    <c:v>83.275726846996889</c:v>
                  </c:pt>
                  <c:pt idx="8">
                    <c:v>86.635007443240582</c:v>
                  </c:pt>
                  <c:pt idx="9">
                    <c:v>371.42134550233993</c:v>
                  </c:pt>
                  <c:pt idx="10">
                    <c:v>294.28322798839025</c:v>
                  </c:pt>
                  <c:pt idx="11">
                    <c:v>159.24642962119913</c:v>
                  </c:pt>
                  <c:pt idx="12">
                    <c:v>174.30064503329862</c:v>
                  </c:pt>
                  <c:pt idx="13">
                    <c:v>171.15311951916058</c:v>
                  </c:pt>
                  <c:pt idx="14">
                    <c:v>497.53207255177881</c:v>
                  </c:pt>
                  <c:pt idx="15">
                    <c:v>201.30760214471943</c:v>
                  </c:pt>
                  <c:pt idx="16">
                    <c:v>213.66538263282311</c:v>
                  </c:pt>
                  <c:pt idx="17">
                    <c:v>362.05121170656128</c:v>
                  </c:pt>
                  <c:pt idx="18">
                    <c:v>122.72984782089209</c:v>
                  </c:pt>
                  <c:pt idx="19">
                    <c:v>189.8655895752029</c:v>
                  </c:pt>
                  <c:pt idx="20">
                    <c:v>115.56206392187735</c:v>
                  </c:pt>
                  <c:pt idx="21">
                    <c:v>277.66960500892606</c:v>
                  </c:pt>
                  <c:pt idx="22">
                    <c:v>48.330910214743469</c:v>
                  </c:pt>
                  <c:pt idx="23">
                    <c:v>234.99651355105485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harvest'!$V$53:$V$76</c:f>
              <c:numCache>
                <c:formatCode>_(* #,##0_);_(* \(#,##0\);_(* "-"??_);_(@_)</c:formatCode>
                <c:ptCount val="24"/>
                <c:pt idx="0">
                  <c:v>27.332020177697281</c:v>
                </c:pt>
                <c:pt idx="1">
                  <c:v>87.196972396234457</c:v>
                </c:pt>
                <c:pt idx="2">
                  <c:v>18.892003485141906</c:v>
                </c:pt>
                <c:pt idx="3">
                  <c:v>14.035872588852769</c:v>
                </c:pt>
                <c:pt idx="4">
                  <c:v>100.59534150616244</c:v>
                </c:pt>
                <c:pt idx="5">
                  <c:v>128.95174777365597</c:v>
                </c:pt>
                <c:pt idx="6">
                  <c:v>195.57570555324924</c:v>
                </c:pt>
                <c:pt idx="7">
                  <c:v>189.81639105045576</c:v>
                </c:pt>
                <c:pt idx="8">
                  <c:v>250.92729066128953</c:v>
                </c:pt>
                <c:pt idx="9">
                  <c:v>1214.2443592476957</c:v>
                </c:pt>
                <c:pt idx="10">
                  <c:v>1211.7450630686949</c:v>
                </c:pt>
                <c:pt idx="11">
                  <c:v>853.801636788471</c:v>
                </c:pt>
                <c:pt idx="12">
                  <c:v>518.26421078013175</c:v>
                </c:pt>
                <c:pt idx="13">
                  <c:v>636.51641897520381</c:v>
                </c:pt>
                <c:pt idx="14">
                  <c:v>975.58371010500002</c:v>
                </c:pt>
                <c:pt idx="15">
                  <c:v>958.2169747559999</c:v>
                </c:pt>
                <c:pt idx="16">
                  <c:v>695.90076735227876</c:v>
                </c:pt>
                <c:pt idx="17">
                  <c:v>721.58731597694577</c:v>
                </c:pt>
                <c:pt idx="18">
                  <c:v>723.22298554881536</c:v>
                </c:pt>
                <c:pt idx="19">
                  <c:v>723.56015152764917</c:v>
                </c:pt>
                <c:pt idx="20">
                  <c:v>646.16417038081829</c:v>
                </c:pt>
                <c:pt idx="21">
                  <c:v>735.4573980461912</c:v>
                </c:pt>
                <c:pt idx="22">
                  <c:v>281.54757508256534</c:v>
                </c:pt>
                <c:pt idx="23">
                  <c:v>1572.856943436479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B-4486-B902-013BD90B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harvest'!$K$78:$K$101</c:f>
                <c:numCache>
                  <c:formatCode>General</c:formatCode>
                  <c:ptCount val="24"/>
                  <c:pt idx="0">
                    <c:v>172.13554301991701</c:v>
                  </c:pt>
                  <c:pt idx="1">
                    <c:v>192.61086348978267</c:v>
                  </c:pt>
                  <c:pt idx="2">
                    <c:v>291.65427413471411</c:v>
                  </c:pt>
                  <c:pt idx="3">
                    <c:v>165.23107448938092</c:v>
                  </c:pt>
                  <c:pt idx="4">
                    <c:v>501.64535151170833</c:v>
                  </c:pt>
                  <c:pt idx="5">
                    <c:v>571.92671525508035</c:v>
                  </c:pt>
                  <c:pt idx="6">
                    <c:v>1064.2404941895284</c:v>
                  </c:pt>
                  <c:pt idx="7">
                    <c:v>433.24298174710816</c:v>
                  </c:pt>
                  <c:pt idx="8">
                    <c:v>535.69152392090359</c:v>
                  </c:pt>
                  <c:pt idx="9">
                    <c:v>563.07131292130521</c:v>
                  </c:pt>
                  <c:pt idx="10">
                    <c:v>477.59875421570337</c:v>
                  </c:pt>
                  <c:pt idx="11">
                    <c:v>354.38650265701114</c:v>
                  </c:pt>
                  <c:pt idx="12">
                    <c:v>156.47312259416194</c:v>
                  </c:pt>
                  <c:pt idx="13">
                    <c:v>269.58461919038155</c:v>
                  </c:pt>
                  <c:pt idx="14">
                    <c:v>227.09494072531197</c:v>
                  </c:pt>
                  <c:pt idx="15">
                    <c:v>511.20793681879269</c:v>
                  </c:pt>
                  <c:pt idx="16">
                    <c:v>348.96899846179377</c:v>
                  </c:pt>
                  <c:pt idx="17">
                    <c:v>722.34848564272625</c:v>
                  </c:pt>
                  <c:pt idx="18">
                    <c:v>876.1225003944777</c:v>
                  </c:pt>
                  <c:pt idx="19">
                    <c:v>834.64024246269128</c:v>
                  </c:pt>
                  <c:pt idx="20">
                    <c:v>693.90207180020661</c:v>
                  </c:pt>
                  <c:pt idx="21">
                    <c:v>720.65303460957375</c:v>
                  </c:pt>
                  <c:pt idx="22">
                    <c:v>568.10167949642289</c:v>
                  </c:pt>
                  <c:pt idx="23">
                    <c:v>963.83469868814439</c:v>
                  </c:pt>
                </c:numCache>
              </c:numRef>
            </c:plus>
            <c:minus>
              <c:numRef>
                <c:f>'BRF harvest'!$K$78:$K$101</c:f>
                <c:numCache>
                  <c:formatCode>General</c:formatCode>
                  <c:ptCount val="24"/>
                  <c:pt idx="0">
                    <c:v>172.13554301991701</c:v>
                  </c:pt>
                  <c:pt idx="1">
                    <c:v>192.61086348978267</c:v>
                  </c:pt>
                  <c:pt idx="2">
                    <c:v>291.65427413471411</c:v>
                  </c:pt>
                  <c:pt idx="3">
                    <c:v>165.23107448938092</c:v>
                  </c:pt>
                  <c:pt idx="4">
                    <c:v>501.64535151170833</c:v>
                  </c:pt>
                  <c:pt idx="5">
                    <c:v>571.92671525508035</c:v>
                  </c:pt>
                  <c:pt idx="6">
                    <c:v>1064.2404941895284</c:v>
                  </c:pt>
                  <c:pt idx="7">
                    <c:v>433.24298174710816</c:v>
                  </c:pt>
                  <c:pt idx="8">
                    <c:v>535.69152392090359</c:v>
                  </c:pt>
                  <c:pt idx="9">
                    <c:v>563.07131292130521</c:v>
                  </c:pt>
                  <c:pt idx="10">
                    <c:v>477.59875421570337</c:v>
                  </c:pt>
                  <c:pt idx="11">
                    <c:v>354.38650265701114</c:v>
                  </c:pt>
                  <c:pt idx="12">
                    <c:v>156.47312259416194</c:v>
                  </c:pt>
                  <c:pt idx="13">
                    <c:v>269.58461919038155</c:v>
                  </c:pt>
                  <c:pt idx="14">
                    <c:v>227.09494072531197</c:v>
                  </c:pt>
                  <c:pt idx="15">
                    <c:v>511.20793681879269</c:v>
                  </c:pt>
                  <c:pt idx="16">
                    <c:v>348.96899846179377</c:v>
                  </c:pt>
                  <c:pt idx="17">
                    <c:v>722.34848564272625</c:v>
                  </c:pt>
                  <c:pt idx="18">
                    <c:v>876.1225003944777</c:v>
                  </c:pt>
                  <c:pt idx="19">
                    <c:v>834.64024246269128</c:v>
                  </c:pt>
                  <c:pt idx="20">
                    <c:v>693.90207180020661</c:v>
                  </c:pt>
                  <c:pt idx="21">
                    <c:v>720.65303460957375</c:v>
                  </c:pt>
                  <c:pt idx="22">
                    <c:v>568.10167949642289</c:v>
                  </c:pt>
                  <c:pt idx="23">
                    <c:v>963.83469868814439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harvest'!$H$78:$H$101</c:f>
              <c:numCache>
                <c:formatCode>0</c:formatCode>
                <c:ptCount val="24"/>
                <c:pt idx="0">
                  <c:v>302.84273453700001</c:v>
                </c:pt>
                <c:pt idx="1">
                  <c:v>338.86552177100003</c:v>
                </c:pt>
                <c:pt idx="2">
                  <c:v>513.11528327500002</c:v>
                </c:pt>
                <c:pt idx="3">
                  <c:v>290.695515586</c:v>
                </c:pt>
                <c:pt idx="4">
                  <c:v>882.5582872330001</c:v>
                </c:pt>
                <c:pt idx="5">
                  <c:v>2531.8653839620001</c:v>
                </c:pt>
                <c:pt idx="6">
                  <c:v>1872.3471969300001</c:v>
                </c:pt>
                <c:pt idx="7">
                  <c:v>1618.3870950999999</c:v>
                </c:pt>
                <c:pt idx="8">
                  <c:v>942.45664275000001</c:v>
                </c:pt>
                <c:pt idx="9">
                  <c:v>990.62664893500005</c:v>
                </c:pt>
                <c:pt idx="10">
                  <c:v>840.25245571400001</c:v>
                </c:pt>
                <c:pt idx="11">
                  <c:v>1133.8148150120001</c:v>
                </c:pt>
                <c:pt idx="12">
                  <c:v>850.20560750699997</c:v>
                </c:pt>
                <c:pt idx="13">
                  <c:v>940.24390362999998</c:v>
                </c:pt>
                <c:pt idx="14">
                  <c:v>756.92105133400003</c:v>
                </c:pt>
                <c:pt idx="15">
                  <c:v>1777.3913023800001</c:v>
                </c:pt>
                <c:pt idx="16">
                  <c:v>1765.5547943409999</c:v>
                </c:pt>
                <c:pt idx="17">
                  <c:v>2513.1428596559999</c:v>
                </c:pt>
                <c:pt idx="18">
                  <c:v>3648.6095193599999</c:v>
                </c:pt>
                <c:pt idx="19">
                  <c:v>4532.2297289240005</c:v>
                </c:pt>
                <c:pt idx="20">
                  <c:v>5842.9268286839997</c:v>
                </c:pt>
                <c:pt idx="21">
                  <c:v>12060.800000000001</c:v>
                </c:pt>
                <c:pt idx="22">
                  <c:v>7440.2781456953644</c:v>
                </c:pt>
                <c:pt idx="23">
                  <c:v>11087.626262626261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A-48CF-85B0-716EFEE0C89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harvest'!$T$78:$T$101</c:f>
                <c:numCache>
                  <c:formatCode>General</c:formatCode>
                  <c:ptCount val="24"/>
                  <c:pt idx="0">
                    <c:v>253.59200218759261</c:v>
                  </c:pt>
                  <c:pt idx="1">
                    <c:v>256.37890082499553</c:v>
                  </c:pt>
                  <c:pt idx="2">
                    <c:v>357.17183406703191</c:v>
                  </c:pt>
                  <c:pt idx="3">
                    <c:v>182.19406825178507</c:v>
                  </c:pt>
                  <c:pt idx="4">
                    <c:v>606.68187243671559</c:v>
                  </c:pt>
                  <c:pt idx="5">
                    <c:v>1179.4324206370629</c:v>
                  </c:pt>
                  <c:pt idx="6">
                    <c:v>1208.2612901010448</c:v>
                  </c:pt>
                  <c:pt idx="7">
                    <c:v>922.26870010880009</c:v>
                  </c:pt>
                  <c:pt idx="8">
                    <c:v>628.36730521935669</c:v>
                  </c:pt>
                  <c:pt idx="9">
                    <c:v>652.85908812681032</c:v>
                  </c:pt>
                  <c:pt idx="10">
                    <c:v>551.8304836335642</c:v>
                  </c:pt>
                  <c:pt idx="11">
                    <c:v>445.85017291438413</c:v>
                  </c:pt>
                  <c:pt idx="12">
                    <c:v>486.84757257617514</c:v>
                  </c:pt>
                  <c:pt idx="13">
                    <c:v>428.17164127290954</c:v>
                  </c:pt>
                  <c:pt idx="14">
                    <c:v>547.75299855009939</c:v>
                  </c:pt>
                  <c:pt idx="15">
                    <c:v>737.88275292347907</c:v>
                  </c:pt>
                  <c:pt idx="16">
                    <c:v>677.99922358704953</c:v>
                  </c:pt>
                  <c:pt idx="17">
                    <c:v>797.13633971484808</c:v>
                  </c:pt>
                  <c:pt idx="18">
                    <c:v>894.89079159366759</c:v>
                  </c:pt>
                  <c:pt idx="19">
                    <c:v>904.4701852657854</c:v>
                  </c:pt>
                  <c:pt idx="20">
                    <c:v>2129.4289168785053</c:v>
                  </c:pt>
                  <c:pt idx="21">
                    <c:v>4135.9282061054582</c:v>
                  </c:pt>
                  <c:pt idx="22">
                    <c:v>4023.5521104589061</c:v>
                  </c:pt>
                  <c:pt idx="23">
                    <c:v>2812.9280378182384</c:v>
                  </c:pt>
                </c:numCache>
              </c:numRef>
            </c:plus>
            <c:minus>
              <c:numRef>
                <c:f>'BRF harvest'!$T$78:$T$101</c:f>
                <c:numCache>
                  <c:formatCode>General</c:formatCode>
                  <c:ptCount val="24"/>
                  <c:pt idx="0">
                    <c:v>253.59200218759261</c:v>
                  </c:pt>
                  <c:pt idx="1">
                    <c:v>256.37890082499553</c:v>
                  </c:pt>
                  <c:pt idx="2">
                    <c:v>357.17183406703191</c:v>
                  </c:pt>
                  <c:pt idx="3">
                    <c:v>182.19406825178507</c:v>
                  </c:pt>
                  <c:pt idx="4">
                    <c:v>606.68187243671559</c:v>
                  </c:pt>
                  <c:pt idx="5">
                    <c:v>1179.4324206370629</c:v>
                  </c:pt>
                  <c:pt idx="6">
                    <c:v>1208.2612901010448</c:v>
                  </c:pt>
                  <c:pt idx="7">
                    <c:v>922.26870010880009</c:v>
                  </c:pt>
                  <c:pt idx="8">
                    <c:v>628.36730521935669</c:v>
                  </c:pt>
                  <c:pt idx="9">
                    <c:v>652.85908812681032</c:v>
                  </c:pt>
                  <c:pt idx="10">
                    <c:v>551.8304836335642</c:v>
                  </c:pt>
                  <c:pt idx="11">
                    <c:v>445.85017291438413</c:v>
                  </c:pt>
                  <c:pt idx="12">
                    <c:v>486.84757257617514</c:v>
                  </c:pt>
                  <c:pt idx="13">
                    <c:v>428.17164127290954</c:v>
                  </c:pt>
                  <c:pt idx="14">
                    <c:v>547.75299855009939</c:v>
                  </c:pt>
                  <c:pt idx="15">
                    <c:v>737.88275292347907</c:v>
                  </c:pt>
                  <c:pt idx="16">
                    <c:v>677.99922358704953</c:v>
                  </c:pt>
                  <c:pt idx="17">
                    <c:v>797.13633971484808</c:v>
                  </c:pt>
                  <c:pt idx="18">
                    <c:v>894.89079159366759</c:v>
                  </c:pt>
                  <c:pt idx="19">
                    <c:v>904.4701852657854</c:v>
                  </c:pt>
                  <c:pt idx="20">
                    <c:v>2129.4289168785053</c:v>
                  </c:pt>
                  <c:pt idx="21">
                    <c:v>4135.9282061054582</c:v>
                  </c:pt>
                  <c:pt idx="22">
                    <c:v>4023.5521104589061</c:v>
                  </c:pt>
                  <c:pt idx="23">
                    <c:v>2812.9280378182384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harvest'!$Q$78:$Q$101</c:f>
              <c:numCache>
                <c:formatCode>_(* #,##0_);_(* \(#,##0\);_(* "-"??_);_(@_)</c:formatCode>
                <c:ptCount val="24"/>
                <c:pt idx="0">
                  <c:v>275.6918168798851</c:v>
                </c:pt>
                <c:pt idx="1">
                  <c:v>412.52474982033687</c:v>
                </c:pt>
                <c:pt idx="2">
                  <c:v>388.29833363364099</c:v>
                </c:pt>
                <c:pt idx="3">
                  <c:v>284.7580707236225</c:v>
                </c:pt>
                <c:pt idx="4">
                  <c:v>659.55245527199872</c:v>
                </c:pt>
                <c:pt idx="5">
                  <c:v>1282.2165688488017</c:v>
                </c:pt>
                <c:pt idx="6">
                  <c:v>1313.5577914920882</c:v>
                </c:pt>
                <c:pt idx="7">
                  <c:v>1002.64176863258</c:v>
                </c:pt>
                <c:pt idx="8">
                  <c:v>683.12771124261269</c:v>
                </c:pt>
                <c:pt idx="9">
                  <c:v>709.75388269177665</c:v>
                </c:pt>
                <c:pt idx="10">
                  <c:v>599.92092546397532</c:v>
                </c:pt>
                <c:pt idx="11">
                  <c:v>658.52618856921674</c:v>
                </c:pt>
                <c:pt idx="12">
                  <c:v>784.15580381144264</c:v>
                </c:pt>
                <c:pt idx="13">
                  <c:v>715.85500316051605</c:v>
                </c:pt>
                <c:pt idx="14">
                  <c:v>988.87800050254634</c:v>
                </c:pt>
                <c:pt idx="15">
                  <c:v>1223.5584078171398</c:v>
                </c:pt>
                <c:pt idx="16">
                  <c:v>1441.9465989456419</c:v>
                </c:pt>
                <c:pt idx="17">
                  <c:v>1584.2737280562849</c:v>
                </c:pt>
                <c:pt idx="18">
                  <c:v>2011.8733356759212</c:v>
                </c:pt>
                <c:pt idx="19">
                  <c:v>1941.7150861777525</c:v>
                </c:pt>
                <c:pt idx="20">
                  <c:v>4508.4196775114706</c:v>
                </c:pt>
                <c:pt idx="21">
                  <c:v>8890.2014370900124</c:v>
                </c:pt>
                <c:pt idx="22">
                  <c:v>7999.4968588578849</c:v>
                </c:pt>
                <c:pt idx="23">
                  <c:v>5695.7899383789882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A-48CF-85B0-716EFEE0C89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harvest'!$Y$78:$Y$101</c:f>
                <c:numCache>
                  <c:formatCode>General</c:formatCode>
                  <c:ptCount val="24"/>
                  <c:pt idx="0">
                    <c:v>306.49559335212905</c:v>
                  </c:pt>
                  <c:pt idx="1">
                    <c:v>320.66974525594486</c:v>
                  </c:pt>
                  <c:pt idx="2">
                    <c:v>461.12247252964625</c:v>
                  </c:pt>
                  <c:pt idx="3">
                    <c:v>245.95931875627616</c:v>
                  </c:pt>
                  <c:pt idx="4">
                    <c:v>787.21722099851479</c:v>
                  </c:pt>
                  <c:pt idx="5">
                    <c:v>1310.786406121252</c:v>
                  </c:pt>
                  <c:pt idx="6">
                    <c:v>1610.125204643854</c:v>
                  </c:pt>
                  <c:pt idx="7">
                    <c:v>1018.9597815583799</c:v>
                  </c:pt>
                  <c:pt idx="8">
                    <c:v>825.71840179890398</c:v>
                  </c:pt>
                  <c:pt idx="9">
                    <c:v>862.13356992097977</c:v>
                  </c:pt>
                  <c:pt idx="10">
                    <c:v>729.80644879011948</c:v>
                  </c:pt>
                  <c:pt idx="11">
                    <c:v>569.53680298401605</c:v>
                  </c:pt>
                  <c:pt idx="12">
                    <c:v>511.37500625048318</c:v>
                  </c:pt>
                  <c:pt idx="13">
                    <c:v>505.97116646540269</c:v>
                  </c:pt>
                  <c:pt idx="14">
                    <c:v>592.96328682613921</c:v>
                  </c:pt>
                  <c:pt idx="15">
                    <c:v>897.66614714405864</c:v>
                  </c:pt>
                  <c:pt idx="16">
                    <c:v>762.53675916120233</c:v>
                  </c:pt>
                  <c:pt idx="17">
                    <c:v>1075.7386665934835</c:v>
                  </c:pt>
                  <c:pt idx="18">
                    <c:v>1252.3658269757334</c:v>
                  </c:pt>
                  <c:pt idx="19">
                    <c:v>1230.7276913976154</c:v>
                  </c:pt>
                  <c:pt idx="20">
                    <c:v>2239.6355947535267</c:v>
                  </c:pt>
                  <c:pt idx="21">
                    <c:v>4198.2428374679212</c:v>
                  </c:pt>
                  <c:pt idx="22">
                    <c:v>4063.4604838517844</c:v>
                  </c:pt>
                  <c:pt idx="23">
                    <c:v>2973.4729647903696</c:v>
                  </c:pt>
                </c:numCache>
              </c:numRef>
            </c:plus>
            <c:minus>
              <c:numRef>
                <c:f>'BRF harvest'!$Y$78:$Y$101</c:f>
                <c:numCache>
                  <c:formatCode>General</c:formatCode>
                  <c:ptCount val="24"/>
                  <c:pt idx="0">
                    <c:v>306.49559335212905</c:v>
                  </c:pt>
                  <c:pt idx="1">
                    <c:v>320.66974525594486</c:v>
                  </c:pt>
                  <c:pt idx="2">
                    <c:v>461.12247252964625</c:v>
                  </c:pt>
                  <c:pt idx="3">
                    <c:v>245.95931875627616</c:v>
                  </c:pt>
                  <c:pt idx="4">
                    <c:v>787.21722099851479</c:v>
                  </c:pt>
                  <c:pt idx="5">
                    <c:v>1310.786406121252</c:v>
                  </c:pt>
                  <c:pt idx="6">
                    <c:v>1610.125204643854</c:v>
                  </c:pt>
                  <c:pt idx="7">
                    <c:v>1018.9597815583799</c:v>
                  </c:pt>
                  <c:pt idx="8">
                    <c:v>825.71840179890398</c:v>
                  </c:pt>
                  <c:pt idx="9">
                    <c:v>862.13356992097977</c:v>
                  </c:pt>
                  <c:pt idx="10">
                    <c:v>729.80644879011948</c:v>
                  </c:pt>
                  <c:pt idx="11">
                    <c:v>569.53680298401605</c:v>
                  </c:pt>
                  <c:pt idx="12">
                    <c:v>511.37500625048318</c:v>
                  </c:pt>
                  <c:pt idx="13">
                    <c:v>505.97116646540269</c:v>
                  </c:pt>
                  <c:pt idx="14">
                    <c:v>592.96328682613921</c:v>
                  </c:pt>
                  <c:pt idx="15">
                    <c:v>897.66614714405864</c:v>
                  </c:pt>
                  <c:pt idx="16">
                    <c:v>762.53675916120233</c:v>
                  </c:pt>
                  <c:pt idx="17">
                    <c:v>1075.7386665934835</c:v>
                  </c:pt>
                  <c:pt idx="18">
                    <c:v>1252.3658269757334</c:v>
                  </c:pt>
                  <c:pt idx="19">
                    <c:v>1230.7276913976154</c:v>
                  </c:pt>
                  <c:pt idx="20">
                    <c:v>2239.6355947535267</c:v>
                  </c:pt>
                  <c:pt idx="21">
                    <c:v>4198.2428374679212</c:v>
                  </c:pt>
                  <c:pt idx="22">
                    <c:v>4063.4604838517844</c:v>
                  </c:pt>
                  <c:pt idx="23">
                    <c:v>2973.4729647903696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harvest'!$V$78:$V$101</c:f>
              <c:numCache>
                <c:formatCode>_(* #,##0_);_(* \(#,##0\);_(* "-"??_);_(@_)</c:formatCode>
                <c:ptCount val="24"/>
                <c:pt idx="0">
                  <c:v>578.53455141688505</c:v>
                </c:pt>
                <c:pt idx="1">
                  <c:v>751.39027159133684</c:v>
                </c:pt>
                <c:pt idx="2">
                  <c:v>901.41361690864096</c:v>
                </c:pt>
                <c:pt idx="3">
                  <c:v>575.45358630962255</c:v>
                </c:pt>
                <c:pt idx="4">
                  <c:v>1542.1107425049988</c:v>
                </c:pt>
                <c:pt idx="5">
                  <c:v>3814.0819528108018</c:v>
                </c:pt>
                <c:pt idx="6">
                  <c:v>3185.9049884220885</c:v>
                </c:pt>
                <c:pt idx="7">
                  <c:v>2621.0288637325798</c:v>
                </c:pt>
                <c:pt idx="8">
                  <c:v>1625.5843539926127</c:v>
                </c:pt>
                <c:pt idx="9">
                  <c:v>1700.3805316267767</c:v>
                </c:pt>
                <c:pt idx="10">
                  <c:v>1440.1733811779754</c:v>
                </c:pt>
                <c:pt idx="11">
                  <c:v>1792.3410035812167</c:v>
                </c:pt>
                <c:pt idx="12">
                  <c:v>1634.3614113184426</c:v>
                </c:pt>
                <c:pt idx="13">
                  <c:v>1656.0989067905161</c:v>
                </c:pt>
                <c:pt idx="14">
                  <c:v>1745.7990518365464</c:v>
                </c:pt>
                <c:pt idx="15">
                  <c:v>3000.9497101971401</c:v>
                </c:pt>
                <c:pt idx="16">
                  <c:v>3207.5013932866418</c:v>
                </c:pt>
                <c:pt idx="17">
                  <c:v>4097.416587712285</c:v>
                </c:pt>
                <c:pt idx="18">
                  <c:v>5660.4828550359216</c:v>
                </c:pt>
                <c:pt idx="19">
                  <c:v>6473.9448151017532</c:v>
                </c:pt>
                <c:pt idx="20">
                  <c:v>10351.34650619547</c:v>
                </c:pt>
                <c:pt idx="21">
                  <c:v>20951.001437090013</c:v>
                </c:pt>
                <c:pt idx="22">
                  <c:v>15439.775004553248</c:v>
                </c:pt>
                <c:pt idx="23">
                  <c:v>16783.41620100525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A-48CF-85B0-716EFEE0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harvest'!$K$103:$K$126</c:f>
                <c:numCache>
                  <c:formatCode>General</c:formatCode>
                  <c:ptCount val="24"/>
                  <c:pt idx="0">
                    <c:v>7.6767658997132386</c:v>
                  </c:pt>
                  <c:pt idx="1">
                    <c:v>10.235687866284318</c:v>
                  </c:pt>
                  <c:pt idx="2">
                    <c:v>38.895613891880409</c:v>
                  </c:pt>
                  <c:pt idx="3">
                    <c:v>23.644438971116774</c:v>
                  </c:pt>
                  <c:pt idx="4">
                    <c:v>27.534000360304812</c:v>
                  </c:pt>
                  <c:pt idx="5">
                    <c:v>98.672031030980818</c:v>
                  </c:pt>
                  <c:pt idx="6">
                    <c:v>68.783822461430617</c:v>
                  </c:pt>
                  <c:pt idx="7">
                    <c:v>109.93128768389357</c:v>
                  </c:pt>
                  <c:pt idx="8">
                    <c:v>138.79592746681533</c:v>
                  </c:pt>
                  <c:pt idx="9">
                    <c:v>338.80126837401087</c:v>
                  </c:pt>
                  <c:pt idx="10">
                    <c:v>214.74473143464499</c:v>
                  </c:pt>
                  <c:pt idx="11">
                    <c:v>0</c:v>
                  </c:pt>
                  <c:pt idx="12">
                    <c:v>170.2194892163082</c:v>
                  </c:pt>
                  <c:pt idx="13">
                    <c:v>189.66729616224839</c:v>
                  </c:pt>
                  <c:pt idx="14">
                    <c:v>328.56558050772662</c:v>
                  </c:pt>
                  <c:pt idx="15">
                    <c:v>213.00466449737664</c:v>
                  </c:pt>
                  <c:pt idx="16">
                    <c:v>346.47803427372418</c:v>
                  </c:pt>
                  <c:pt idx="17">
                    <c:v>269.71037527659172</c:v>
                  </c:pt>
                  <c:pt idx="18">
                    <c:v>274.44632161264371</c:v>
                  </c:pt>
                  <c:pt idx="19">
                    <c:v>188.00532798848218</c:v>
                  </c:pt>
                  <c:pt idx="20">
                    <c:v>377.6968822658913</c:v>
                  </c:pt>
                  <c:pt idx="21">
                    <c:v>569.95255807052604</c:v>
                  </c:pt>
                  <c:pt idx="22">
                    <c:v>146.9844777598428</c:v>
                  </c:pt>
                  <c:pt idx="23">
                    <c:v>276.15885863235087</c:v>
                  </c:pt>
                </c:numCache>
              </c:numRef>
            </c:plus>
            <c:minus>
              <c:numRef>
                <c:f>'BRF harvest'!$K$103:$K$126</c:f>
                <c:numCache>
                  <c:formatCode>General</c:formatCode>
                  <c:ptCount val="24"/>
                  <c:pt idx="0">
                    <c:v>7.6767658997132386</c:v>
                  </c:pt>
                  <c:pt idx="1">
                    <c:v>10.235687866284318</c:v>
                  </c:pt>
                  <c:pt idx="2">
                    <c:v>38.895613891880409</c:v>
                  </c:pt>
                  <c:pt idx="3">
                    <c:v>23.644438971116774</c:v>
                  </c:pt>
                  <c:pt idx="4">
                    <c:v>27.534000360304812</c:v>
                  </c:pt>
                  <c:pt idx="5">
                    <c:v>98.672031030980818</c:v>
                  </c:pt>
                  <c:pt idx="6">
                    <c:v>68.783822461430617</c:v>
                  </c:pt>
                  <c:pt idx="7">
                    <c:v>109.93128768389357</c:v>
                  </c:pt>
                  <c:pt idx="8">
                    <c:v>138.79592746681533</c:v>
                  </c:pt>
                  <c:pt idx="9">
                    <c:v>338.80126837401087</c:v>
                  </c:pt>
                  <c:pt idx="10">
                    <c:v>214.74473143464499</c:v>
                  </c:pt>
                  <c:pt idx="11">
                    <c:v>0</c:v>
                  </c:pt>
                  <c:pt idx="12">
                    <c:v>170.2194892163082</c:v>
                  </c:pt>
                  <c:pt idx="13">
                    <c:v>189.66729616224839</c:v>
                  </c:pt>
                  <c:pt idx="14">
                    <c:v>328.56558050772662</c:v>
                  </c:pt>
                  <c:pt idx="15">
                    <c:v>213.00466449737664</c:v>
                  </c:pt>
                  <c:pt idx="16">
                    <c:v>346.47803427372418</c:v>
                  </c:pt>
                  <c:pt idx="17">
                    <c:v>269.71037527659172</c:v>
                  </c:pt>
                  <c:pt idx="18">
                    <c:v>274.44632161264371</c:v>
                  </c:pt>
                  <c:pt idx="19">
                    <c:v>188.00532798848218</c:v>
                  </c:pt>
                  <c:pt idx="20">
                    <c:v>377.6968822658913</c:v>
                  </c:pt>
                  <c:pt idx="21">
                    <c:v>569.95255807052604</c:v>
                  </c:pt>
                  <c:pt idx="22">
                    <c:v>146.9844777598428</c:v>
                  </c:pt>
                  <c:pt idx="23">
                    <c:v>276.15885863235087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harvest'!$H$103:$H$126</c:f>
              <c:numCache>
                <c:formatCode>0</c:formatCode>
                <c:ptCount val="24"/>
                <c:pt idx="0">
                  <c:v>70.673076899999998</c:v>
                </c:pt>
                <c:pt idx="1">
                  <c:v>94.230769199999997</c:v>
                </c:pt>
                <c:pt idx="2">
                  <c:v>358.07692295999999</c:v>
                </c:pt>
                <c:pt idx="3">
                  <c:v>217.67307685200001</c:v>
                </c:pt>
                <c:pt idx="4">
                  <c:v>253.48076914799998</c:v>
                </c:pt>
                <c:pt idx="5">
                  <c:v>908.38461508799992</c:v>
                </c:pt>
                <c:pt idx="6">
                  <c:v>633.23076902399998</c:v>
                </c:pt>
                <c:pt idx="7">
                  <c:v>1012.0384612079999</c:v>
                </c:pt>
                <c:pt idx="8">
                  <c:v>1277.769230352</c:v>
                </c:pt>
                <c:pt idx="9">
                  <c:v>3119.0384605199997</c:v>
                </c:pt>
                <c:pt idx="10">
                  <c:v>1976.9615378159999</c:v>
                </c:pt>
                <c:pt idx="11">
                  <c:v>2247</c:v>
                </c:pt>
                <c:pt idx="12">
                  <c:v>1567.057691796</c:v>
                </c:pt>
                <c:pt idx="13">
                  <c:v>1746.096153276</c:v>
                </c:pt>
                <c:pt idx="14">
                  <c:v>3024.8076913199998</c:v>
                </c:pt>
                <c:pt idx="15">
                  <c:v>1960.9423070519999</c:v>
                </c:pt>
                <c:pt idx="16">
                  <c:v>3189.7115374199998</c:v>
                </c:pt>
                <c:pt idx="17">
                  <c:v>2482.98076842</c:v>
                </c:pt>
                <c:pt idx="18">
                  <c:v>3065.846154368</c:v>
                </c:pt>
                <c:pt idx="19">
                  <c:v>3578.7692304709999</c:v>
                </c:pt>
                <c:pt idx="20">
                  <c:v>3477.1153834799998</c:v>
                </c:pt>
                <c:pt idx="21">
                  <c:v>5242.9999982879999</c:v>
                </c:pt>
                <c:pt idx="22">
                  <c:v>1353.153845712</c:v>
                </c:pt>
                <c:pt idx="23">
                  <c:v>2542.3461530159998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0-4250-AFE3-7ABEC689228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harvest'!$T$103:$T$126</c:f>
                <c:numCache>
                  <c:formatCode>General</c:formatCode>
                  <c:ptCount val="24"/>
                  <c:pt idx="0">
                    <c:v>30.602723588140002</c:v>
                  </c:pt>
                  <c:pt idx="1">
                    <c:v>20.074673587691315</c:v>
                  </c:pt>
                  <c:pt idx="2">
                    <c:v>73.18834178715457</c:v>
                  </c:pt>
                  <c:pt idx="3">
                    <c:v>56.881557412881541</c:v>
                  </c:pt>
                  <c:pt idx="4">
                    <c:v>45.178670651911077</c:v>
                  </c:pt>
                  <c:pt idx="5">
                    <c:v>172.52087960183246</c:v>
                  </c:pt>
                  <c:pt idx="6">
                    <c:v>132.44797595483612</c:v>
                  </c:pt>
                  <c:pt idx="7">
                    <c:v>237.48526340585278</c:v>
                  </c:pt>
                  <c:pt idx="8">
                    <c:v>281.55530453583248</c:v>
                  </c:pt>
                  <c:pt idx="9">
                    <c:v>724.16725741633718</c:v>
                  </c:pt>
                  <c:pt idx="10">
                    <c:v>373.10340170312429</c:v>
                  </c:pt>
                  <c:pt idx="11">
                    <c:v>299.07082290123122</c:v>
                  </c:pt>
                  <c:pt idx="12">
                    <c:v>445.47594315528517</c:v>
                  </c:pt>
                  <c:pt idx="13">
                    <c:v>57.284836053926313</c:v>
                  </c:pt>
                  <c:pt idx="14">
                    <c:v>231.9836336181182</c:v>
                  </c:pt>
                  <c:pt idx="15">
                    <c:v>401.90393694704102</c:v>
                  </c:pt>
                  <c:pt idx="16">
                    <c:v>235.20063817300058</c:v>
                  </c:pt>
                  <c:pt idx="17">
                    <c:v>861.40031449275011</c:v>
                  </c:pt>
                  <c:pt idx="18">
                    <c:v>479.78925329160836</c:v>
                  </c:pt>
                  <c:pt idx="19">
                    <c:v>1107.6772372923663</c:v>
                  </c:pt>
                  <c:pt idx="20">
                    <c:v>288.74501356842819</c:v>
                  </c:pt>
                  <c:pt idx="21">
                    <c:v>2150.2932333618787</c:v>
                  </c:pt>
                  <c:pt idx="22">
                    <c:v>202.98068709562571</c:v>
                  </c:pt>
                  <c:pt idx="23">
                    <c:v>327.28933408444703</c:v>
                  </c:pt>
                </c:numCache>
              </c:numRef>
            </c:plus>
            <c:minus>
              <c:numRef>
                <c:f>'BRF harvest'!$T$103:$T$126</c:f>
                <c:numCache>
                  <c:formatCode>General</c:formatCode>
                  <c:ptCount val="24"/>
                  <c:pt idx="0">
                    <c:v>30.602723588140002</c:v>
                  </c:pt>
                  <c:pt idx="1">
                    <c:v>20.074673587691315</c:v>
                  </c:pt>
                  <c:pt idx="2">
                    <c:v>73.18834178715457</c:v>
                  </c:pt>
                  <c:pt idx="3">
                    <c:v>56.881557412881541</c:v>
                  </c:pt>
                  <c:pt idx="4">
                    <c:v>45.178670651911077</c:v>
                  </c:pt>
                  <c:pt idx="5">
                    <c:v>172.52087960183246</c:v>
                  </c:pt>
                  <c:pt idx="6">
                    <c:v>132.44797595483612</c:v>
                  </c:pt>
                  <c:pt idx="7">
                    <c:v>237.48526340585278</c:v>
                  </c:pt>
                  <c:pt idx="8">
                    <c:v>281.55530453583248</c:v>
                  </c:pt>
                  <c:pt idx="9">
                    <c:v>724.16725741633718</c:v>
                  </c:pt>
                  <c:pt idx="10">
                    <c:v>373.10340170312429</c:v>
                  </c:pt>
                  <c:pt idx="11">
                    <c:v>299.07082290123122</c:v>
                  </c:pt>
                  <c:pt idx="12">
                    <c:v>445.47594315528517</c:v>
                  </c:pt>
                  <c:pt idx="13">
                    <c:v>57.284836053926313</c:v>
                  </c:pt>
                  <c:pt idx="14">
                    <c:v>231.9836336181182</c:v>
                  </c:pt>
                  <c:pt idx="15">
                    <c:v>401.90393694704102</c:v>
                  </c:pt>
                  <c:pt idx="16">
                    <c:v>235.20063817300058</c:v>
                  </c:pt>
                  <c:pt idx="17">
                    <c:v>861.40031449275011</c:v>
                  </c:pt>
                  <c:pt idx="18">
                    <c:v>479.78925329160836</c:v>
                  </c:pt>
                  <c:pt idx="19">
                    <c:v>1107.6772372923663</c:v>
                  </c:pt>
                  <c:pt idx="20">
                    <c:v>288.74501356842819</c:v>
                  </c:pt>
                  <c:pt idx="21">
                    <c:v>2150.2932333618787</c:v>
                  </c:pt>
                  <c:pt idx="22">
                    <c:v>202.98068709562571</c:v>
                  </c:pt>
                  <c:pt idx="23">
                    <c:v>327.28933408444703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harvest'!$Q$103:$Q$126</c:f>
              <c:numCache>
                <c:formatCode>_(* #,##0_);_(* \(#,##0\);_(* "-"??_);_(@_)</c:formatCode>
                <c:ptCount val="24"/>
                <c:pt idx="0">
                  <c:v>18.423596270685824</c:v>
                </c:pt>
                <c:pt idx="1">
                  <c:v>11.897942718934321</c:v>
                </c:pt>
                <c:pt idx="2">
                  <c:v>43.377847821363204</c:v>
                </c:pt>
                <c:pt idx="3">
                  <c:v>33.708805238764896</c:v>
                </c:pt>
                <c:pt idx="4">
                  <c:v>26.766908305576372</c:v>
                </c:pt>
                <c:pt idx="5">
                  <c:v>102.24773954088243</c:v>
                </c:pt>
                <c:pt idx="6">
                  <c:v>78.491553107449604</c:v>
                </c:pt>
                <c:pt idx="7">
                  <c:v>140.76757435958791</c:v>
                </c:pt>
                <c:pt idx="8">
                  <c:v>166.85460479729193</c:v>
                </c:pt>
                <c:pt idx="9">
                  <c:v>429.23283044853986</c:v>
                </c:pt>
                <c:pt idx="10">
                  <c:v>220.97150207576996</c:v>
                </c:pt>
                <c:pt idx="11">
                  <c:v>176.94602449879943</c:v>
                </c:pt>
                <c:pt idx="12">
                  <c:v>263.58708391158035</c:v>
                </c:pt>
                <c:pt idx="13">
                  <c:v>36.965090347942919</c:v>
                </c:pt>
                <c:pt idx="14">
                  <c:v>205.94427993966715</c:v>
                </c:pt>
                <c:pt idx="15">
                  <c:v>235.23931021352575</c:v>
                </c:pt>
                <c:pt idx="16">
                  <c:v>195.12849864347677</c:v>
                </c:pt>
                <c:pt idx="17">
                  <c:v>681.97695877841613</c:v>
                </c:pt>
                <c:pt idx="18">
                  <c:v>348.92785255772304</c:v>
                </c:pt>
                <c:pt idx="19">
                  <c:v>964.07195539899681</c:v>
                </c:pt>
                <c:pt idx="20">
                  <c:v>229.48988404246077</c:v>
                </c:pt>
                <c:pt idx="21">
                  <c:v>1438.884216275259</c:v>
                </c:pt>
                <c:pt idx="22">
                  <c:v>205.88570936823143</c:v>
                </c:pt>
                <c:pt idx="23">
                  <c:v>404.18736033691874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0-4250-AFE3-7ABEC689228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harvest'!$Y$103:$Y$126</c:f>
                <c:numCache>
                  <c:formatCode>General</c:formatCode>
                  <c:ptCount val="24"/>
                  <c:pt idx="0">
                    <c:v>31.55090213751582</c:v>
                  </c:pt>
                  <c:pt idx="1">
                    <c:v>22.533571082905418</c:v>
                  </c:pt>
                  <c:pt idx="2">
                    <c:v>82.881856600703614</c:v>
                  </c:pt>
                  <c:pt idx="3">
                    <c:v>61.600089837384211</c:v>
                  </c:pt>
                  <c:pt idx="4">
                    <c:v>52.907782581725314</c:v>
                  </c:pt>
                  <c:pt idx="5">
                    <c:v>198.74512222031717</c:v>
                  </c:pt>
                  <c:pt idx="6">
                    <c:v>149.24369523346186</c:v>
                  </c:pt>
                  <c:pt idx="7">
                    <c:v>261.69474268083081</c:v>
                  </c:pt>
                  <c:pt idx="8">
                    <c:v>313.90715027478888</c:v>
                  </c:pt>
                  <c:pt idx="9">
                    <c:v>799.50266801664782</c:v>
                  </c:pt>
                  <c:pt idx="10">
                    <c:v>430.48977693016207</c:v>
                  </c:pt>
                  <c:pt idx="11">
                    <c:v>299.07082290123122</c:v>
                  </c:pt>
                  <c:pt idx="12">
                    <c:v>476.88939015158616</c:v>
                  </c:pt>
                  <c:pt idx="13">
                    <c:v>198.12934077320114</c:v>
                  </c:pt>
                  <c:pt idx="14">
                    <c:v>402.20858638403615</c:v>
                  </c:pt>
                  <c:pt idx="15">
                    <c:v>454.86015612622208</c:v>
                  </c:pt>
                  <c:pt idx="16">
                    <c:v>418.76767835062282</c:v>
                  </c:pt>
                  <c:pt idx="17">
                    <c:v>902.63735150948014</c:v>
                  </c:pt>
                  <c:pt idx="18">
                    <c:v>552.73728933448103</c:v>
                  </c:pt>
                  <c:pt idx="19">
                    <c:v>1123.5189652906204</c:v>
                  </c:pt>
                  <c:pt idx="20">
                    <c:v>475.42467093537158</c:v>
                  </c:pt>
                  <c:pt idx="21">
                    <c:v>2224.5464499292925</c:v>
                  </c:pt>
                  <c:pt idx="22">
                    <c:v>250.61044678174537</c:v>
                  </c:pt>
                  <c:pt idx="23">
                    <c:v>428.23127327013793</c:v>
                  </c:pt>
                </c:numCache>
              </c:numRef>
            </c:plus>
            <c:minus>
              <c:numRef>
                <c:f>'BRF harvest'!$Y$103:$Y$126</c:f>
                <c:numCache>
                  <c:formatCode>General</c:formatCode>
                  <c:ptCount val="24"/>
                  <c:pt idx="0">
                    <c:v>31.55090213751582</c:v>
                  </c:pt>
                  <c:pt idx="1">
                    <c:v>22.533571082905418</c:v>
                  </c:pt>
                  <c:pt idx="2">
                    <c:v>82.881856600703614</c:v>
                  </c:pt>
                  <c:pt idx="3">
                    <c:v>61.600089837384211</c:v>
                  </c:pt>
                  <c:pt idx="4">
                    <c:v>52.907782581725314</c:v>
                  </c:pt>
                  <c:pt idx="5">
                    <c:v>198.74512222031717</c:v>
                  </c:pt>
                  <c:pt idx="6">
                    <c:v>149.24369523346186</c:v>
                  </c:pt>
                  <c:pt idx="7">
                    <c:v>261.69474268083081</c:v>
                  </c:pt>
                  <c:pt idx="8">
                    <c:v>313.90715027478888</c:v>
                  </c:pt>
                  <c:pt idx="9">
                    <c:v>799.50266801664782</c:v>
                  </c:pt>
                  <c:pt idx="10">
                    <c:v>430.48977693016207</c:v>
                  </c:pt>
                  <c:pt idx="11">
                    <c:v>299.07082290123122</c:v>
                  </c:pt>
                  <c:pt idx="12">
                    <c:v>476.88939015158616</c:v>
                  </c:pt>
                  <c:pt idx="13">
                    <c:v>198.12934077320114</c:v>
                  </c:pt>
                  <c:pt idx="14">
                    <c:v>402.20858638403615</c:v>
                  </c:pt>
                  <c:pt idx="15">
                    <c:v>454.86015612622208</c:v>
                  </c:pt>
                  <c:pt idx="16">
                    <c:v>418.76767835062282</c:v>
                  </c:pt>
                  <c:pt idx="17">
                    <c:v>902.63735150948014</c:v>
                  </c:pt>
                  <c:pt idx="18">
                    <c:v>552.73728933448103</c:v>
                  </c:pt>
                  <c:pt idx="19">
                    <c:v>1123.5189652906204</c:v>
                  </c:pt>
                  <c:pt idx="20">
                    <c:v>475.42467093537158</c:v>
                  </c:pt>
                  <c:pt idx="21">
                    <c:v>2224.5464499292925</c:v>
                  </c:pt>
                  <c:pt idx="22">
                    <c:v>250.61044678174537</c:v>
                  </c:pt>
                  <c:pt idx="23">
                    <c:v>428.23127327013793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harvest'!$V$103:$V$126</c:f>
              <c:numCache>
                <c:formatCode>_(* #,##0_);_(* \(#,##0\);_(* "-"??_);_(@_)</c:formatCode>
                <c:ptCount val="24"/>
                <c:pt idx="0">
                  <c:v>89.096673170685818</c:v>
                </c:pt>
                <c:pt idx="1">
                  <c:v>106.12871191893431</c:v>
                </c:pt>
                <c:pt idx="2">
                  <c:v>401.45477078136321</c:v>
                </c:pt>
                <c:pt idx="3">
                  <c:v>251.38188209076492</c:v>
                </c:pt>
                <c:pt idx="4">
                  <c:v>280.24767745357633</c:v>
                </c:pt>
                <c:pt idx="5">
                  <c:v>1010.6323546288824</c:v>
                </c:pt>
                <c:pt idx="6">
                  <c:v>711.72232213144957</c:v>
                </c:pt>
                <c:pt idx="7">
                  <c:v>1152.806035567588</c:v>
                </c:pt>
                <c:pt idx="8">
                  <c:v>1444.6238351492921</c:v>
                </c:pt>
                <c:pt idx="9">
                  <c:v>3548.2712909685397</c:v>
                </c:pt>
                <c:pt idx="10">
                  <c:v>2197.93303989177</c:v>
                </c:pt>
                <c:pt idx="11">
                  <c:v>2423.9460244987995</c:v>
                </c:pt>
                <c:pt idx="12">
                  <c:v>1830.6447757075803</c:v>
                </c:pt>
                <c:pt idx="13">
                  <c:v>1783.061243623943</c:v>
                </c:pt>
                <c:pt idx="14">
                  <c:v>3230.7519712596668</c:v>
                </c:pt>
                <c:pt idx="15">
                  <c:v>2196.1816172655258</c:v>
                </c:pt>
                <c:pt idx="16">
                  <c:v>3384.8400360634764</c:v>
                </c:pt>
                <c:pt idx="17">
                  <c:v>3164.9577271984163</c:v>
                </c:pt>
                <c:pt idx="18">
                  <c:v>3414.7740069257229</c:v>
                </c:pt>
                <c:pt idx="19">
                  <c:v>4542.8411858699965</c:v>
                </c:pt>
                <c:pt idx="20">
                  <c:v>3706.6052675224605</c:v>
                </c:pt>
                <c:pt idx="21">
                  <c:v>6681.8842145632589</c:v>
                </c:pt>
                <c:pt idx="22">
                  <c:v>1559.0395550802314</c:v>
                </c:pt>
                <c:pt idx="23">
                  <c:v>2946.5335133529184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0-4250-AFE3-7ABEC689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harvest'!$K$128:$K$151</c:f>
                <c:numCache>
                  <c:formatCode>General</c:formatCode>
                  <c:ptCount val="24"/>
                  <c:pt idx="0">
                    <c:v>243.110236879897</c:v>
                  </c:pt>
                  <c:pt idx="1">
                    <c:v>259.47367043792855</c:v>
                  </c:pt>
                  <c:pt idx="2">
                    <c:v>690.47569504688556</c:v>
                  </c:pt>
                  <c:pt idx="3">
                    <c:v>812.1501510027141</c:v>
                  </c:pt>
                  <c:pt idx="4">
                    <c:v>650.34919656852094</c:v>
                  </c:pt>
                  <c:pt idx="5">
                    <c:v>366.96053648018926</c:v>
                  </c:pt>
                  <c:pt idx="6">
                    <c:v>370.26295316124862</c:v>
                  </c:pt>
                  <c:pt idx="7">
                    <c:v>540.78028066060449</c:v>
                  </c:pt>
                  <c:pt idx="8">
                    <c:v>356.95733926716571</c:v>
                  </c:pt>
                  <c:pt idx="9">
                    <c:v>313.78054453631535</c:v>
                  </c:pt>
                  <c:pt idx="10">
                    <c:v>357.41021605326358</c:v>
                  </c:pt>
                  <c:pt idx="11">
                    <c:v>494.52981872341252</c:v>
                  </c:pt>
                  <c:pt idx="12">
                    <c:v>488.67476890665239</c:v>
                  </c:pt>
                  <c:pt idx="13">
                    <c:v>738.38644849199682</c:v>
                  </c:pt>
                  <c:pt idx="14">
                    <c:v>536.56126109080219</c:v>
                  </c:pt>
                  <c:pt idx="15">
                    <c:v>613.26298463121964</c:v>
                  </c:pt>
                  <c:pt idx="16">
                    <c:v>825.47725536640371</c:v>
                  </c:pt>
                  <c:pt idx="17">
                    <c:v>1429.446500624427</c:v>
                  </c:pt>
                  <c:pt idx="18">
                    <c:v>991.81894762587945</c:v>
                  </c:pt>
                  <c:pt idx="19">
                    <c:v>1104.7197670102846</c:v>
                  </c:pt>
                  <c:pt idx="20">
                    <c:v>1069.0399380850442</c:v>
                  </c:pt>
                  <c:pt idx="21">
                    <c:v>1482.490774692609</c:v>
                  </c:pt>
                  <c:pt idx="22">
                    <c:v>1243.4122406773042</c:v>
                  </c:pt>
                  <c:pt idx="23">
                    <c:v>1707.5565366389119</c:v>
                  </c:pt>
                </c:numCache>
              </c:numRef>
            </c:plus>
            <c:minus>
              <c:numRef>
                <c:f>'BRF harvest'!$K$128:$K$151</c:f>
                <c:numCache>
                  <c:formatCode>General</c:formatCode>
                  <c:ptCount val="24"/>
                  <c:pt idx="0">
                    <c:v>243.110236879897</c:v>
                  </c:pt>
                  <c:pt idx="1">
                    <c:v>259.47367043792855</c:v>
                  </c:pt>
                  <c:pt idx="2">
                    <c:v>690.47569504688556</c:v>
                  </c:pt>
                  <c:pt idx="3">
                    <c:v>812.1501510027141</c:v>
                  </c:pt>
                  <c:pt idx="4">
                    <c:v>650.34919656852094</c:v>
                  </c:pt>
                  <c:pt idx="5">
                    <c:v>366.96053648018926</c:v>
                  </c:pt>
                  <c:pt idx="6">
                    <c:v>370.26295316124862</c:v>
                  </c:pt>
                  <c:pt idx="7">
                    <c:v>540.78028066060449</c:v>
                  </c:pt>
                  <c:pt idx="8">
                    <c:v>356.95733926716571</c:v>
                  </c:pt>
                  <c:pt idx="9">
                    <c:v>313.78054453631535</c:v>
                  </c:pt>
                  <c:pt idx="10">
                    <c:v>357.41021605326358</c:v>
                  </c:pt>
                  <c:pt idx="11">
                    <c:v>494.52981872341252</c:v>
                  </c:pt>
                  <c:pt idx="12">
                    <c:v>488.67476890665239</c:v>
                  </c:pt>
                  <c:pt idx="13">
                    <c:v>738.38644849199682</c:v>
                  </c:pt>
                  <c:pt idx="14">
                    <c:v>536.56126109080219</c:v>
                  </c:pt>
                  <c:pt idx="15">
                    <c:v>613.26298463121964</c:v>
                  </c:pt>
                  <c:pt idx="16">
                    <c:v>825.47725536640371</c:v>
                  </c:pt>
                  <c:pt idx="17">
                    <c:v>1429.446500624427</c:v>
                  </c:pt>
                  <c:pt idx="18">
                    <c:v>991.81894762587945</c:v>
                  </c:pt>
                  <c:pt idx="19">
                    <c:v>1104.7197670102846</c:v>
                  </c:pt>
                  <c:pt idx="20">
                    <c:v>1069.0399380850442</c:v>
                  </c:pt>
                  <c:pt idx="21">
                    <c:v>1482.490774692609</c:v>
                  </c:pt>
                  <c:pt idx="22">
                    <c:v>1243.4122406773042</c:v>
                  </c:pt>
                  <c:pt idx="23">
                    <c:v>1707.5565366389119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harvest'!$H$128:$H$151</c:f>
              <c:numCache>
                <c:formatCode>0</c:formatCode>
                <c:ptCount val="24"/>
                <c:pt idx="0">
                  <c:v>3485.6182219319999</c:v>
                </c:pt>
                <c:pt idx="1">
                  <c:v>7583.3427122439998</c:v>
                </c:pt>
                <c:pt idx="2">
                  <c:v>9410.6119258689996</c:v>
                </c:pt>
                <c:pt idx="3">
                  <c:v>16801.507358424002</c:v>
                </c:pt>
                <c:pt idx="4">
                  <c:v>13357.027691199999</c:v>
                </c:pt>
                <c:pt idx="5">
                  <c:v>12118.000419440999</c:v>
                </c:pt>
                <c:pt idx="6">
                  <c:v>14383.504666711999</c:v>
                </c:pt>
                <c:pt idx="7">
                  <c:v>16990.06519062</c:v>
                </c:pt>
                <c:pt idx="8">
                  <c:v>14566.863208508999</c:v>
                </c:pt>
                <c:pt idx="9">
                  <c:v>19027.768522644001</c:v>
                </c:pt>
                <c:pt idx="10">
                  <c:v>19910.015153412998</c:v>
                </c:pt>
                <c:pt idx="11">
                  <c:v>15301.186547171999</c:v>
                </c:pt>
                <c:pt idx="12">
                  <c:v>17841.668367857998</c:v>
                </c:pt>
                <c:pt idx="13">
                  <c:v>19601.142219919002</c:v>
                </c:pt>
                <c:pt idx="14">
                  <c:v>19557.619899768</c:v>
                </c:pt>
                <c:pt idx="15">
                  <c:v>20617.935552915002</c:v>
                </c:pt>
                <c:pt idx="16">
                  <c:v>26922.135536576003</c:v>
                </c:pt>
                <c:pt idx="17">
                  <c:v>32947.552201536004</c:v>
                </c:pt>
                <c:pt idx="18">
                  <c:v>41905.929899092996</c:v>
                </c:pt>
                <c:pt idx="19">
                  <c:v>26754.165087925001</c:v>
                </c:pt>
                <c:pt idx="20">
                  <c:v>34531.875709954002</c:v>
                </c:pt>
                <c:pt idx="21">
                  <c:v>42942.112430121</c:v>
                </c:pt>
                <c:pt idx="22">
                  <c:v>30981.696105202554</c:v>
                </c:pt>
                <c:pt idx="23">
                  <c:v>65561.885345001036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DFD-8833-0F2C984C7DE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harvest'!$T$128:$T$151</c:f>
                <c:numCache>
                  <c:formatCode>General</c:formatCode>
                  <c:ptCount val="24"/>
                  <c:pt idx="0">
                    <c:v>950.71822704473016</c:v>
                  </c:pt>
                  <c:pt idx="1">
                    <c:v>1306.6539373127443</c:v>
                  </c:pt>
                  <c:pt idx="2">
                    <c:v>2324.5279734083488</c:v>
                  </c:pt>
                  <c:pt idx="3">
                    <c:v>3658.5139476505633</c:v>
                  </c:pt>
                  <c:pt idx="4">
                    <c:v>3092.8959736217726</c:v>
                  </c:pt>
                  <c:pt idx="5">
                    <c:v>3207.563817852516</c:v>
                  </c:pt>
                  <c:pt idx="6">
                    <c:v>3299.0572193620537</c:v>
                  </c:pt>
                  <c:pt idx="7">
                    <c:v>3566.7119805120278</c:v>
                  </c:pt>
                  <c:pt idx="8">
                    <c:v>2853.551381692158</c:v>
                  </c:pt>
                  <c:pt idx="9">
                    <c:v>3936.9500717165938</c:v>
                  </c:pt>
                  <c:pt idx="10">
                    <c:v>4224.5159581097814</c:v>
                  </c:pt>
                  <c:pt idx="11">
                    <c:v>3478.967016416108</c:v>
                  </c:pt>
                  <c:pt idx="12">
                    <c:v>4306.7073693315888</c:v>
                  </c:pt>
                  <c:pt idx="13">
                    <c:v>2973.5756514711156</c:v>
                  </c:pt>
                  <c:pt idx="14">
                    <c:v>2009.1630647318491</c:v>
                  </c:pt>
                  <c:pt idx="15">
                    <c:v>3118.8966244689864</c:v>
                  </c:pt>
                  <c:pt idx="16">
                    <c:v>3550.8668556547259</c:v>
                  </c:pt>
                  <c:pt idx="17">
                    <c:v>3932.9239273127182</c:v>
                  </c:pt>
                  <c:pt idx="18">
                    <c:v>3174.4349336459272</c:v>
                  </c:pt>
                  <c:pt idx="19">
                    <c:v>2748.243974906396</c:v>
                  </c:pt>
                  <c:pt idx="20">
                    <c:v>2833.7403852327848</c:v>
                  </c:pt>
                  <c:pt idx="21">
                    <c:v>4142.2268293708548</c:v>
                  </c:pt>
                  <c:pt idx="22">
                    <c:v>2230.5098914725977</c:v>
                  </c:pt>
                  <c:pt idx="23">
                    <c:v>4586.1929267903442</c:v>
                  </c:pt>
                </c:numCache>
              </c:numRef>
            </c:plus>
            <c:minus>
              <c:numRef>
                <c:f>'BRF harvest'!$T$128:$T$151</c:f>
                <c:numCache>
                  <c:formatCode>General</c:formatCode>
                  <c:ptCount val="24"/>
                  <c:pt idx="0">
                    <c:v>950.71822704473016</c:v>
                  </c:pt>
                  <c:pt idx="1">
                    <c:v>1306.6539373127443</c:v>
                  </c:pt>
                  <c:pt idx="2">
                    <c:v>2324.5279734083488</c:v>
                  </c:pt>
                  <c:pt idx="3">
                    <c:v>3658.5139476505633</c:v>
                  </c:pt>
                  <c:pt idx="4">
                    <c:v>3092.8959736217726</c:v>
                  </c:pt>
                  <c:pt idx="5">
                    <c:v>3207.563817852516</c:v>
                  </c:pt>
                  <c:pt idx="6">
                    <c:v>3299.0572193620537</c:v>
                  </c:pt>
                  <c:pt idx="7">
                    <c:v>3566.7119805120278</c:v>
                  </c:pt>
                  <c:pt idx="8">
                    <c:v>2853.551381692158</c:v>
                  </c:pt>
                  <c:pt idx="9">
                    <c:v>3936.9500717165938</c:v>
                  </c:pt>
                  <c:pt idx="10">
                    <c:v>4224.5159581097814</c:v>
                  </c:pt>
                  <c:pt idx="11">
                    <c:v>3478.967016416108</c:v>
                  </c:pt>
                  <c:pt idx="12">
                    <c:v>4306.7073693315888</c:v>
                  </c:pt>
                  <c:pt idx="13">
                    <c:v>2973.5756514711156</c:v>
                  </c:pt>
                  <c:pt idx="14">
                    <c:v>2009.1630647318491</c:v>
                  </c:pt>
                  <c:pt idx="15">
                    <c:v>3118.8966244689864</c:v>
                  </c:pt>
                  <c:pt idx="16">
                    <c:v>3550.8668556547259</c:v>
                  </c:pt>
                  <c:pt idx="17">
                    <c:v>3932.9239273127182</c:v>
                  </c:pt>
                  <c:pt idx="18">
                    <c:v>3174.4349336459272</c:v>
                  </c:pt>
                  <c:pt idx="19">
                    <c:v>2748.243974906396</c:v>
                  </c:pt>
                  <c:pt idx="20">
                    <c:v>2833.7403852327848</c:v>
                  </c:pt>
                  <c:pt idx="21">
                    <c:v>4142.2268293708548</c:v>
                  </c:pt>
                  <c:pt idx="22">
                    <c:v>2230.5098914725977</c:v>
                  </c:pt>
                  <c:pt idx="23">
                    <c:v>4586.1929267903442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harvest'!$Q$128:$Q$151</c:f>
              <c:numCache>
                <c:formatCode>_(* #,##0_);_(* \(#,##0\);_(* "-"??_);_(@_)</c:formatCode>
                <c:ptCount val="24"/>
                <c:pt idx="0">
                  <c:v>1981.0473043795562</c:v>
                </c:pt>
                <c:pt idx="1">
                  <c:v>2659.5181967492572</c:v>
                </c:pt>
                <c:pt idx="2">
                  <c:v>4813.6845159896211</c:v>
                </c:pt>
                <c:pt idx="3">
                  <c:v>7598.6303959455945</c:v>
                </c:pt>
                <c:pt idx="4">
                  <c:v>6475.9017059231392</c:v>
                </c:pt>
                <c:pt idx="5">
                  <c:v>6734.3636832951806</c:v>
                </c:pt>
                <c:pt idx="6">
                  <c:v>6922.7041194414751</c:v>
                </c:pt>
                <c:pt idx="7">
                  <c:v>7410.3711157451717</c:v>
                </c:pt>
                <c:pt idx="8">
                  <c:v>5928.4759973613318</c:v>
                </c:pt>
                <c:pt idx="9">
                  <c:v>8207.0226160400271</c:v>
                </c:pt>
                <c:pt idx="10">
                  <c:v>8785.4383059511892</c:v>
                </c:pt>
                <c:pt idx="11">
                  <c:v>7300.7580177191667</c:v>
                </c:pt>
                <c:pt idx="12">
                  <c:v>9037.5604403249472</c:v>
                </c:pt>
                <c:pt idx="13">
                  <c:v>10809.376660873779</c:v>
                </c:pt>
                <c:pt idx="14">
                  <c:v>8223.3949138138832</c:v>
                </c:pt>
                <c:pt idx="15">
                  <c:v>13465.211621808796</c:v>
                </c:pt>
                <c:pt idx="16">
                  <c:v>14728.939853168304</c:v>
                </c:pt>
                <c:pt idx="17">
                  <c:v>17494.121992733071</c:v>
                </c:pt>
                <c:pt idx="18">
                  <c:v>13138.078218255876</c:v>
                </c:pt>
                <c:pt idx="19">
                  <c:v>10244.696256089434</c:v>
                </c:pt>
                <c:pt idx="20">
                  <c:v>10538.925671468149</c:v>
                </c:pt>
                <c:pt idx="21">
                  <c:v>15612.504713816004</c:v>
                </c:pt>
                <c:pt idx="22">
                  <c:v>7775.8166285195612</c:v>
                </c:pt>
                <c:pt idx="23">
                  <c:v>16027.917062129292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3-4DFD-8833-0F2C984C7DE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harvest'!$Y$128:$Y$151</c:f>
                <c:numCache>
                  <c:formatCode>General</c:formatCode>
                  <c:ptCount val="24"/>
                  <c:pt idx="0">
                    <c:v>981.30919414365769</c:v>
                  </c:pt>
                  <c:pt idx="1">
                    <c:v>1332.167818837187</c:v>
                  </c:pt>
                  <c:pt idx="2">
                    <c:v>2424.9096858663424</c:v>
                  </c:pt>
                  <c:pt idx="3">
                    <c:v>3747.5741717713126</c:v>
                  </c:pt>
                  <c:pt idx="4">
                    <c:v>3160.5315345876702</c:v>
                  </c:pt>
                  <c:pt idx="5">
                    <c:v>3228.4865929612338</c:v>
                  </c:pt>
                  <c:pt idx="6">
                    <c:v>3319.770050938555</c:v>
                  </c:pt>
                  <c:pt idx="7">
                    <c:v>3607.4752478540158</c:v>
                  </c:pt>
                  <c:pt idx="8">
                    <c:v>2875.7910268331252</c:v>
                  </c:pt>
                  <c:pt idx="9">
                    <c:v>3949.4346554056065</c:v>
                  </c:pt>
                  <c:pt idx="10">
                    <c:v>4239.6081355313299</c:v>
                  </c:pt>
                  <c:pt idx="11">
                    <c:v>3513.939561648408</c:v>
                  </c:pt>
                  <c:pt idx="12">
                    <c:v>4334.3432483850402</c:v>
                  </c:pt>
                  <c:pt idx="13">
                    <c:v>3063.8809869736283</c:v>
                  </c:pt>
                  <c:pt idx="14">
                    <c:v>2079.5754873497685</c:v>
                  </c:pt>
                  <c:pt idx="15">
                    <c:v>3178.6172532160631</c:v>
                  </c:pt>
                  <c:pt idx="16">
                    <c:v>3645.5545703931698</c:v>
                  </c:pt>
                  <c:pt idx="17">
                    <c:v>4184.6395204576838</c:v>
                  </c:pt>
                  <c:pt idx="18">
                    <c:v>3325.7693805826843</c:v>
                  </c:pt>
                  <c:pt idx="19">
                    <c:v>2961.9673713990446</c:v>
                  </c:pt>
                  <c:pt idx="20">
                    <c:v>3028.6846914329208</c:v>
                  </c:pt>
                  <c:pt idx="21">
                    <c:v>4399.5252019971904</c:v>
                  </c:pt>
                  <c:pt idx="22">
                    <c:v>2553.6735061912777</c:v>
                  </c:pt>
                  <c:pt idx="23">
                    <c:v>4893.7628556725203</c:v>
                  </c:pt>
                </c:numCache>
              </c:numRef>
            </c:plus>
            <c:minus>
              <c:numRef>
                <c:f>'BRF harvest'!$Y$128:$Y$151</c:f>
                <c:numCache>
                  <c:formatCode>General</c:formatCode>
                  <c:ptCount val="24"/>
                  <c:pt idx="0">
                    <c:v>981.30919414365769</c:v>
                  </c:pt>
                  <c:pt idx="1">
                    <c:v>1332.167818837187</c:v>
                  </c:pt>
                  <c:pt idx="2">
                    <c:v>2424.9096858663424</c:v>
                  </c:pt>
                  <c:pt idx="3">
                    <c:v>3747.5741717713126</c:v>
                  </c:pt>
                  <c:pt idx="4">
                    <c:v>3160.5315345876702</c:v>
                  </c:pt>
                  <c:pt idx="5">
                    <c:v>3228.4865929612338</c:v>
                  </c:pt>
                  <c:pt idx="6">
                    <c:v>3319.770050938555</c:v>
                  </c:pt>
                  <c:pt idx="7">
                    <c:v>3607.4752478540158</c:v>
                  </c:pt>
                  <c:pt idx="8">
                    <c:v>2875.7910268331252</c:v>
                  </c:pt>
                  <c:pt idx="9">
                    <c:v>3949.4346554056065</c:v>
                  </c:pt>
                  <c:pt idx="10">
                    <c:v>4239.6081355313299</c:v>
                  </c:pt>
                  <c:pt idx="11">
                    <c:v>3513.939561648408</c:v>
                  </c:pt>
                  <c:pt idx="12">
                    <c:v>4334.3432483850402</c:v>
                  </c:pt>
                  <c:pt idx="13">
                    <c:v>3063.8809869736283</c:v>
                  </c:pt>
                  <c:pt idx="14">
                    <c:v>2079.5754873497685</c:v>
                  </c:pt>
                  <c:pt idx="15">
                    <c:v>3178.6172532160631</c:v>
                  </c:pt>
                  <c:pt idx="16">
                    <c:v>3645.5545703931698</c:v>
                  </c:pt>
                  <c:pt idx="17">
                    <c:v>4184.6395204576838</c:v>
                  </c:pt>
                  <c:pt idx="18">
                    <c:v>3325.7693805826843</c:v>
                  </c:pt>
                  <c:pt idx="19">
                    <c:v>2961.9673713990446</c:v>
                  </c:pt>
                  <c:pt idx="20">
                    <c:v>3028.6846914329208</c:v>
                  </c:pt>
                  <c:pt idx="21">
                    <c:v>4399.5252019971904</c:v>
                  </c:pt>
                  <c:pt idx="22">
                    <c:v>2553.6735061912777</c:v>
                  </c:pt>
                  <c:pt idx="23">
                    <c:v>4893.7628556725203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harvest'!$V$128:$V$151</c:f>
              <c:numCache>
                <c:formatCode>_(* #,##0_);_(* \(#,##0\);_(* "-"??_);_(@_)</c:formatCode>
                <c:ptCount val="24"/>
                <c:pt idx="0">
                  <c:v>5466.6655263115563</c:v>
                </c:pt>
                <c:pt idx="1">
                  <c:v>10242.860908993258</c:v>
                </c:pt>
                <c:pt idx="2">
                  <c:v>14224.29644185862</c:v>
                </c:pt>
                <c:pt idx="3">
                  <c:v>24400.137754369596</c:v>
                </c:pt>
                <c:pt idx="4">
                  <c:v>19832.929397123138</c:v>
                </c:pt>
                <c:pt idx="5">
                  <c:v>18852.364102736181</c:v>
                </c:pt>
                <c:pt idx="6">
                  <c:v>21306.208786153475</c:v>
                </c:pt>
                <c:pt idx="7">
                  <c:v>24400.436306365173</c:v>
                </c:pt>
                <c:pt idx="8">
                  <c:v>20495.339205870332</c:v>
                </c:pt>
                <c:pt idx="9">
                  <c:v>27234.791138684028</c:v>
                </c:pt>
                <c:pt idx="10">
                  <c:v>28695.453459364187</c:v>
                </c:pt>
                <c:pt idx="11">
                  <c:v>22601.944564891164</c:v>
                </c:pt>
                <c:pt idx="12">
                  <c:v>26879.228808182947</c:v>
                </c:pt>
                <c:pt idx="13">
                  <c:v>30410.518880792781</c:v>
                </c:pt>
                <c:pt idx="14">
                  <c:v>27781.014813581882</c:v>
                </c:pt>
                <c:pt idx="15">
                  <c:v>34083.147174723796</c:v>
                </c:pt>
                <c:pt idx="16">
                  <c:v>41651.075389744306</c:v>
                </c:pt>
                <c:pt idx="17">
                  <c:v>50441.674194269071</c:v>
                </c:pt>
                <c:pt idx="18">
                  <c:v>55044.008117348872</c:v>
                </c:pt>
                <c:pt idx="19">
                  <c:v>36998.861344014433</c:v>
                </c:pt>
                <c:pt idx="20">
                  <c:v>45070.801381422149</c:v>
                </c:pt>
                <c:pt idx="21">
                  <c:v>58554.617143937008</c:v>
                </c:pt>
                <c:pt idx="22">
                  <c:v>38757.512733722113</c:v>
                </c:pt>
                <c:pt idx="23">
                  <c:v>81589.802407130323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3-4DFD-8833-0F2C984C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harvest'!$K$153:$K$176</c:f>
                <c:numCache>
                  <c:formatCode>General</c:formatCode>
                  <c:ptCount val="24"/>
                  <c:pt idx="0">
                    <c:v>77.565275917888556</c:v>
                  </c:pt>
                  <c:pt idx="1">
                    <c:v>106.91665496739159</c:v>
                  </c:pt>
                  <c:pt idx="2">
                    <c:v>103.16604795310461</c:v>
                  </c:pt>
                  <c:pt idx="3">
                    <c:v>101.44598358710321</c:v>
                  </c:pt>
                  <c:pt idx="4">
                    <c:v>176.40000819907181</c:v>
                  </c:pt>
                  <c:pt idx="5">
                    <c:v>177.27958261726934</c:v>
                  </c:pt>
                  <c:pt idx="6">
                    <c:v>201.4873274896263</c:v>
                  </c:pt>
                  <c:pt idx="7">
                    <c:v>195.41627117937492</c:v>
                  </c:pt>
                  <c:pt idx="8">
                    <c:v>222.96015079561522</c:v>
                  </c:pt>
                  <c:pt idx="9">
                    <c:v>501.04882720702909</c:v>
                  </c:pt>
                  <c:pt idx="10">
                    <c:v>386.7689517151548</c:v>
                  </c:pt>
                  <c:pt idx="11">
                    <c:v>624.03998749170216</c:v>
                  </c:pt>
                  <c:pt idx="12">
                    <c:v>662.39611568169414</c:v>
                  </c:pt>
                  <c:pt idx="13">
                    <c:v>381.44688642834228</c:v>
                  </c:pt>
                  <c:pt idx="14">
                    <c:v>442.47409985946956</c:v>
                  </c:pt>
                  <c:pt idx="15">
                    <c:v>429.03998974292523</c:v>
                  </c:pt>
                  <c:pt idx="16">
                    <c:v>450.0597790597817</c:v>
                  </c:pt>
                  <c:pt idx="17">
                    <c:v>1050.2945098008852</c:v>
                  </c:pt>
                  <c:pt idx="18">
                    <c:v>701.69172350670829</c:v>
                  </c:pt>
                  <c:pt idx="19">
                    <c:v>398.77239604835273</c:v>
                  </c:pt>
                  <c:pt idx="20">
                    <c:v>379.8409317057928</c:v>
                  </c:pt>
                  <c:pt idx="21">
                    <c:v>510.72578012192258</c:v>
                  </c:pt>
                  <c:pt idx="22">
                    <c:v>419.18809355781292</c:v>
                  </c:pt>
                  <c:pt idx="23">
                    <c:v>292.44591388223671</c:v>
                  </c:pt>
                </c:numCache>
              </c:numRef>
            </c:plus>
            <c:minus>
              <c:numRef>
                <c:f>'BRF harvest'!$K$153:$K$176</c:f>
                <c:numCache>
                  <c:formatCode>General</c:formatCode>
                  <c:ptCount val="24"/>
                  <c:pt idx="0">
                    <c:v>77.565275917888556</c:v>
                  </c:pt>
                  <c:pt idx="1">
                    <c:v>106.91665496739159</c:v>
                  </c:pt>
                  <c:pt idx="2">
                    <c:v>103.16604795310461</c:v>
                  </c:pt>
                  <c:pt idx="3">
                    <c:v>101.44598358710321</c:v>
                  </c:pt>
                  <c:pt idx="4">
                    <c:v>176.40000819907181</c:v>
                  </c:pt>
                  <c:pt idx="5">
                    <c:v>177.27958261726934</c:v>
                  </c:pt>
                  <c:pt idx="6">
                    <c:v>201.4873274896263</c:v>
                  </c:pt>
                  <c:pt idx="7">
                    <c:v>195.41627117937492</c:v>
                  </c:pt>
                  <c:pt idx="8">
                    <c:v>222.96015079561522</c:v>
                  </c:pt>
                  <c:pt idx="9">
                    <c:v>501.04882720702909</c:v>
                  </c:pt>
                  <c:pt idx="10">
                    <c:v>386.7689517151548</c:v>
                  </c:pt>
                  <c:pt idx="11">
                    <c:v>624.03998749170216</c:v>
                  </c:pt>
                  <c:pt idx="12">
                    <c:v>662.39611568169414</c:v>
                  </c:pt>
                  <c:pt idx="13">
                    <c:v>381.44688642834228</c:v>
                  </c:pt>
                  <c:pt idx="14">
                    <c:v>442.47409985946956</c:v>
                  </c:pt>
                  <c:pt idx="15">
                    <c:v>429.03998974292523</c:v>
                  </c:pt>
                  <c:pt idx="16">
                    <c:v>450.0597790597817</c:v>
                  </c:pt>
                  <c:pt idx="17">
                    <c:v>1050.2945098008852</c:v>
                  </c:pt>
                  <c:pt idx="18">
                    <c:v>701.69172350670829</c:v>
                  </c:pt>
                  <c:pt idx="19">
                    <c:v>398.77239604835273</c:v>
                  </c:pt>
                  <c:pt idx="20">
                    <c:v>379.8409317057928</c:v>
                  </c:pt>
                  <c:pt idx="21">
                    <c:v>510.72578012192258</c:v>
                  </c:pt>
                  <c:pt idx="22">
                    <c:v>419.18809355781292</c:v>
                  </c:pt>
                  <c:pt idx="23">
                    <c:v>292.44591388223671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harvest'!$H$153:$H$176</c:f>
              <c:numCache>
                <c:formatCode>0</c:formatCode>
                <c:ptCount val="24"/>
                <c:pt idx="0">
                  <c:v>785.628865647</c:v>
                </c:pt>
                <c:pt idx="1">
                  <c:v>1479.8857139639999</c:v>
                </c:pt>
                <c:pt idx="2">
                  <c:v>1700.44117669</c:v>
                </c:pt>
                <c:pt idx="3">
                  <c:v>1762.8196718879999</c:v>
                </c:pt>
                <c:pt idx="4">
                  <c:v>1799.9999990639999</c:v>
                </c:pt>
                <c:pt idx="5">
                  <c:v>2126.9891300039999</c:v>
                </c:pt>
                <c:pt idx="6">
                  <c:v>2379.666667768</c:v>
                </c:pt>
                <c:pt idx="7">
                  <c:v>4034.2436964250001</c:v>
                </c:pt>
                <c:pt idx="8">
                  <c:v>3047.7053586510001</c:v>
                </c:pt>
                <c:pt idx="9">
                  <c:v>2885.4177235800003</c:v>
                </c:pt>
                <c:pt idx="10">
                  <c:v>4839.0944908619995</c:v>
                </c:pt>
                <c:pt idx="11">
                  <c:v>4480.708332657</c:v>
                </c:pt>
                <c:pt idx="12">
                  <c:v>3591.1515127800003</c:v>
                </c:pt>
                <c:pt idx="13">
                  <c:v>5700.7898578510003</c:v>
                </c:pt>
                <c:pt idx="14">
                  <c:v>4725.5664320349997</c:v>
                </c:pt>
                <c:pt idx="15">
                  <c:v>5034.9292049430005</c:v>
                </c:pt>
                <c:pt idx="16">
                  <c:v>8442.7272733999998</c:v>
                </c:pt>
                <c:pt idx="17">
                  <c:v>8247.8446576740007</c:v>
                </c:pt>
                <c:pt idx="18">
                  <c:v>7011.4486037400002</c:v>
                </c:pt>
                <c:pt idx="19">
                  <c:v>4038.5857718360003</c:v>
                </c:pt>
                <c:pt idx="20">
                  <c:v>6128.3783804129998</c:v>
                </c:pt>
                <c:pt idx="21">
                  <c:v>7487.1520726879999</c:v>
                </c:pt>
                <c:pt idx="22">
                  <c:v>3108.9864854689999</c:v>
                </c:pt>
                <c:pt idx="23">
                  <c:v>8062.2252261419999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C5C-BC14-4EF15CC0439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harvest'!$T$153:$T$176</c:f>
                <c:numCache>
                  <c:formatCode>General</c:formatCode>
                  <c:ptCount val="24"/>
                  <c:pt idx="0">
                    <c:v>596.65938052452168</c:v>
                  </c:pt>
                  <c:pt idx="1">
                    <c:v>638.92658332198687</c:v>
                  </c:pt>
                  <c:pt idx="2">
                    <c:v>755.12730741785322</c:v>
                  </c:pt>
                  <c:pt idx="3">
                    <c:v>822.22250327765948</c:v>
                  </c:pt>
                  <c:pt idx="4">
                    <c:v>667.18589513584288</c:v>
                  </c:pt>
                  <c:pt idx="5">
                    <c:v>965.7099638972112</c:v>
                  </c:pt>
                  <c:pt idx="6">
                    <c:v>1235.5777890752447</c:v>
                  </c:pt>
                  <c:pt idx="7">
                    <c:v>1826.9795025940543</c:v>
                  </c:pt>
                  <c:pt idx="8">
                    <c:v>1419.5186822991641</c:v>
                  </c:pt>
                  <c:pt idx="9">
                    <c:v>2177.2350367987365</c:v>
                  </c:pt>
                  <c:pt idx="10">
                    <c:v>2123.5157086741174</c:v>
                  </c:pt>
                  <c:pt idx="11">
                    <c:v>1785.2014369788205</c:v>
                  </c:pt>
                  <c:pt idx="12">
                    <c:v>3049.0425979657925</c:v>
                  </c:pt>
                  <c:pt idx="13">
                    <c:v>2141.0596537255192</c:v>
                  </c:pt>
                  <c:pt idx="14">
                    <c:v>2102.9169121778309</c:v>
                  </c:pt>
                  <c:pt idx="15">
                    <c:v>2923.1651219612318</c:v>
                  </c:pt>
                  <c:pt idx="16">
                    <c:v>1985.4883128332069</c:v>
                  </c:pt>
                  <c:pt idx="17">
                    <c:v>4582.4173386057691</c:v>
                  </c:pt>
                  <c:pt idx="18">
                    <c:v>7791.8674874476119</c:v>
                  </c:pt>
                  <c:pt idx="19">
                    <c:v>1431.5228255066143</c:v>
                  </c:pt>
                  <c:pt idx="20">
                    <c:v>3694.6171520328312</c:v>
                  </c:pt>
                  <c:pt idx="21">
                    <c:v>3500.7859625286987</c:v>
                  </c:pt>
                  <c:pt idx="22">
                    <c:v>2342.741338858506</c:v>
                  </c:pt>
                  <c:pt idx="23">
                    <c:v>2884.9521920091511</c:v>
                  </c:pt>
                </c:numCache>
              </c:numRef>
            </c:plus>
            <c:minus>
              <c:numRef>
                <c:f>'BRF harvest'!$T$153:$T$176</c:f>
                <c:numCache>
                  <c:formatCode>General</c:formatCode>
                  <c:ptCount val="24"/>
                  <c:pt idx="0">
                    <c:v>596.65938052452168</c:v>
                  </c:pt>
                  <c:pt idx="1">
                    <c:v>638.92658332198687</c:v>
                  </c:pt>
                  <c:pt idx="2">
                    <c:v>755.12730741785322</c:v>
                  </c:pt>
                  <c:pt idx="3">
                    <c:v>822.22250327765948</c:v>
                  </c:pt>
                  <c:pt idx="4">
                    <c:v>667.18589513584288</c:v>
                  </c:pt>
                  <c:pt idx="5">
                    <c:v>965.7099638972112</c:v>
                  </c:pt>
                  <c:pt idx="6">
                    <c:v>1235.5777890752447</c:v>
                  </c:pt>
                  <c:pt idx="7">
                    <c:v>1826.9795025940543</c:v>
                  </c:pt>
                  <c:pt idx="8">
                    <c:v>1419.5186822991641</c:v>
                  </c:pt>
                  <c:pt idx="9">
                    <c:v>2177.2350367987365</c:v>
                  </c:pt>
                  <c:pt idx="10">
                    <c:v>2123.5157086741174</c:v>
                  </c:pt>
                  <c:pt idx="11">
                    <c:v>1785.2014369788205</c:v>
                  </c:pt>
                  <c:pt idx="12">
                    <c:v>3049.0425979657925</c:v>
                  </c:pt>
                  <c:pt idx="13">
                    <c:v>2141.0596537255192</c:v>
                  </c:pt>
                  <c:pt idx="14">
                    <c:v>2102.9169121778309</c:v>
                  </c:pt>
                  <c:pt idx="15">
                    <c:v>2923.1651219612318</c:v>
                  </c:pt>
                  <c:pt idx="16">
                    <c:v>1985.4883128332069</c:v>
                  </c:pt>
                  <c:pt idx="17">
                    <c:v>4582.4173386057691</c:v>
                  </c:pt>
                  <c:pt idx="18">
                    <c:v>7791.8674874476119</c:v>
                  </c:pt>
                  <c:pt idx="19">
                    <c:v>1431.5228255066143</c:v>
                  </c:pt>
                  <c:pt idx="20">
                    <c:v>3694.6171520328312</c:v>
                  </c:pt>
                  <c:pt idx="21">
                    <c:v>3500.7859625286987</c:v>
                  </c:pt>
                  <c:pt idx="22">
                    <c:v>2342.741338858506</c:v>
                  </c:pt>
                  <c:pt idx="23">
                    <c:v>2884.9521920091511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harvest'!$Q$153:$Q$176</c:f>
              <c:numCache>
                <c:formatCode>_(* #,##0_);_(* \(#,##0\);_(* "-"??_);_(@_)</c:formatCode>
                <c:ptCount val="24"/>
                <c:pt idx="0">
                  <c:v>965.62625611647206</c:v>
                </c:pt>
                <c:pt idx="1">
                  <c:v>1036.0752076677722</c:v>
                </c:pt>
                <c:pt idx="2">
                  <c:v>1224.7040214075948</c:v>
                </c:pt>
                <c:pt idx="3">
                  <c:v>1329.2060663828643</c:v>
                </c:pt>
                <c:pt idx="4">
                  <c:v>1071.7494453700324</c:v>
                </c:pt>
                <c:pt idx="5">
                  <c:v>1564.9200303127902</c:v>
                </c:pt>
                <c:pt idx="6">
                  <c:v>1998.1177757853307</c:v>
                </c:pt>
                <c:pt idx="7">
                  <c:v>2970.2003054822426</c:v>
                </c:pt>
                <c:pt idx="8">
                  <c:v>2295.1519423730583</c:v>
                </c:pt>
                <c:pt idx="9">
                  <c:v>3537.0871450288823</c:v>
                </c:pt>
                <c:pt idx="10">
                  <c:v>3379.8995576951152</c:v>
                </c:pt>
                <c:pt idx="11">
                  <c:v>2771.6176195339171</c:v>
                </c:pt>
                <c:pt idx="12">
                  <c:v>4742.4647822061943</c:v>
                </c:pt>
                <c:pt idx="13">
                  <c:v>4310.2346399986181</c:v>
                </c:pt>
                <c:pt idx="14">
                  <c:v>3679.6512672151289</c:v>
                </c:pt>
                <c:pt idx="15">
                  <c:v>5768.1930901057713</c:v>
                </c:pt>
                <c:pt idx="16">
                  <c:v>4208.5613123902995</c:v>
                </c:pt>
                <c:pt idx="17">
                  <c:v>7883.8439937112516</c:v>
                </c:pt>
                <c:pt idx="18">
                  <c:v>11804.208772993012</c:v>
                </c:pt>
                <c:pt idx="19">
                  <c:v>2676.3527394507523</c:v>
                </c:pt>
                <c:pt idx="20">
                  <c:v>6598.0160907466861</c:v>
                </c:pt>
                <c:pt idx="21">
                  <c:v>8114.1323068440033</c:v>
                </c:pt>
                <c:pt idx="22">
                  <c:v>3918.7558098723694</c:v>
                </c:pt>
                <c:pt idx="23">
                  <c:v>6210.1113950029849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C5C-BC14-4EF15CC0439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harvest'!$Y$153:$Y$176</c:f>
                <c:numCache>
                  <c:formatCode>General</c:formatCode>
                  <c:ptCount val="24"/>
                  <c:pt idx="0">
                    <c:v>601.67997174255686</c:v>
                  </c:pt>
                  <c:pt idx="1">
                    <c:v>647.81042750555048</c:v>
                  </c:pt>
                  <c:pt idx="2">
                    <c:v>762.14203653807169</c:v>
                  </c:pt>
                  <c:pt idx="3">
                    <c:v>828.45707944475646</c:v>
                  </c:pt>
                  <c:pt idx="4">
                    <c:v>690.11157182070826</c:v>
                  </c:pt>
                  <c:pt idx="5">
                    <c:v>981.84712902941578</c:v>
                  </c:pt>
                  <c:pt idx="6">
                    <c:v>1251.898404821646</c:v>
                  </c:pt>
                  <c:pt idx="7">
                    <c:v>1837.4007788015301</c:v>
                  </c:pt>
                  <c:pt idx="8">
                    <c:v>1436.9218900967301</c:v>
                  </c:pt>
                  <c:pt idx="9">
                    <c:v>2234.1446534881165</c:v>
                  </c:pt>
                  <c:pt idx="10">
                    <c:v>2158.4506450221602</c:v>
                  </c:pt>
                  <c:pt idx="11">
                    <c:v>1891.1293124955496</c:v>
                  </c:pt>
                  <c:pt idx="12">
                    <c:v>3120.1649601071072</c:v>
                  </c:pt>
                  <c:pt idx="13">
                    <c:v>2174.773130231546</c:v>
                  </c:pt>
                  <c:pt idx="14">
                    <c:v>2148.9632078213886</c:v>
                  </c:pt>
                  <c:pt idx="15">
                    <c:v>2954.4829738973344</c:v>
                  </c:pt>
                  <c:pt idx="16">
                    <c:v>2035.8579629052206</c:v>
                  </c:pt>
                  <c:pt idx="17">
                    <c:v>4701.241030033736</c:v>
                  </c:pt>
                  <c:pt idx="18">
                    <c:v>7823.3988915803702</c:v>
                  </c:pt>
                  <c:pt idx="19">
                    <c:v>1486.0272621310098</c:v>
                  </c:pt>
                  <c:pt idx="20">
                    <c:v>3714.0914142619476</c:v>
                  </c:pt>
                  <c:pt idx="21">
                    <c:v>3537.8444253413877</c:v>
                  </c:pt>
                  <c:pt idx="22">
                    <c:v>2379.9486630129604</c:v>
                  </c:pt>
                  <c:pt idx="23">
                    <c:v>2899.7368437023429</c:v>
                  </c:pt>
                </c:numCache>
              </c:numRef>
            </c:plus>
            <c:minus>
              <c:numRef>
                <c:f>'BRF harvest'!$Y$153:$Y$176</c:f>
                <c:numCache>
                  <c:formatCode>General</c:formatCode>
                  <c:ptCount val="24"/>
                  <c:pt idx="0">
                    <c:v>601.67997174255686</c:v>
                  </c:pt>
                  <c:pt idx="1">
                    <c:v>647.81042750555048</c:v>
                  </c:pt>
                  <c:pt idx="2">
                    <c:v>762.14203653807169</c:v>
                  </c:pt>
                  <c:pt idx="3">
                    <c:v>828.45707944475646</c:v>
                  </c:pt>
                  <c:pt idx="4">
                    <c:v>690.11157182070826</c:v>
                  </c:pt>
                  <c:pt idx="5">
                    <c:v>981.84712902941578</c:v>
                  </c:pt>
                  <c:pt idx="6">
                    <c:v>1251.898404821646</c:v>
                  </c:pt>
                  <c:pt idx="7">
                    <c:v>1837.4007788015301</c:v>
                  </c:pt>
                  <c:pt idx="8">
                    <c:v>1436.9218900967301</c:v>
                  </c:pt>
                  <c:pt idx="9">
                    <c:v>2234.1446534881165</c:v>
                  </c:pt>
                  <c:pt idx="10">
                    <c:v>2158.4506450221602</c:v>
                  </c:pt>
                  <c:pt idx="11">
                    <c:v>1891.1293124955496</c:v>
                  </c:pt>
                  <c:pt idx="12">
                    <c:v>3120.1649601071072</c:v>
                  </c:pt>
                  <c:pt idx="13">
                    <c:v>2174.773130231546</c:v>
                  </c:pt>
                  <c:pt idx="14">
                    <c:v>2148.9632078213886</c:v>
                  </c:pt>
                  <c:pt idx="15">
                    <c:v>2954.4829738973344</c:v>
                  </c:pt>
                  <c:pt idx="16">
                    <c:v>2035.8579629052206</c:v>
                  </c:pt>
                  <c:pt idx="17">
                    <c:v>4701.241030033736</c:v>
                  </c:pt>
                  <c:pt idx="18">
                    <c:v>7823.3988915803702</c:v>
                  </c:pt>
                  <c:pt idx="19">
                    <c:v>1486.0272621310098</c:v>
                  </c:pt>
                  <c:pt idx="20">
                    <c:v>3714.0914142619476</c:v>
                  </c:pt>
                  <c:pt idx="21">
                    <c:v>3537.8444253413877</c:v>
                  </c:pt>
                  <c:pt idx="22">
                    <c:v>2379.9486630129604</c:v>
                  </c:pt>
                  <c:pt idx="23">
                    <c:v>2899.7368437023429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harvest'!$V$153:$V$176</c:f>
              <c:numCache>
                <c:formatCode>_(* #,##0_);_(* \(#,##0\);_(* "-"??_);_(@_)</c:formatCode>
                <c:ptCount val="24"/>
                <c:pt idx="0">
                  <c:v>1751.2551217634721</c:v>
                </c:pt>
                <c:pt idx="1">
                  <c:v>2515.9609216317722</c:v>
                </c:pt>
                <c:pt idx="2">
                  <c:v>2925.1451980975949</c:v>
                </c:pt>
                <c:pt idx="3">
                  <c:v>3092.0257382708642</c:v>
                </c:pt>
                <c:pt idx="4">
                  <c:v>2871.7494444340323</c:v>
                </c:pt>
                <c:pt idx="5">
                  <c:v>3691.9091603167899</c:v>
                </c:pt>
                <c:pt idx="6">
                  <c:v>4377.7844435533307</c:v>
                </c:pt>
                <c:pt idx="7">
                  <c:v>7004.4440019072426</c:v>
                </c:pt>
                <c:pt idx="8">
                  <c:v>5342.857301024058</c:v>
                </c:pt>
                <c:pt idx="9">
                  <c:v>6422.504868608883</c:v>
                </c:pt>
                <c:pt idx="10">
                  <c:v>8218.9940485571151</c:v>
                </c:pt>
                <c:pt idx="11">
                  <c:v>7252.3259521909167</c:v>
                </c:pt>
                <c:pt idx="12">
                  <c:v>8333.6162949861937</c:v>
                </c:pt>
                <c:pt idx="13">
                  <c:v>10011.024497849619</c:v>
                </c:pt>
                <c:pt idx="14">
                  <c:v>8405.2176992501281</c:v>
                </c:pt>
                <c:pt idx="15">
                  <c:v>10803.122295048772</c:v>
                </c:pt>
                <c:pt idx="16">
                  <c:v>12651.288585790298</c:v>
                </c:pt>
                <c:pt idx="17">
                  <c:v>16131.688651385251</c:v>
                </c:pt>
                <c:pt idx="18">
                  <c:v>18815.657376733012</c:v>
                </c:pt>
                <c:pt idx="19">
                  <c:v>6714.9385112867531</c:v>
                </c:pt>
                <c:pt idx="20">
                  <c:v>12726.394471159685</c:v>
                </c:pt>
                <c:pt idx="21">
                  <c:v>15601.284379532004</c:v>
                </c:pt>
                <c:pt idx="22">
                  <c:v>7027.7422953413698</c:v>
                </c:pt>
                <c:pt idx="23">
                  <c:v>14272.336621144985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4C5C-BC14-4EF15CC0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harvest'!$K$178:$K$201</c:f>
                <c:numCache>
                  <c:formatCode>General</c:formatCode>
                  <c:ptCount val="24"/>
                  <c:pt idx="0">
                    <c:v>95.503002670597525</c:v>
                  </c:pt>
                  <c:pt idx="1">
                    <c:v>110.90092908294666</c:v>
                  </c:pt>
                  <c:pt idx="2">
                    <c:v>271.84229903206443</c:v>
                  </c:pt>
                  <c:pt idx="3">
                    <c:v>299.47147688590229</c:v>
                  </c:pt>
                  <c:pt idx="4">
                    <c:v>405.2655536385364</c:v>
                  </c:pt>
                  <c:pt idx="5">
                    <c:v>402.35574463585567</c:v>
                  </c:pt>
                  <c:pt idx="6">
                    <c:v>346.30564765885134</c:v>
                  </c:pt>
                  <c:pt idx="7">
                    <c:v>231.52601335088457</c:v>
                  </c:pt>
                  <c:pt idx="8">
                    <c:v>230.46469764120181</c:v>
                  </c:pt>
                  <c:pt idx="9">
                    <c:v>330.01401144122048</c:v>
                  </c:pt>
                  <c:pt idx="10">
                    <c:v>429.00363453608088</c:v>
                  </c:pt>
                  <c:pt idx="11">
                    <c:v>272.0847296040086</c:v>
                  </c:pt>
                  <c:pt idx="12">
                    <c:v>356.70737202893037</c:v>
                  </c:pt>
                  <c:pt idx="13">
                    <c:v>398.44430188068895</c:v>
                  </c:pt>
                  <c:pt idx="14">
                    <c:v>357.28407007823415</c:v>
                  </c:pt>
                  <c:pt idx="15">
                    <c:v>449.70305975043129</c:v>
                  </c:pt>
                  <c:pt idx="16">
                    <c:v>378.60965001290577</c:v>
                  </c:pt>
                  <c:pt idx="17">
                    <c:v>563.30848388153993</c:v>
                  </c:pt>
                  <c:pt idx="18">
                    <c:v>863.74661686051024</c:v>
                  </c:pt>
                  <c:pt idx="19">
                    <c:v>548.39988495467685</c:v>
                  </c:pt>
                  <c:pt idx="20">
                    <c:v>292.8531270991748</c:v>
                  </c:pt>
                  <c:pt idx="21">
                    <c:v>582.95711232942051</c:v>
                  </c:pt>
                  <c:pt idx="22">
                    <c:v>317.34895546506425</c:v>
                  </c:pt>
                  <c:pt idx="23">
                    <c:v>588.48820653229689</c:v>
                  </c:pt>
                </c:numCache>
              </c:numRef>
            </c:plus>
            <c:minus>
              <c:numRef>
                <c:f>'BRF harvest'!$K$178:$K$201</c:f>
                <c:numCache>
                  <c:formatCode>General</c:formatCode>
                  <c:ptCount val="24"/>
                  <c:pt idx="0">
                    <c:v>95.503002670597525</c:v>
                  </c:pt>
                  <c:pt idx="1">
                    <c:v>110.90092908294666</c:v>
                  </c:pt>
                  <c:pt idx="2">
                    <c:v>271.84229903206443</c:v>
                  </c:pt>
                  <c:pt idx="3">
                    <c:v>299.47147688590229</c:v>
                  </c:pt>
                  <c:pt idx="4">
                    <c:v>405.2655536385364</c:v>
                  </c:pt>
                  <c:pt idx="5">
                    <c:v>402.35574463585567</c:v>
                  </c:pt>
                  <c:pt idx="6">
                    <c:v>346.30564765885134</c:v>
                  </c:pt>
                  <c:pt idx="7">
                    <c:v>231.52601335088457</c:v>
                  </c:pt>
                  <c:pt idx="8">
                    <c:v>230.46469764120181</c:v>
                  </c:pt>
                  <c:pt idx="9">
                    <c:v>330.01401144122048</c:v>
                  </c:pt>
                  <c:pt idx="10">
                    <c:v>429.00363453608088</c:v>
                  </c:pt>
                  <c:pt idx="11">
                    <c:v>272.0847296040086</c:v>
                  </c:pt>
                  <c:pt idx="12">
                    <c:v>356.70737202893037</c:v>
                  </c:pt>
                  <c:pt idx="13">
                    <c:v>398.44430188068895</c:v>
                  </c:pt>
                  <c:pt idx="14">
                    <c:v>357.28407007823415</c:v>
                  </c:pt>
                  <c:pt idx="15">
                    <c:v>449.70305975043129</c:v>
                  </c:pt>
                  <c:pt idx="16">
                    <c:v>378.60965001290577</c:v>
                  </c:pt>
                  <c:pt idx="17">
                    <c:v>563.30848388153993</c:v>
                  </c:pt>
                  <c:pt idx="18">
                    <c:v>863.74661686051024</c:v>
                  </c:pt>
                  <c:pt idx="19">
                    <c:v>548.39988495467685</c:v>
                  </c:pt>
                  <c:pt idx="20">
                    <c:v>292.8531270991748</c:v>
                  </c:pt>
                  <c:pt idx="21">
                    <c:v>582.95711232942051</c:v>
                  </c:pt>
                  <c:pt idx="22">
                    <c:v>317.34895546506425</c:v>
                  </c:pt>
                  <c:pt idx="23">
                    <c:v>588.48820653229689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harvest'!$H$178:$H$201</c:f>
              <c:numCache>
                <c:formatCode>0</c:formatCode>
                <c:ptCount val="24"/>
                <c:pt idx="0">
                  <c:v>2009.382277986</c:v>
                </c:pt>
                <c:pt idx="1">
                  <c:v>2445.345377014</c:v>
                </c:pt>
                <c:pt idx="2">
                  <c:v>2352.544893836</c:v>
                </c:pt>
                <c:pt idx="3">
                  <c:v>3575.6998650749997</c:v>
                </c:pt>
                <c:pt idx="4">
                  <c:v>4018.1639107200003</c:v>
                </c:pt>
                <c:pt idx="5">
                  <c:v>7823.9617772250003</c:v>
                </c:pt>
                <c:pt idx="6">
                  <c:v>6427.7982639060001</c:v>
                </c:pt>
                <c:pt idx="7">
                  <c:v>7927.8287047680005</c:v>
                </c:pt>
                <c:pt idx="8">
                  <c:v>4258.5995480009997</c:v>
                </c:pt>
                <c:pt idx="9">
                  <c:v>8538.6342827520002</c:v>
                </c:pt>
                <c:pt idx="10">
                  <c:v>5706.9514419019997</c:v>
                </c:pt>
                <c:pt idx="11">
                  <c:v>5145.2893209630001</c:v>
                </c:pt>
                <c:pt idx="12">
                  <c:v>7024.8572929639995</c:v>
                </c:pt>
                <c:pt idx="13">
                  <c:v>6518.223437824</c:v>
                </c:pt>
                <c:pt idx="14">
                  <c:v>7884.2573457910003</c:v>
                </c:pt>
                <c:pt idx="15">
                  <c:v>8613.7466666250002</c:v>
                </c:pt>
                <c:pt idx="16">
                  <c:v>8456.6139900609996</c:v>
                </c:pt>
                <c:pt idx="17">
                  <c:v>12541.214692245001</c:v>
                </c:pt>
                <c:pt idx="18">
                  <c:v>13826.943563576</c:v>
                </c:pt>
                <c:pt idx="19">
                  <c:v>8288.5811641759992</c:v>
                </c:pt>
                <c:pt idx="20">
                  <c:v>7895.5750078379997</c:v>
                </c:pt>
                <c:pt idx="21">
                  <c:v>8975.7771145000006</c:v>
                </c:pt>
                <c:pt idx="22">
                  <c:v>5122.3203862145929</c:v>
                </c:pt>
                <c:pt idx="23">
                  <c:v>10506.860603030051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9-45EE-8ED2-C048CC5CE0B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harvest'!$T$178:$T$201</c:f>
                <c:numCache>
                  <c:formatCode>General</c:formatCode>
                  <c:ptCount val="24"/>
                  <c:pt idx="0">
                    <c:v>4259.0614542869425</c:v>
                  </c:pt>
                  <c:pt idx="1">
                    <c:v>3217.8523217668107</c:v>
                  </c:pt>
                  <c:pt idx="2">
                    <c:v>5933.1203635630627</c:v>
                  </c:pt>
                  <c:pt idx="3">
                    <c:v>871.4058854430225</c:v>
                  </c:pt>
                  <c:pt idx="4">
                    <c:v>3164.4932595440405</c:v>
                  </c:pt>
                  <c:pt idx="5">
                    <c:v>10555.59035619015</c:v>
                  </c:pt>
                  <c:pt idx="6">
                    <c:v>7388.6333948984966</c:v>
                  </c:pt>
                  <c:pt idx="7">
                    <c:v>290.82736075681169</c:v>
                  </c:pt>
                  <c:pt idx="8">
                    <c:v>5817.1096246917496</c:v>
                  </c:pt>
                  <c:pt idx="9">
                    <c:v>12012.012513060403</c:v>
                  </c:pt>
                  <c:pt idx="10">
                    <c:v>8298.7240518281633</c:v>
                  </c:pt>
                  <c:pt idx="11">
                    <c:v>4304.3754986002368</c:v>
                  </c:pt>
                  <c:pt idx="12">
                    <c:v>10417.800422644501</c:v>
                  </c:pt>
                  <c:pt idx="13">
                    <c:v>11853.553779984326</c:v>
                  </c:pt>
                  <c:pt idx="14">
                    <c:v>3695.6159386207851</c:v>
                  </c:pt>
                  <c:pt idx="15">
                    <c:v>4083.6160872137743</c:v>
                  </c:pt>
                  <c:pt idx="16">
                    <c:v>2336.9555008422644</c:v>
                  </c:pt>
                  <c:pt idx="17">
                    <c:v>1879.708299490173</c:v>
                  </c:pt>
                  <c:pt idx="18">
                    <c:v>8842.5330400023686</c:v>
                  </c:pt>
                  <c:pt idx="19">
                    <c:v>6535.8919076982193</c:v>
                  </c:pt>
                  <c:pt idx="20">
                    <c:v>3084.9802618360995</c:v>
                  </c:pt>
                  <c:pt idx="21">
                    <c:v>3473.1304585267753</c:v>
                  </c:pt>
                  <c:pt idx="22">
                    <c:v>2436.3636652620198</c:v>
                  </c:pt>
                  <c:pt idx="23">
                    <c:v>4623.9764770277798</c:v>
                  </c:pt>
                </c:numCache>
              </c:numRef>
            </c:plus>
            <c:minus>
              <c:numRef>
                <c:f>'BRF harvest'!$T$178:$T$201</c:f>
                <c:numCache>
                  <c:formatCode>General</c:formatCode>
                  <c:ptCount val="24"/>
                  <c:pt idx="0">
                    <c:v>4259.0614542869425</c:v>
                  </c:pt>
                  <c:pt idx="1">
                    <c:v>3217.8523217668107</c:v>
                  </c:pt>
                  <c:pt idx="2">
                    <c:v>5933.1203635630627</c:v>
                  </c:pt>
                  <c:pt idx="3">
                    <c:v>871.4058854430225</c:v>
                  </c:pt>
                  <c:pt idx="4">
                    <c:v>3164.4932595440405</c:v>
                  </c:pt>
                  <c:pt idx="5">
                    <c:v>10555.59035619015</c:v>
                  </c:pt>
                  <c:pt idx="6">
                    <c:v>7388.6333948984966</c:v>
                  </c:pt>
                  <c:pt idx="7">
                    <c:v>290.82736075681169</c:v>
                  </c:pt>
                  <c:pt idx="8">
                    <c:v>5817.1096246917496</c:v>
                  </c:pt>
                  <c:pt idx="9">
                    <c:v>12012.012513060403</c:v>
                  </c:pt>
                  <c:pt idx="10">
                    <c:v>8298.7240518281633</c:v>
                  </c:pt>
                  <c:pt idx="11">
                    <c:v>4304.3754986002368</c:v>
                  </c:pt>
                  <c:pt idx="12">
                    <c:v>10417.800422644501</c:v>
                  </c:pt>
                  <c:pt idx="13">
                    <c:v>11853.553779984326</c:v>
                  </c:pt>
                  <c:pt idx="14">
                    <c:v>3695.6159386207851</c:v>
                  </c:pt>
                  <c:pt idx="15">
                    <c:v>4083.6160872137743</c:v>
                  </c:pt>
                  <c:pt idx="16">
                    <c:v>2336.9555008422644</c:v>
                  </c:pt>
                  <c:pt idx="17">
                    <c:v>1879.708299490173</c:v>
                  </c:pt>
                  <c:pt idx="18">
                    <c:v>8842.5330400023686</c:v>
                  </c:pt>
                  <c:pt idx="19">
                    <c:v>6535.8919076982193</c:v>
                  </c:pt>
                  <c:pt idx="20">
                    <c:v>3084.9802618360995</c:v>
                  </c:pt>
                  <c:pt idx="21">
                    <c:v>3473.1304585267753</c:v>
                  </c:pt>
                  <c:pt idx="22">
                    <c:v>2436.3636652620198</c:v>
                  </c:pt>
                  <c:pt idx="23">
                    <c:v>4623.9764770277798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harvest'!$Q$178:$Q$201</c:f>
              <c:numCache>
                <c:formatCode>_(* #,##0_);_(* \(#,##0\);_(* "-"??_);_(@_)</c:formatCode>
                <c:ptCount val="24"/>
                <c:pt idx="0">
                  <c:v>3773.4125017270394</c:v>
                </c:pt>
                <c:pt idx="1">
                  <c:v>5261.1873716695582</c:v>
                </c:pt>
                <c:pt idx="2">
                  <c:v>9838.8628937503436</c:v>
                </c:pt>
                <c:pt idx="3">
                  <c:v>1163.430244810156</c:v>
                </c:pt>
                <c:pt idx="4">
                  <c:v>4982.9496400101043</c:v>
                </c:pt>
                <c:pt idx="5">
                  <c:v>17611.130353079858</c:v>
                </c:pt>
                <c:pt idx="6">
                  <c:v>12157.606862313623</c:v>
                </c:pt>
                <c:pt idx="7">
                  <c:v>201.21099276150642</c:v>
                </c:pt>
                <c:pt idx="8">
                  <c:v>9654.3332969443181</c:v>
                </c:pt>
                <c:pt idx="9">
                  <c:v>20050.508641440054</c:v>
                </c:pt>
                <c:pt idx="10">
                  <c:v>13880.479842596049</c:v>
                </c:pt>
                <c:pt idx="11">
                  <c:v>7107.867069889704</c:v>
                </c:pt>
                <c:pt idx="12">
                  <c:v>17408.408374010651</c:v>
                </c:pt>
                <c:pt idx="13">
                  <c:v>34635.439505088922</c:v>
                </c:pt>
                <c:pt idx="14">
                  <c:v>10103.27488729407</c:v>
                </c:pt>
                <c:pt idx="15">
                  <c:v>12635.734962352706</c:v>
                </c:pt>
                <c:pt idx="16">
                  <c:v>5698.4876752227938</c:v>
                </c:pt>
                <c:pt idx="17">
                  <c:v>4666.961199005872</c:v>
                </c:pt>
                <c:pt idx="18">
                  <c:v>21941.983672911781</c:v>
                </c:pt>
                <c:pt idx="19">
                  <c:v>18226.853167698217</c:v>
                </c:pt>
                <c:pt idx="20">
                  <c:v>7404.1194778566787</c:v>
                </c:pt>
                <c:pt idx="21">
                  <c:v>9854.25188536307</c:v>
                </c:pt>
                <c:pt idx="22">
                  <c:v>6625.0321983882814</c:v>
                </c:pt>
                <c:pt idx="23">
                  <c:v>12622.555986498241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9-45EE-8ED2-C048CC5CE0B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harvest'!$Y$178:$Y$201</c:f>
                <c:numCache>
                  <c:formatCode>General</c:formatCode>
                  <c:ptCount val="24"/>
                  <c:pt idx="0">
                    <c:v>4260.1320748202043</c:v>
                  </c:pt>
                  <c:pt idx="1">
                    <c:v>3219.7628143656038</c:v>
                  </c:pt>
                  <c:pt idx="2">
                    <c:v>5939.3447015701768</c:v>
                  </c:pt>
                  <c:pt idx="3">
                    <c:v>921.42898947936385</c:v>
                  </c:pt>
                  <c:pt idx="4">
                    <c:v>3190.3381887608116</c:v>
                  </c:pt>
                  <c:pt idx="5">
                    <c:v>10563.256027993262</c:v>
                  </c:pt>
                  <c:pt idx="6">
                    <c:v>7396.7446248880124</c:v>
                  </c:pt>
                  <c:pt idx="7">
                    <c:v>371.7322270437777</c:v>
                  </c:pt>
                  <c:pt idx="8">
                    <c:v>5821.6731583403271</c:v>
                  </c:pt>
                  <c:pt idx="9">
                    <c:v>12016.545005186277</c:v>
                  </c:pt>
                  <c:pt idx="10">
                    <c:v>8309.8053531256937</c:v>
                  </c:pt>
                  <c:pt idx="11">
                    <c:v>4312.9663264432902</c:v>
                  </c:pt>
                  <c:pt idx="12">
                    <c:v>10423.905496276899</c:v>
                  </c:pt>
                  <c:pt idx="13">
                    <c:v>11860.248525080826</c:v>
                  </c:pt>
                  <c:pt idx="14">
                    <c:v>3712.8464919142098</c:v>
                  </c:pt>
                  <c:pt idx="15">
                    <c:v>4108.3029573900749</c:v>
                  </c:pt>
                  <c:pt idx="16">
                    <c:v>2367.4260875473628</c:v>
                  </c:pt>
                  <c:pt idx="17">
                    <c:v>1962.299604847628</c:v>
                  </c:pt>
                  <c:pt idx="18">
                    <c:v>8884.6186627041861</c:v>
                  </c:pt>
                  <c:pt idx="19">
                    <c:v>6558.8585487822029</c:v>
                  </c:pt>
                  <c:pt idx="20">
                    <c:v>3098.8491686382695</c:v>
                  </c:pt>
                  <c:pt idx="21">
                    <c:v>3521.7146643023007</c:v>
                  </c:pt>
                  <c:pt idx="22">
                    <c:v>2456.9449055572554</c:v>
                  </c:pt>
                  <c:pt idx="23">
                    <c:v>4661.2741637168083</c:v>
                  </c:pt>
                </c:numCache>
              </c:numRef>
            </c:plus>
            <c:minus>
              <c:numRef>
                <c:f>'BRF harvest'!$Y$178:$Y$201</c:f>
                <c:numCache>
                  <c:formatCode>General</c:formatCode>
                  <c:ptCount val="24"/>
                  <c:pt idx="0">
                    <c:v>4260.1320748202043</c:v>
                  </c:pt>
                  <c:pt idx="1">
                    <c:v>3219.7628143656038</c:v>
                  </c:pt>
                  <c:pt idx="2">
                    <c:v>5939.3447015701768</c:v>
                  </c:pt>
                  <c:pt idx="3">
                    <c:v>921.42898947936385</c:v>
                  </c:pt>
                  <c:pt idx="4">
                    <c:v>3190.3381887608116</c:v>
                  </c:pt>
                  <c:pt idx="5">
                    <c:v>10563.256027993262</c:v>
                  </c:pt>
                  <c:pt idx="6">
                    <c:v>7396.7446248880124</c:v>
                  </c:pt>
                  <c:pt idx="7">
                    <c:v>371.7322270437777</c:v>
                  </c:pt>
                  <c:pt idx="8">
                    <c:v>5821.6731583403271</c:v>
                  </c:pt>
                  <c:pt idx="9">
                    <c:v>12016.545005186277</c:v>
                  </c:pt>
                  <c:pt idx="10">
                    <c:v>8309.8053531256937</c:v>
                  </c:pt>
                  <c:pt idx="11">
                    <c:v>4312.9663264432902</c:v>
                  </c:pt>
                  <c:pt idx="12">
                    <c:v>10423.905496276899</c:v>
                  </c:pt>
                  <c:pt idx="13">
                    <c:v>11860.248525080826</c:v>
                  </c:pt>
                  <c:pt idx="14">
                    <c:v>3712.8464919142098</c:v>
                  </c:pt>
                  <c:pt idx="15">
                    <c:v>4108.3029573900749</c:v>
                  </c:pt>
                  <c:pt idx="16">
                    <c:v>2367.4260875473628</c:v>
                  </c:pt>
                  <c:pt idx="17">
                    <c:v>1962.299604847628</c:v>
                  </c:pt>
                  <c:pt idx="18">
                    <c:v>8884.6186627041861</c:v>
                  </c:pt>
                  <c:pt idx="19">
                    <c:v>6558.8585487822029</c:v>
                  </c:pt>
                  <c:pt idx="20">
                    <c:v>3098.8491686382695</c:v>
                  </c:pt>
                  <c:pt idx="21">
                    <c:v>3521.7146643023007</c:v>
                  </c:pt>
                  <c:pt idx="22">
                    <c:v>2456.9449055572554</c:v>
                  </c:pt>
                  <c:pt idx="23">
                    <c:v>4661.2741637168083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harvest'!$V$178:$V$201</c:f>
              <c:numCache>
                <c:formatCode>_(* #,##0_);_(* \(#,##0\);_(* "-"??_);_(@_)</c:formatCode>
                <c:ptCount val="24"/>
                <c:pt idx="0">
                  <c:v>5782.7947797130391</c:v>
                </c:pt>
                <c:pt idx="1">
                  <c:v>7706.5327486835577</c:v>
                </c:pt>
                <c:pt idx="2">
                  <c:v>12191.407787586344</c:v>
                </c:pt>
                <c:pt idx="3">
                  <c:v>4739.1301098851554</c:v>
                </c:pt>
                <c:pt idx="4">
                  <c:v>9001.1135507301042</c:v>
                </c:pt>
                <c:pt idx="5">
                  <c:v>25435.09213030486</c:v>
                </c:pt>
                <c:pt idx="6">
                  <c:v>18585.405126219623</c:v>
                </c:pt>
                <c:pt idx="7">
                  <c:v>8129.0396975295071</c:v>
                </c:pt>
                <c:pt idx="8">
                  <c:v>13912.932844945317</c:v>
                </c:pt>
                <c:pt idx="9">
                  <c:v>28589.142924192056</c:v>
                </c:pt>
                <c:pt idx="10">
                  <c:v>19587.431284498049</c:v>
                </c:pt>
                <c:pt idx="11">
                  <c:v>12253.156390852704</c:v>
                </c:pt>
                <c:pt idx="12">
                  <c:v>24433.26566697465</c:v>
                </c:pt>
                <c:pt idx="13">
                  <c:v>41153.662942912924</c:v>
                </c:pt>
                <c:pt idx="14">
                  <c:v>17987.532233085069</c:v>
                </c:pt>
                <c:pt idx="15">
                  <c:v>21249.481628977708</c:v>
                </c:pt>
                <c:pt idx="16">
                  <c:v>14155.101665283793</c:v>
                </c:pt>
                <c:pt idx="17">
                  <c:v>17208.175891250874</c:v>
                </c:pt>
                <c:pt idx="18">
                  <c:v>35768.927236487783</c:v>
                </c:pt>
                <c:pt idx="19">
                  <c:v>26515.434331874218</c:v>
                </c:pt>
                <c:pt idx="20">
                  <c:v>15299.694485694679</c:v>
                </c:pt>
                <c:pt idx="21">
                  <c:v>18830.028999863069</c:v>
                </c:pt>
                <c:pt idx="22">
                  <c:v>11747.352584602875</c:v>
                </c:pt>
                <c:pt idx="23">
                  <c:v>23129.416589528293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9-45EE-8ED2-C048CC5C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harvest'!$K$203:$K$226</c:f>
                <c:numCache>
                  <c:formatCode>General</c:formatCode>
                  <c:ptCount val="24"/>
                  <c:pt idx="0">
                    <c:v>254.98805356526293</c:v>
                  </c:pt>
                  <c:pt idx="1">
                    <c:v>58.466854364875161</c:v>
                  </c:pt>
                  <c:pt idx="2">
                    <c:v>226.04224380517783</c:v>
                  </c:pt>
                  <c:pt idx="3">
                    <c:v>317.70619586776081</c:v>
                  </c:pt>
                  <c:pt idx="4">
                    <c:v>244.00990001305823</c:v>
                  </c:pt>
                  <c:pt idx="5">
                    <c:v>156.99807390414466</c:v>
                  </c:pt>
                  <c:pt idx="6">
                    <c:v>248.8226603438894</c:v>
                  </c:pt>
                  <c:pt idx="7">
                    <c:v>241.39905220841968</c:v>
                  </c:pt>
                  <c:pt idx="8">
                    <c:v>133.14574242109327</c:v>
                  </c:pt>
                  <c:pt idx="9">
                    <c:v>116.27067469141933</c:v>
                  </c:pt>
                  <c:pt idx="10">
                    <c:v>264.90106618795778</c:v>
                  </c:pt>
                  <c:pt idx="11">
                    <c:v>278.60742581687595</c:v>
                  </c:pt>
                  <c:pt idx="12">
                    <c:v>236.51476702370167</c:v>
                  </c:pt>
                  <c:pt idx="13">
                    <c:v>249.0143850804283</c:v>
                  </c:pt>
                  <c:pt idx="14">
                    <c:v>349.38821366650058</c:v>
                  </c:pt>
                  <c:pt idx="15">
                    <c:v>518.6732822036314</c:v>
                  </c:pt>
                  <c:pt idx="16">
                    <c:v>423.74834795676816</c:v>
                  </c:pt>
                  <c:pt idx="17">
                    <c:v>550.99063544386411</c:v>
                  </c:pt>
                  <c:pt idx="18">
                    <c:v>516.7686148870074</c:v>
                  </c:pt>
                  <c:pt idx="19">
                    <c:v>548.09305950461078</c:v>
                  </c:pt>
                  <c:pt idx="20">
                    <c:v>564.23435217676854</c:v>
                  </c:pt>
                  <c:pt idx="21">
                    <c:v>675.92198249418254</c:v>
                  </c:pt>
                  <c:pt idx="22">
                    <c:v>433.01130428905782</c:v>
                  </c:pt>
                  <c:pt idx="23">
                    <c:v>832.14128640434637</c:v>
                  </c:pt>
                </c:numCache>
              </c:numRef>
            </c:plus>
            <c:minus>
              <c:numRef>
                <c:f>'BRF harvest'!$K$203:$K$226</c:f>
                <c:numCache>
                  <c:formatCode>General</c:formatCode>
                  <c:ptCount val="24"/>
                  <c:pt idx="0">
                    <c:v>254.98805356526293</c:v>
                  </c:pt>
                  <c:pt idx="1">
                    <c:v>58.466854364875161</c:v>
                  </c:pt>
                  <c:pt idx="2">
                    <c:v>226.04224380517783</c:v>
                  </c:pt>
                  <c:pt idx="3">
                    <c:v>317.70619586776081</c:v>
                  </c:pt>
                  <c:pt idx="4">
                    <c:v>244.00990001305823</c:v>
                  </c:pt>
                  <c:pt idx="5">
                    <c:v>156.99807390414466</c:v>
                  </c:pt>
                  <c:pt idx="6">
                    <c:v>248.8226603438894</c:v>
                  </c:pt>
                  <c:pt idx="7">
                    <c:v>241.39905220841968</c:v>
                  </c:pt>
                  <c:pt idx="8">
                    <c:v>133.14574242109327</c:v>
                  </c:pt>
                  <c:pt idx="9">
                    <c:v>116.27067469141933</c:v>
                  </c:pt>
                  <c:pt idx="10">
                    <c:v>264.90106618795778</c:v>
                  </c:pt>
                  <c:pt idx="11">
                    <c:v>278.60742581687595</c:v>
                  </c:pt>
                  <c:pt idx="12">
                    <c:v>236.51476702370167</c:v>
                  </c:pt>
                  <c:pt idx="13">
                    <c:v>249.0143850804283</c:v>
                  </c:pt>
                  <c:pt idx="14">
                    <c:v>349.38821366650058</c:v>
                  </c:pt>
                  <c:pt idx="15">
                    <c:v>518.6732822036314</c:v>
                  </c:pt>
                  <c:pt idx="16">
                    <c:v>423.74834795676816</c:v>
                  </c:pt>
                  <c:pt idx="17">
                    <c:v>550.99063544386411</c:v>
                  </c:pt>
                  <c:pt idx="18">
                    <c:v>516.7686148870074</c:v>
                  </c:pt>
                  <c:pt idx="19">
                    <c:v>548.09305950461078</c:v>
                  </c:pt>
                  <c:pt idx="20">
                    <c:v>564.23435217676854</c:v>
                  </c:pt>
                  <c:pt idx="21">
                    <c:v>675.92198249418254</c:v>
                  </c:pt>
                  <c:pt idx="22">
                    <c:v>433.01130428905782</c:v>
                  </c:pt>
                  <c:pt idx="23">
                    <c:v>832.14128640434637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harvest'!$H$203:$H$226</c:f>
              <c:numCache>
                <c:formatCode>0</c:formatCode>
                <c:ptCount val="24"/>
                <c:pt idx="0">
                  <c:v>5167.1332656509994</c:v>
                </c:pt>
                <c:pt idx="1">
                  <c:v>3209.7525881279998</c:v>
                </c:pt>
                <c:pt idx="2">
                  <c:v>6897.2280846660005</c:v>
                </c:pt>
                <c:pt idx="3">
                  <c:v>7480.4043762629999</c:v>
                </c:pt>
                <c:pt idx="4">
                  <c:v>6139.7493699759998</c:v>
                </c:pt>
                <c:pt idx="5">
                  <c:v>6961.3561104959999</c:v>
                </c:pt>
                <c:pt idx="6">
                  <c:v>8531.6191514399998</c:v>
                </c:pt>
                <c:pt idx="7">
                  <c:v>6967.5589939989995</c:v>
                </c:pt>
                <c:pt idx="8">
                  <c:v>5949.9139055999995</c:v>
                </c:pt>
                <c:pt idx="9">
                  <c:v>8149.8740067169992</c:v>
                </c:pt>
                <c:pt idx="10">
                  <c:v>9097.1529067219999</c:v>
                </c:pt>
                <c:pt idx="11">
                  <c:v>8486.0103097119991</c:v>
                </c:pt>
                <c:pt idx="12">
                  <c:v>7627.2542080149997</c:v>
                </c:pt>
                <c:pt idx="13">
                  <c:v>10481.47453507</c:v>
                </c:pt>
                <c:pt idx="14">
                  <c:v>9522.2315586059995</c:v>
                </c:pt>
                <c:pt idx="15">
                  <c:v>10095.853377456</c:v>
                </c:pt>
                <c:pt idx="16">
                  <c:v>11932.882565032</c:v>
                </c:pt>
                <c:pt idx="17">
                  <c:v>12840.994096404</c:v>
                </c:pt>
                <c:pt idx="18">
                  <c:v>18558.52974726</c:v>
                </c:pt>
                <c:pt idx="19">
                  <c:v>18177.701230818002</c:v>
                </c:pt>
                <c:pt idx="20">
                  <c:v>19030.741697759</c:v>
                </c:pt>
                <c:pt idx="21">
                  <c:v>20588.849432282997</c:v>
                </c:pt>
                <c:pt idx="22">
                  <c:v>21480.884342557409</c:v>
                </c:pt>
                <c:pt idx="23">
                  <c:v>27608.602018441525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10A-A209-583BD30629B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harvest'!$T$203:$T$226</c:f>
                <c:numCache>
                  <c:formatCode>General</c:formatCode>
                  <c:ptCount val="24"/>
                  <c:pt idx="0">
                    <c:v>1010.7819620609891</c:v>
                  </c:pt>
                  <c:pt idx="1">
                    <c:v>654.8487284879684</c:v>
                  </c:pt>
                  <c:pt idx="2">
                    <c:v>1317.6799403880671</c:v>
                  </c:pt>
                  <c:pt idx="3">
                    <c:v>1446.3884085528484</c:v>
                  </c:pt>
                  <c:pt idx="4">
                    <c:v>1285.4649180462557</c:v>
                  </c:pt>
                  <c:pt idx="5">
                    <c:v>1682.789758971574</c:v>
                  </c:pt>
                  <c:pt idx="6">
                    <c:v>1691.9540677446314</c:v>
                  </c:pt>
                  <c:pt idx="7">
                    <c:v>1630.218828009359</c:v>
                  </c:pt>
                  <c:pt idx="8">
                    <c:v>1301.2873405238711</c:v>
                  </c:pt>
                  <c:pt idx="9">
                    <c:v>1738.7559403779364</c:v>
                  </c:pt>
                  <c:pt idx="10">
                    <c:v>1908.2411685390584</c:v>
                  </c:pt>
                  <c:pt idx="11">
                    <c:v>1762.9487078133589</c:v>
                  </c:pt>
                  <c:pt idx="12">
                    <c:v>1812.7849442482918</c:v>
                  </c:pt>
                  <c:pt idx="13">
                    <c:v>1876.3468975349042</c:v>
                  </c:pt>
                  <c:pt idx="14">
                    <c:v>870.81261420157807</c:v>
                  </c:pt>
                  <c:pt idx="15">
                    <c:v>2466.215134799651</c:v>
                  </c:pt>
                  <c:pt idx="16">
                    <c:v>2894.405361837587</c:v>
                  </c:pt>
                  <c:pt idx="17">
                    <c:v>1026.1830369784598</c:v>
                  </c:pt>
                  <c:pt idx="18">
                    <c:v>880.81684209907348</c:v>
                  </c:pt>
                  <c:pt idx="19">
                    <c:v>3331.5545185983046</c:v>
                  </c:pt>
                  <c:pt idx="20">
                    <c:v>1899.2850123101653</c:v>
                  </c:pt>
                  <c:pt idx="21">
                    <c:v>2613.8291216770494</c:v>
                  </c:pt>
                  <c:pt idx="22">
                    <c:v>1913.775741080203</c:v>
                  </c:pt>
                  <c:pt idx="23">
                    <c:v>2904.2182284484252</c:v>
                  </c:pt>
                </c:numCache>
              </c:numRef>
            </c:plus>
            <c:minus>
              <c:numRef>
                <c:f>'BRF harvest'!$T$203:$T$226</c:f>
                <c:numCache>
                  <c:formatCode>General</c:formatCode>
                  <c:ptCount val="24"/>
                  <c:pt idx="0">
                    <c:v>1010.7819620609891</c:v>
                  </c:pt>
                  <c:pt idx="1">
                    <c:v>654.8487284879684</c:v>
                  </c:pt>
                  <c:pt idx="2">
                    <c:v>1317.6799403880671</c:v>
                  </c:pt>
                  <c:pt idx="3">
                    <c:v>1446.3884085528484</c:v>
                  </c:pt>
                  <c:pt idx="4">
                    <c:v>1285.4649180462557</c:v>
                  </c:pt>
                  <c:pt idx="5">
                    <c:v>1682.789758971574</c:v>
                  </c:pt>
                  <c:pt idx="6">
                    <c:v>1691.9540677446314</c:v>
                  </c:pt>
                  <c:pt idx="7">
                    <c:v>1630.218828009359</c:v>
                  </c:pt>
                  <c:pt idx="8">
                    <c:v>1301.2873405238711</c:v>
                  </c:pt>
                  <c:pt idx="9">
                    <c:v>1738.7559403779364</c:v>
                  </c:pt>
                  <c:pt idx="10">
                    <c:v>1908.2411685390584</c:v>
                  </c:pt>
                  <c:pt idx="11">
                    <c:v>1762.9487078133589</c:v>
                  </c:pt>
                  <c:pt idx="12">
                    <c:v>1812.7849442482918</c:v>
                  </c:pt>
                  <c:pt idx="13">
                    <c:v>1876.3468975349042</c:v>
                  </c:pt>
                  <c:pt idx="14">
                    <c:v>870.81261420157807</c:v>
                  </c:pt>
                  <c:pt idx="15">
                    <c:v>2466.215134799651</c:v>
                  </c:pt>
                  <c:pt idx="16">
                    <c:v>2894.405361837587</c:v>
                  </c:pt>
                  <c:pt idx="17">
                    <c:v>1026.1830369784598</c:v>
                  </c:pt>
                  <c:pt idx="18">
                    <c:v>880.81684209907348</c:v>
                  </c:pt>
                  <c:pt idx="19">
                    <c:v>3331.5545185983046</c:v>
                  </c:pt>
                  <c:pt idx="20">
                    <c:v>1899.2850123101653</c:v>
                  </c:pt>
                  <c:pt idx="21">
                    <c:v>2613.8291216770494</c:v>
                  </c:pt>
                  <c:pt idx="22">
                    <c:v>1913.775741080203</c:v>
                  </c:pt>
                  <c:pt idx="23">
                    <c:v>2904.2182284484252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harvest'!$Q$203:$Q$226</c:f>
              <c:numCache>
                <c:formatCode>_(* #,##0_);_(* \(#,##0\);_(* "-"??_);_(@_)</c:formatCode>
                <c:ptCount val="24"/>
                <c:pt idx="0">
                  <c:v>1043.7151639864587</c:v>
                </c:pt>
                <c:pt idx="1">
                  <c:v>676.1849475890275</c:v>
                </c:pt>
                <c:pt idx="2">
                  <c:v>1360.6124631068724</c:v>
                </c:pt>
                <c:pt idx="3">
                  <c:v>1517.7223251427563</c:v>
                </c:pt>
                <c:pt idx="4">
                  <c:v>1327.3478139655747</c:v>
                </c:pt>
                <c:pt idx="5">
                  <c:v>1790.6486998327111</c:v>
                </c:pt>
                <c:pt idx="6">
                  <c:v>1783.2911470558729</c:v>
                </c:pt>
                <c:pt idx="7">
                  <c:v>1732.8149229742776</c:v>
                </c:pt>
                <c:pt idx="8">
                  <c:v>1343.6857611101946</c:v>
                </c:pt>
                <c:pt idx="9">
                  <c:v>1795.4079213519722</c:v>
                </c:pt>
                <c:pt idx="10">
                  <c:v>1970.4153011263197</c:v>
                </c:pt>
                <c:pt idx="11">
                  <c:v>1865.7738475536887</c:v>
                </c:pt>
                <c:pt idx="12">
                  <c:v>1922.752405964075</c:v>
                </c:pt>
                <c:pt idx="13">
                  <c:v>3029.9146948276316</c:v>
                </c:pt>
                <c:pt idx="14">
                  <c:v>1443.1742166490064</c:v>
                </c:pt>
                <c:pt idx="15">
                  <c:v>4115.4006866005184</c:v>
                </c:pt>
                <c:pt idx="16">
                  <c:v>5481.9821308394057</c:v>
                </c:pt>
                <c:pt idx="17">
                  <c:v>1909.9240345722258</c:v>
                </c:pt>
                <c:pt idx="18">
                  <c:v>1940.9457154500958</c:v>
                </c:pt>
                <c:pt idx="19">
                  <c:v>5033.9761826414506</c:v>
                </c:pt>
                <c:pt idx="20">
                  <c:v>2994.0768279876306</c:v>
                </c:pt>
                <c:pt idx="21">
                  <c:v>3992.1411862780751</c:v>
                </c:pt>
                <c:pt idx="22">
                  <c:v>3568.6536897974779</c:v>
                </c:pt>
                <c:pt idx="23">
                  <c:v>5258.4317831303133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10A-A209-583BD30629B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harvest'!$Y$203:$Y$226</c:f>
                <c:numCache>
                  <c:formatCode>General</c:formatCode>
                  <c:ptCount val="24"/>
                  <c:pt idx="0">
                    <c:v>1042.4485993510013</c:v>
                  </c:pt>
                  <c:pt idx="1">
                    <c:v>657.45359551958688</c:v>
                  </c:pt>
                  <c:pt idx="2">
                    <c:v>1336.9276425018595</c:v>
                  </c:pt>
                  <c:pt idx="3">
                    <c:v>1480.8702358035312</c:v>
                  </c:pt>
                  <c:pt idx="4">
                    <c:v>1308.4192320628927</c:v>
                  </c:pt>
                  <c:pt idx="5">
                    <c:v>1690.0975617132931</c:v>
                  </c:pt>
                  <c:pt idx="6">
                    <c:v>1710.152415329761</c:v>
                  </c:pt>
                  <c:pt idx="7">
                    <c:v>1647.994820866659</c:v>
                  </c:pt>
                  <c:pt idx="8">
                    <c:v>1308.0812403411931</c:v>
                  </c:pt>
                  <c:pt idx="9">
                    <c:v>1742.6391163958072</c:v>
                  </c:pt>
                  <c:pt idx="10">
                    <c:v>1926.5401454874559</c:v>
                  </c:pt>
                  <c:pt idx="11">
                    <c:v>1784.8277911611242</c:v>
                  </c:pt>
                  <c:pt idx="12">
                    <c:v>1828.1489242163939</c:v>
                  </c:pt>
                  <c:pt idx="13">
                    <c:v>1892.7984160670264</c:v>
                  </c:pt>
                  <c:pt idx="14">
                    <c:v>938.28925865196538</c:v>
                  </c:pt>
                  <c:pt idx="15">
                    <c:v>2520.1664756096466</c:v>
                  </c:pt>
                  <c:pt idx="16">
                    <c:v>2925.2598279520853</c:v>
                  </c:pt>
                  <c:pt idx="17">
                    <c:v>1164.7498897742673</c:v>
                  </c:pt>
                  <c:pt idx="18">
                    <c:v>1021.2189337539821</c:v>
                  </c:pt>
                  <c:pt idx="19">
                    <c:v>3376.338477147975</c:v>
                  </c:pt>
                  <c:pt idx="20">
                    <c:v>1981.323790338763</c:v>
                  </c:pt>
                  <c:pt idx="21">
                    <c:v>2699.8098458494965</c:v>
                  </c:pt>
                  <c:pt idx="22">
                    <c:v>1962.1509566771845</c:v>
                  </c:pt>
                  <c:pt idx="23">
                    <c:v>3021.0830241803669</c:v>
                  </c:pt>
                </c:numCache>
              </c:numRef>
            </c:plus>
            <c:minus>
              <c:numRef>
                <c:f>'BRF harvest'!$Y$203:$Y$226</c:f>
                <c:numCache>
                  <c:formatCode>General</c:formatCode>
                  <c:ptCount val="24"/>
                  <c:pt idx="0">
                    <c:v>1042.4485993510013</c:v>
                  </c:pt>
                  <c:pt idx="1">
                    <c:v>657.45359551958688</c:v>
                  </c:pt>
                  <c:pt idx="2">
                    <c:v>1336.9276425018595</c:v>
                  </c:pt>
                  <c:pt idx="3">
                    <c:v>1480.8702358035312</c:v>
                  </c:pt>
                  <c:pt idx="4">
                    <c:v>1308.4192320628927</c:v>
                  </c:pt>
                  <c:pt idx="5">
                    <c:v>1690.0975617132931</c:v>
                  </c:pt>
                  <c:pt idx="6">
                    <c:v>1710.152415329761</c:v>
                  </c:pt>
                  <c:pt idx="7">
                    <c:v>1647.994820866659</c:v>
                  </c:pt>
                  <c:pt idx="8">
                    <c:v>1308.0812403411931</c:v>
                  </c:pt>
                  <c:pt idx="9">
                    <c:v>1742.6391163958072</c:v>
                  </c:pt>
                  <c:pt idx="10">
                    <c:v>1926.5401454874559</c:v>
                  </c:pt>
                  <c:pt idx="11">
                    <c:v>1784.8277911611242</c:v>
                  </c:pt>
                  <c:pt idx="12">
                    <c:v>1828.1489242163939</c:v>
                  </c:pt>
                  <c:pt idx="13">
                    <c:v>1892.7984160670264</c:v>
                  </c:pt>
                  <c:pt idx="14">
                    <c:v>938.28925865196538</c:v>
                  </c:pt>
                  <c:pt idx="15">
                    <c:v>2520.1664756096466</c:v>
                  </c:pt>
                  <c:pt idx="16">
                    <c:v>2925.2598279520853</c:v>
                  </c:pt>
                  <c:pt idx="17">
                    <c:v>1164.7498897742673</c:v>
                  </c:pt>
                  <c:pt idx="18">
                    <c:v>1021.2189337539821</c:v>
                  </c:pt>
                  <c:pt idx="19">
                    <c:v>3376.338477147975</c:v>
                  </c:pt>
                  <c:pt idx="20">
                    <c:v>1981.323790338763</c:v>
                  </c:pt>
                  <c:pt idx="21">
                    <c:v>2699.8098458494965</c:v>
                  </c:pt>
                  <c:pt idx="22">
                    <c:v>1962.1509566771845</c:v>
                  </c:pt>
                  <c:pt idx="23">
                    <c:v>3021.0830241803669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harvest'!$V$203:$V$226</c:f>
              <c:numCache>
                <c:formatCode>_(* #,##0_);_(* \(#,##0\);_(* "-"??_);_(@_)</c:formatCode>
                <c:ptCount val="24"/>
                <c:pt idx="0">
                  <c:v>6210.8484296374581</c:v>
                </c:pt>
                <c:pt idx="1">
                  <c:v>3885.9375357170275</c:v>
                </c:pt>
                <c:pt idx="2">
                  <c:v>8257.8405477728738</c:v>
                </c:pt>
                <c:pt idx="3">
                  <c:v>8998.1267014057557</c:v>
                </c:pt>
                <c:pt idx="4">
                  <c:v>7467.0971839415743</c:v>
                </c:pt>
                <c:pt idx="5">
                  <c:v>8752.0048103287118</c:v>
                </c:pt>
                <c:pt idx="6">
                  <c:v>10314.910298495874</c:v>
                </c:pt>
                <c:pt idx="7">
                  <c:v>8700.3739169732762</c:v>
                </c:pt>
                <c:pt idx="8">
                  <c:v>7293.5996667101936</c:v>
                </c:pt>
                <c:pt idx="9">
                  <c:v>9945.281928068971</c:v>
                </c:pt>
                <c:pt idx="10">
                  <c:v>11067.568207848319</c:v>
                </c:pt>
                <c:pt idx="11">
                  <c:v>10351.784157265687</c:v>
                </c:pt>
                <c:pt idx="12">
                  <c:v>9550.0066139790742</c:v>
                </c:pt>
                <c:pt idx="13">
                  <c:v>13511.389229897632</c:v>
                </c:pt>
                <c:pt idx="14">
                  <c:v>10965.405775255005</c:v>
                </c:pt>
                <c:pt idx="15">
                  <c:v>14211.254064056518</c:v>
                </c:pt>
                <c:pt idx="16">
                  <c:v>17414.864695871405</c:v>
                </c:pt>
                <c:pt idx="17">
                  <c:v>14750.918130976226</c:v>
                </c:pt>
                <c:pt idx="18">
                  <c:v>20499.475462710096</c:v>
                </c:pt>
                <c:pt idx="19">
                  <c:v>23211.677413459453</c:v>
                </c:pt>
                <c:pt idx="20">
                  <c:v>22024.818525746632</c:v>
                </c:pt>
                <c:pt idx="21">
                  <c:v>24580.990618561074</c:v>
                </c:pt>
                <c:pt idx="22">
                  <c:v>25049.538032354885</c:v>
                </c:pt>
                <c:pt idx="23">
                  <c:v>32867.033801571837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10A-A209-583BD306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harvest'!$K$228:$K$251</c:f>
                <c:numCache>
                  <c:formatCode>General</c:formatCode>
                  <c:ptCount val="24"/>
                  <c:pt idx="0">
                    <c:v>180.01619310648491</c:v>
                  </c:pt>
                  <c:pt idx="1">
                    <c:v>154.69133439885218</c:v>
                  </c:pt>
                  <c:pt idx="2">
                    <c:v>232.96450438534129</c:v>
                  </c:pt>
                  <c:pt idx="3">
                    <c:v>162.79690223361999</c:v>
                  </c:pt>
                  <c:pt idx="4">
                    <c:v>209.9382395412994</c:v>
                  </c:pt>
                  <c:pt idx="5">
                    <c:v>270.62918278172498</c:v>
                  </c:pt>
                  <c:pt idx="6">
                    <c:v>394.75325141563189</c:v>
                  </c:pt>
                  <c:pt idx="7">
                    <c:v>519.64351800406916</c:v>
                  </c:pt>
                  <c:pt idx="8">
                    <c:v>70.650485273970332</c:v>
                  </c:pt>
                  <c:pt idx="9">
                    <c:v>87.759902252158938</c:v>
                  </c:pt>
                  <c:pt idx="10">
                    <c:v>115.369804247849</c:v>
                  </c:pt>
                  <c:pt idx="11">
                    <c:v>159.10557132646179</c:v>
                  </c:pt>
                  <c:pt idx="12">
                    <c:v>160.51292472208874</c:v>
                  </c:pt>
                  <c:pt idx="13">
                    <c:v>152.71248697276408</c:v>
                  </c:pt>
                  <c:pt idx="14">
                    <c:v>178.35742905933543</c:v>
                  </c:pt>
                  <c:pt idx="15">
                    <c:v>117.92635523446937</c:v>
                  </c:pt>
                  <c:pt idx="16">
                    <c:v>263.81744926471663</c:v>
                  </c:pt>
                  <c:pt idx="17">
                    <c:v>215.64580994046335</c:v>
                  </c:pt>
                  <c:pt idx="18">
                    <c:v>214.44875636617289</c:v>
                  </c:pt>
                  <c:pt idx="19">
                    <c:v>257.85889823075485</c:v>
                  </c:pt>
                  <c:pt idx="20">
                    <c:v>233.12043636932941</c:v>
                  </c:pt>
                  <c:pt idx="21">
                    <c:v>316.27927718419426</c:v>
                  </c:pt>
                  <c:pt idx="22">
                    <c:v>195.03039044037538</c:v>
                  </c:pt>
                  <c:pt idx="23">
                    <c:v>182.53600614577152</c:v>
                  </c:pt>
                </c:numCache>
              </c:numRef>
            </c:plus>
            <c:minus>
              <c:numRef>
                <c:f>'BRF harvest'!$K$228:$K$251</c:f>
                <c:numCache>
                  <c:formatCode>General</c:formatCode>
                  <c:ptCount val="24"/>
                  <c:pt idx="0">
                    <c:v>180.01619310648491</c:v>
                  </c:pt>
                  <c:pt idx="1">
                    <c:v>154.69133439885218</c:v>
                  </c:pt>
                  <c:pt idx="2">
                    <c:v>232.96450438534129</c:v>
                  </c:pt>
                  <c:pt idx="3">
                    <c:v>162.79690223361999</c:v>
                  </c:pt>
                  <c:pt idx="4">
                    <c:v>209.9382395412994</c:v>
                  </c:pt>
                  <c:pt idx="5">
                    <c:v>270.62918278172498</c:v>
                  </c:pt>
                  <c:pt idx="6">
                    <c:v>394.75325141563189</c:v>
                  </c:pt>
                  <c:pt idx="7">
                    <c:v>519.64351800406916</c:v>
                  </c:pt>
                  <c:pt idx="8">
                    <c:v>70.650485273970332</c:v>
                  </c:pt>
                  <c:pt idx="9">
                    <c:v>87.759902252158938</c:v>
                  </c:pt>
                  <c:pt idx="10">
                    <c:v>115.369804247849</c:v>
                  </c:pt>
                  <c:pt idx="11">
                    <c:v>159.10557132646179</c:v>
                  </c:pt>
                  <c:pt idx="12">
                    <c:v>160.51292472208874</c:v>
                  </c:pt>
                  <c:pt idx="13">
                    <c:v>152.71248697276408</c:v>
                  </c:pt>
                  <c:pt idx="14">
                    <c:v>178.35742905933543</c:v>
                  </c:pt>
                  <c:pt idx="15">
                    <c:v>117.92635523446937</c:v>
                  </c:pt>
                  <c:pt idx="16">
                    <c:v>263.81744926471663</c:v>
                  </c:pt>
                  <c:pt idx="17">
                    <c:v>215.64580994046335</c:v>
                  </c:pt>
                  <c:pt idx="18">
                    <c:v>214.44875636617289</c:v>
                  </c:pt>
                  <c:pt idx="19">
                    <c:v>257.85889823075485</c:v>
                  </c:pt>
                  <c:pt idx="20">
                    <c:v>233.12043636932941</c:v>
                  </c:pt>
                  <c:pt idx="21">
                    <c:v>316.27927718419426</c:v>
                  </c:pt>
                  <c:pt idx="22">
                    <c:v>195.03039044037538</c:v>
                  </c:pt>
                  <c:pt idx="23">
                    <c:v>182.53600614577152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harvest'!$H$228:$H$251</c:f>
              <c:numCache>
                <c:formatCode>0</c:formatCode>
                <c:ptCount val="24"/>
                <c:pt idx="0">
                  <c:v>4307.3105064480005</c:v>
                </c:pt>
                <c:pt idx="1">
                  <c:v>3701.3537416520003</c:v>
                </c:pt>
                <c:pt idx="2">
                  <c:v>5574.2232965390003</c:v>
                </c:pt>
                <c:pt idx="3">
                  <c:v>3895.2985023589999</c:v>
                </c:pt>
                <c:pt idx="4">
                  <c:v>5023.2657922420003</c:v>
                </c:pt>
                <c:pt idx="5">
                  <c:v>6475.4392492770003</c:v>
                </c:pt>
                <c:pt idx="6">
                  <c:v>9445.3993162229999</c:v>
                </c:pt>
                <c:pt idx="7">
                  <c:v>12433.692470002001</c:v>
                </c:pt>
                <c:pt idx="8">
                  <c:v>19937.61</c:v>
                </c:pt>
                <c:pt idx="9">
                  <c:v>23763.087258845</c:v>
                </c:pt>
                <c:pt idx="10">
                  <c:v>37118.709684875001</c:v>
                </c:pt>
                <c:pt idx="11">
                  <c:v>21497.313479880002</c:v>
                </c:pt>
                <c:pt idx="12">
                  <c:v>29653.243748955003</c:v>
                </c:pt>
                <c:pt idx="13">
                  <c:v>45586.335451904</c:v>
                </c:pt>
                <c:pt idx="14">
                  <c:v>42144.908542379999</c:v>
                </c:pt>
                <c:pt idx="15">
                  <c:v>47528.045418661</c:v>
                </c:pt>
                <c:pt idx="16">
                  <c:v>57688.236447435003</c:v>
                </c:pt>
                <c:pt idx="17">
                  <c:v>61361.828038818996</c:v>
                </c:pt>
                <c:pt idx="18">
                  <c:v>40112.691367248</c:v>
                </c:pt>
                <c:pt idx="19">
                  <c:v>43059.579655365</c:v>
                </c:pt>
                <c:pt idx="20">
                  <c:v>41893.065415131001</c:v>
                </c:pt>
                <c:pt idx="21">
                  <c:v>47571.402320476642</c:v>
                </c:pt>
                <c:pt idx="22">
                  <c:v>22497.882352941167</c:v>
                </c:pt>
                <c:pt idx="23">
                  <c:v>52173.075122864495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2EA-BC05-F6D23217A00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harvest'!$T$228:$T$251</c:f>
                <c:numCache>
                  <c:formatCode>General</c:formatCode>
                  <c:ptCount val="24"/>
                  <c:pt idx="0">
                    <c:v>531.00648820105766</c:v>
                  </c:pt>
                  <c:pt idx="1">
                    <c:v>546.31417043619388</c:v>
                  </c:pt>
                  <c:pt idx="2">
                    <c:v>955.59623730822409</c:v>
                  </c:pt>
                  <c:pt idx="3">
                    <c:v>855.13248575021919</c:v>
                  </c:pt>
                  <c:pt idx="4">
                    <c:v>793.95845192906393</c:v>
                  </c:pt>
                  <c:pt idx="5">
                    <c:v>865.84786331481462</c:v>
                  </c:pt>
                  <c:pt idx="6">
                    <c:v>1235.7268222112166</c:v>
                  </c:pt>
                  <c:pt idx="7">
                    <c:v>1548.0035398079947</c:v>
                  </c:pt>
                  <c:pt idx="8">
                    <c:v>1806.7792402529124</c:v>
                  </c:pt>
                  <c:pt idx="9">
                    <c:v>2180.1011011643795</c:v>
                  </c:pt>
                  <c:pt idx="10">
                    <c:v>3046.6037098836764</c:v>
                  </c:pt>
                  <c:pt idx="11">
                    <c:v>1850.8548666539123</c:v>
                  </c:pt>
                  <c:pt idx="12">
                    <c:v>2558.484464171841</c:v>
                  </c:pt>
                  <c:pt idx="13">
                    <c:v>2837.2926423232161</c:v>
                  </c:pt>
                  <c:pt idx="14">
                    <c:v>1188.8826648008783</c:v>
                  </c:pt>
                  <c:pt idx="15">
                    <c:v>2331.0635258366824</c:v>
                  </c:pt>
                  <c:pt idx="16">
                    <c:v>3570.2071724001139</c:v>
                  </c:pt>
                  <c:pt idx="17">
                    <c:v>2027.9116821877458</c:v>
                  </c:pt>
                  <c:pt idx="18">
                    <c:v>1579.9158266803217</c:v>
                  </c:pt>
                  <c:pt idx="19">
                    <c:v>3629.7595939655644</c:v>
                  </c:pt>
                  <c:pt idx="20">
                    <c:v>1361.1821193874207</c:v>
                  </c:pt>
                  <c:pt idx="21">
                    <c:v>2282.1066757020167</c:v>
                  </c:pt>
                  <c:pt idx="22">
                    <c:v>3078.6417458008805</c:v>
                  </c:pt>
                  <c:pt idx="23">
                    <c:v>2139.5230245254647</c:v>
                  </c:pt>
                </c:numCache>
              </c:numRef>
            </c:plus>
            <c:minus>
              <c:numRef>
                <c:f>'BRF harvest'!$T$228:$T$251</c:f>
                <c:numCache>
                  <c:formatCode>General</c:formatCode>
                  <c:ptCount val="24"/>
                  <c:pt idx="0">
                    <c:v>531.00648820105766</c:v>
                  </c:pt>
                  <c:pt idx="1">
                    <c:v>546.31417043619388</c:v>
                  </c:pt>
                  <c:pt idx="2">
                    <c:v>955.59623730822409</c:v>
                  </c:pt>
                  <c:pt idx="3">
                    <c:v>855.13248575021919</c:v>
                  </c:pt>
                  <c:pt idx="4">
                    <c:v>793.95845192906393</c:v>
                  </c:pt>
                  <c:pt idx="5">
                    <c:v>865.84786331481462</c:v>
                  </c:pt>
                  <c:pt idx="6">
                    <c:v>1235.7268222112166</c:v>
                  </c:pt>
                  <c:pt idx="7">
                    <c:v>1548.0035398079947</c:v>
                  </c:pt>
                  <c:pt idx="8">
                    <c:v>1806.7792402529124</c:v>
                  </c:pt>
                  <c:pt idx="9">
                    <c:v>2180.1011011643795</c:v>
                  </c:pt>
                  <c:pt idx="10">
                    <c:v>3046.6037098836764</c:v>
                  </c:pt>
                  <c:pt idx="11">
                    <c:v>1850.8548666539123</c:v>
                  </c:pt>
                  <c:pt idx="12">
                    <c:v>2558.484464171841</c:v>
                  </c:pt>
                  <c:pt idx="13">
                    <c:v>2837.2926423232161</c:v>
                  </c:pt>
                  <c:pt idx="14">
                    <c:v>1188.8826648008783</c:v>
                  </c:pt>
                  <c:pt idx="15">
                    <c:v>2331.0635258366824</c:v>
                  </c:pt>
                  <c:pt idx="16">
                    <c:v>3570.2071724001139</c:v>
                  </c:pt>
                  <c:pt idx="17">
                    <c:v>2027.9116821877458</c:v>
                  </c:pt>
                  <c:pt idx="18">
                    <c:v>1579.9158266803217</c:v>
                  </c:pt>
                  <c:pt idx="19">
                    <c:v>3629.7595939655644</c:v>
                  </c:pt>
                  <c:pt idx="20">
                    <c:v>1361.1821193874207</c:v>
                  </c:pt>
                  <c:pt idx="21">
                    <c:v>2282.1066757020167</c:v>
                  </c:pt>
                  <c:pt idx="22">
                    <c:v>3078.6417458008805</c:v>
                  </c:pt>
                  <c:pt idx="23">
                    <c:v>2139.5230245254647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harvest'!$Q$228:$Q$251</c:f>
              <c:numCache>
                <c:formatCode>_(* #,##0_);_(* \(#,##0\);_(* "-"??_);_(@_)</c:formatCode>
                <c:ptCount val="24"/>
                <c:pt idx="0">
                  <c:v>801.97560434533898</c:v>
                </c:pt>
                <c:pt idx="1">
                  <c:v>825.0946960785484</c:v>
                </c:pt>
                <c:pt idx="2">
                  <c:v>1443.2307080120315</c:v>
                </c:pt>
                <c:pt idx="3">
                  <c:v>1291.5009652296328</c:v>
                </c:pt>
                <c:pt idx="4">
                  <c:v>1199.1102245624738</c:v>
                </c:pt>
                <c:pt idx="5">
                  <c:v>1307.6843294428807</c:v>
                </c:pt>
                <c:pt idx="6">
                  <c:v>1866.3100867297687</c:v>
                </c:pt>
                <c:pt idx="7">
                  <c:v>2337.9395580872447</c:v>
                </c:pt>
                <c:pt idx="8">
                  <c:v>2745.1220220593482</c:v>
                </c:pt>
                <c:pt idx="9">
                  <c:v>3306.1093954988428</c:v>
                </c:pt>
                <c:pt idx="10">
                  <c:v>4633.9388452869034</c:v>
                </c:pt>
                <c:pt idx="11">
                  <c:v>2810.3532954239713</c:v>
                </c:pt>
                <c:pt idx="12">
                  <c:v>3901.0268763911654</c:v>
                </c:pt>
                <c:pt idx="13">
                  <c:v>5183.4449949519339</c:v>
                </c:pt>
                <c:pt idx="14">
                  <c:v>3614.3003611751105</c:v>
                </c:pt>
                <c:pt idx="15">
                  <c:v>5801.0706973464085</c:v>
                </c:pt>
                <c:pt idx="16">
                  <c:v>7443.7972662008888</c:v>
                </c:pt>
                <c:pt idx="17">
                  <c:v>4730.7066242056717</c:v>
                </c:pt>
                <c:pt idx="18">
                  <c:v>4320.7024577394777</c:v>
                </c:pt>
                <c:pt idx="19">
                  <c:v>7333.1831447602945</c:v>
                </c:pt>
                <c:pt idx="20">
                  <c:v>3746.6034810478227</c:v>
                </c:pt>
                <c:pt idx="21">
                  <c:v>5715.7454789153699</c:v>
                </c:pt>
                <c:pt idx="22">
                  <c:v>4931.14454521266</c:v>
                </c:pt>
                <c:pt idx="23">
                  <c:v>5656.9398503869897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6-42EA-BC05-F6D23217A00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harvest'!$Y$228:$Y$251</c:f>
                <c:numCache>
                  <c:formatCode>General</c:formatCode>
                  <c:ptCount val="24"/>
                  <c:pt idx="0">
                    <c:v>560.69039611194637</c:v>
                  </c:pt>
                  <c:pt idx="1">
                    <c:v>567.79272781313796</c:v>
                  </c:pt>
                  <c:pt idx="2">
                    <c:v>983.58356485920581</c:v>
                  </c:pt>
                  <c:pt idx="3">
                    <c:v>870.49089573769334</c:v>
                  </c:pt>
                  <c:pt idx="4">
                    <c:v>821.24544918757124</c:v>
                  </c:pt>
                  <c:pt idx="5">
                    <c:v>907.15636853848628</c:v>
                  </c:pt>
                  <c:pt idx="6">
                    <c:v>1297.2474353936664</c:v>
                  </c:pt>
                  <c:pt idx="7">
                    <c:v>1632.8944684399316</c:v>
                  </c:pt>
                  <c:pt idx="8">
                    <c:v>1808.1600355273697</c:v>
                  </c:pt>
                  <c:pt idx="9">
                    <c:v>2181.8667722254372</c:v>
                  </c:pt>
                  <c:pt idx="10">
                    <c:v>3048.7873584114009</c:v>
                  </c:pt>
                  <c:pt idx="11">
                    <c:v>1857.6808983901385</c:v>
                  </c:pt>
                  <c:pt idx="12">
                    <c:v>2563.514609361825</c:v>
                  </c:pt>
                  <c:pt idx="13">
                    <c:v>2841.3994161079963</c:v>
                  </c:pt>
                  <c:pt idx="14">
                    <c:v>1202.186908581479</c:v>
                  </c:pt>
                  <c:pt idx="15">
                    <c:v>2334.0445125886167</c:v>
                  </c:pt>
                  <c:pt idx="16">
                    <c:v>3579.9411867227313</c:v>
                  </c:pt>
                  <c:pt idx="17">
                    <c:v>2039.3452150380065</c:v>
                  </c:pt>
                  <c:pt idx="18">
                    <c:v>1594.4034271482117</c:v>
                  </c:pt>
                  <c:pt idx="19">
                    <c:v>3638.9072427559677</c:v>
                  </c:pt>
                  <c:pt idx="20">
                    <c:v>1381.0003258482805</c:v>
                  </c:pt>
                  <c:pt idx="21">
                    <c:v>2303.9191523271529</c:v>
                  </c:pt>
                  <c:pt idx="22">
                    <c:v>3084.8130984199379</c:v>
                  </c:pt>
                  <c:pt idx="23">
                    <c:v>2147.2955469646558</c:v>
                  </c:pt>
                </c:numCache>
              </c:numRef>
            </c:plus>
            <c:minus>
              <c:numRef>
                <c:f>'BRF harvest'!$Y$228:$Y$251</c:f>
                <c:numCache>
                  <c:formatCode>General</c:formatCode>
                  <c:ptCount val="24"/>
                  <c:pt idx="0">
                    <c:v>560.69039611194637</c:v>
                  </c:pt>
                  <c:pt idx="1">
                    <c:v>567.79272781313796</c:v>
                  </c:pt>
                  <c:pt idx="2">
                    <c:v>983.58356485920581</c:v>
                  </c:pt>
                  <c:pt idx="3">
                    <c:v>870.49089573769334</c:v>
                  </c:pt>
                  <c:pt idx="4">
                    <c:v>821.24544918757124</c:v>
                  </c:pt>
                  <c:pt idx="5">
                    <c:v>907.15636853848628</c:v>
                  </c:pt>
                  <c:pt idx="6">
                    <c:v>1297.2474353936664</c:v>
                  </c:pt>
                  <c:pt idx="7">
                    <c:v>1632.8944684399316</c:v>
                  </c:pt>
                  <c:pt idx="8">
                    <c:v>1808.1600355273697</c:v>
                  </c:pt>
                  <c:pt idx="9">
                    <c:v>2181.8667722254372</c:v>
                  </c:pt>
                  <c:pt idx="10">
                    <c:v>3048.7873584114009</c:v>
                  </c:pt>
                  <c:pt idx="11">
                    <c:v>1857.6808983901385</c:v>
                  </c:pt>
                  <c:pt idx="12">
                    <c:v>2563.514609361825</c:v>
                  </c:pt>
                  <c:pt idx="13">
                    <c:v>2841.3994161079963</c:v>
                  </c:pt>
                  <c:pt idx="14">
                    <c:v>1202.186908581479</c:v>
                  </c:pt>
                  <c:pt idx="15">
                    <c:v>2334.0445125886167</c:v>
                  </c:pt>
                  <c:pt idx="16">
                    <c:v>3579.9411867227313</c:v>
                  </c:pt>
                  <c:pt idx="17">
                    <c:v>2039.3452150380065</c:v>
                  </c:pt>
                  <c:pt idx="18">
                    <c:v>1594.4034271482117</c:v>
                  </c:pt>
                  <c:pt idx="19">
                    <c:v>3638.9072427559677</c:v>
                  </c:pt>
                  <c:pt idx="20">
                    <c:v>1381.0003258482805</c:v>
                  </c:pt>
                  <c:pt idx="21">
                    <c:v>2303.9191523271529</c:v>
                  </c:pt>
                  <c:pt idx="22">
                    <c:v>3084.8130984199379</c:v>
                  </c:pt>
                  <c:pt idx="23">
                    <c:v>2147.2955469646558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harvest'!$V$228:$V$251</c:f>
              <c:numCache>
                <c:formatCode>_(* #,##0_);_(* \(#,##0\);_(* "-"??_);_(@_)</c:formatCode>
                <c:ptCount val="24"/>
                <c:pt idx="0">
                  <c:v>5109.2861107933395</c:v>
                </c:pt>
                <c:pt idx="1">
                  <c:v>4526.4484377305489</c:v>
                </c:pt>
                <c:pt idx="2">
                  <c:v>7017.4540045510321</c:v>
                </c:pt>
                <c:pt idx="3">
                  <c:v>5186.799467588633</c:v>
                </c:pt>
                <c:pt idx="4">
                  <c:v>6222.3760168044737</c:v>
                </c:pt>
                <c:pt idx="5">
                  <c:v>7783.1235787198812</c:v>
                </c:pt>
                <c:pt idx="6">
                  <c:v>11311.709402952769</c:v>
                </c:pt>
                <c:pt idx="7">
                  <c:v>14771.632028089245</c:v>
                </c:pt>
                <c:pt idx="8">
                  <c:v>22682.73202205935</c:v>
                </c:pt>
                <c:pt idx="9">
                  <c:v>27069.196654343843</c:v>
                </c:pt>
                <c:pt idx="10">
                  <c:v>41752.648530161903</c:v>
                </c:pt>
                <c:pt idx="11">
                  <c:v>24307.666775303973</c:v>
                </c:pt>
                <c:pt idx="12">
                  <c:v>33554.270625346166</c:v>
                </c:pt>
                <c:pt idx="13">
                  <c:v>50769.780446855933</c:v>
                </c:pt>
                <c:pt idx="14">
                  <c:v>45759.208903555111</c:v>
                </c:pt>
                <c:pt idx="15">
                  <c:v>53329.116116007412</c:v>
                </c:pt>
                <c:pt idx="16">
                  <c:v>65132.033713635894</c:v>
                </c:pt>
                <c:pt idx="17">
                  <c:v>66092.534663024664</c:v>
                </c:pt>
                <c:pt idx="18">
                  <c:v>44433.393824987477</c:v>
                </c:pt>
                <c:pt idx="19">
                  <c:v>50392.762800125296</c:v>
                </c:pt>
                <c:pt idx="20">
                  <c:v>45639.668896178824</c:v>
                </c:pt>
                <c:pt idx="21">
                  <c:v>53287.147799392013</c:v>
                </c:pt>
                <c:pt idx="22">
                  <c:v>27429.026898153828</c:v>
                </c:pt>
                <c:pt idx="23">
                  <c:v>57830.014973251484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6-42EA-BC05-F6D2321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harvest'!$K$253:$K$276</c:f>
                <c:numCache>
                  <c:formatCode>General</c:formatCode>
                  <c:ptCount val="24"/>
                  <c:pt idx="0">
                    <c:v>19.842228352511459</c:v>
                  </c:pt>
                  <c:pt idx="1">
                    <c:v>15.527466250105533</c:v>
                  </c:pt>
                  <c:pt idx="2">
                    <c:v>30.004628567388572</c:v>
                  </c:pt>
                  <c:pt idx="3">
                    <c:v>25.292454166076833</c:v>
                  </c:pt>
                  <c:pt idx="4">
                    <c:v>22.453794888178201</c:v>
                  </c:pt>
                  <c:pt idx="5">
                    <c:v>33.609725850319833</c:v>
                  </c:pt>
                  <c:pt idx="6">
                    <c:v>31.878143690801668</c:v>
                  </c:pt>
                  <c:pt idx="7">
                    <c:v>39.514137148349</c:v>
                  </c:pt>
                  <c:pt idx="8">
                    <c:v>2.770257074575269</c:v>
                  </c:pt>
                  <c:pt idx="9">
                    <c:v>0</c:v>
                  </c:pt>
                  <c:pt idx="10">
                    <c:v>3.2679971040976232</c:v>
                  </c:pt>
                  <c:pt idx="11">
                    <c:v>5.9606311694123706</c:v>
                  </c:pt>
                  <c:pt idx="12">
                    <c:v>21.344004401596784</c:v>
                  </c:pt>
                  <c:pt idx="13">
                    <c:v>15.24896766860082</c:v>
                  </c:pt>
                  <c:pt idx="14">
                    <c:v>20.922955423704646</c:v>
                  </c:pt>
                  <c:pt idx="15">
                    <c:v>10.485487199292187</c:v>
                  </c:pt>
                  <c:pt idx="16">
                    <c:v>6.2442548150057551</c:v>
                  </c:pt>
                  <c:pt idx="17">
                    <c:v>11.575900257958272</c:v>
                  </c:pt>
                  <c:pt idx="18">
                    <c:v>6.7352778779021936</c:v>
                  </c:pt>
                  <c:pt idx="19">
                    <c:v>42.133235457348846</c:v>
                  </c:pt>
                  <c:pt idx="20">
                    <c:v>45.376867500194386</c:v>
                  </c:pt>
                  <c:pt idx="21">
                    <c:v>52.03770966906275</c:v>
                  </c:pt>
                  <c:pt idx="22">
                    <c:v>34.789234359143258</c:v>
                  </c:pt>
                  <c:pt idx="23">
                    <c:v>33.729200412224628</c:v>
                  </c:pt>
                </c:numCache>
              </c:numRef>
            </c:plus>
            <c:minus>
              <c:numRef>
                <c:f>'BRF harvest'!$K$253:$K$276</c:f>
                <c:numCache>
                  <c:formatCode>General</c:formatCode>
                  <c:ptCount val="24"/>
                  <c:pt idx="0">
                    <c:v>19.842228352511459</c:v>
                  </c:pt>
                  <c:pt idx="1">
                    <c:v>15.527466250105533</c:v>
                  </c:pt>
                  <c:pt idx="2">
                    <c:v>30.004628567388572</c:v>
                  </c:pt>
                  <c:pt idx="3">
                    <c:v>25.292454166076833</c:v>
                  </c:pt>
                  <c:pt idx="4">
                    <c:v>22.453794888178201</c:v>
                  </c:pt>
                  <c:pt idx="5">
                    <c:v>33.609725850319833</c:v>
                  </c:pt>
                  <c:pt idx="6">
                    <c:v>31.878143690801668</c:v>
                  </c:pt>
                  <c:pt idx="7">
                    <c:v>39.514137148349</c:v>
                  </c:pt>
                  <c:pt idx="8">
                    <c:v>2.770257074575269</c:v>
                  </c:pt>
                  <c:pt idx="9">
                    <c:v>0</c:v>
                  </c:pt>
                  <c:pt idx="10">
                    <c:v>3.2679971040976232</c:v>
                  </c:pt>
                  <c:pt idx="11">
                    <c:v>5.9606311694123706</c:v>
                  </c:pt>
                  <c:pt idx="12">
                    <c:v>21.344004401596784</c:v>
                  </c:pt>
                  <c:pt idx="13">
                    <c:v>15.24896766860082</c:v>
                  </c:pt>
                  <c:pt idx="14">
                    <c:v>20.922955423704646</c:v>
                  </c:pt>
                  <c:pt idx="15">
                    <c:v>10.485487199292187</c:v>
                  </c:pt>
                  <c:pt idx="16">
                    <c:v>6.2442548150057551</c:v>
                  </c:pt>
                  <c:pt idx="17">
                    <c:v>11.575900257958272</c:v>
                  </c:pt>
                  <c:pt idx="18">
                    <c:v>6.7352778779021936</c:v>
                  </c:pt>
                  <c:pt idx="19">
                    <c:v>42.133235457348846</c:v>
                  </c:pt>
                  <c:pt idx="20">
                    <c:v>45.376867500194386</c:v>
                  </c:pt>
                  <c:pt idx="21">
                    <c:v>52.03770966906275</c:v>
                  </c:pt>
                  <c:pt idx="22">
                    <c:v>34.789234359143258</c:v>
                  </c:pt>
                  <c:pt idx="23">
                    <c:v>33.729200412224628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harvest'!$H$253:$H$276</c:f>
              <c:numCache>
                <c:formatCode>0</c:formatCode>
                <c:ptCount val="24"/>
                <c:pt idx="0">
                  <c:v>690.47083485299993</c:v>
                </c:pt>
                <c:pt idx="1">
                  <c:v>540.32553170899996</c:v>
                </c:pt>
                <c:pt idx="2">
                  <c:v>1044.1025356789999</c:v>
                </c:pt>
                <c:pt idx="3">
                  <c:v>880.12805987699994</c:v>
                </c:pt>
                <c:pt idx="4">
                  <c:v>781.34825517699994</c:v>
                </c:pt>
                <c:pt idx="5">
                  <c:v>1169.552887648</c:v>
                </c:pt>
                <c:pt idx="6">
                  <c:v>1109.2972067809999</c:v>
                </c:pt>
                <c:pt idx="7">
                  <c:v>1375.0148814239999</c:v>
                </c:pt>
                <c:pt idx="8">
                  <c:v>2087.58660349</c:v>
                </c:pt>
                <c:pt idx="9">
                  <c:v>1956</c:v>
                </c:pt>
                <c:pt idx="10">
                  <c:v>2454.3326535280003</c:v>
                </c:pt>
                <c:pt idx="11">
                  <c:v>2187.728365722</c:v>
                </c:pt>
                <c:pt idx="12">
                  <c:v>1889.382352032</c:v>
                </c:pt>
                <c:pt idx="13">
                  <c:v>2329.7703125000003</c:v>
                </c:pt>
                <c:pt idx="14">
                  <c:v>2663.1144591929997</c:v>
                </c:pt>
                <c:pt idx="15">
                  <c:v>3416.8393150320003</c:v>
                </c:pt>
                <c:pt idx="16">
                  <c:v>4015.4932744799999</c:v>
                </c:pt>
                <c:pt idx="17">
                  <c:v>4700.5145911449999</c:v>
                </c:pt>
                <c:pt idx="18">
                  <c:v>6233.563637532</c:v>
                </c:pt>
                <c:pt idx="19">
                  <c:v>5353.6794426050001</c:v>
                </c:pt>
                <c:pt idx="20">
                  <c:v>7519.9182425179997</c:v>
                </c:pt>
                <c:pt idx="21">
                  <c:v>6887.5561613958553</c:v>
                </c:pt>
                <c:pt idx="22">
                  <c:v>3913.6902552204169</c:v>
                </c:pt>
                <c:pt idx="23">
                  <c:v>7153.7144515380114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4-4F63-AFB2-46CF77AC66C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harvest'!$T$253:$T$276</c:f>
                <c:numCache>
                  <c:formatCode>General</c:formatCode>
                  <c:ptCount val="24"/>
                  <c:pt idx="0">
                    <c:v>283.40131210922664</c:v>
                  </c:pt>
                  <c:pt idx="1">
                    <c:v>143.98089649687148</c:v>
                  </c:pt>
                  <c:pt idx="2">
                    <c:v>260.38174193023968</c:v>
                  </c:pt>
                  <c:pt idx="3">
                    <c:v>226.50388393097575</c:v>
                  </c:pt>
                  <c:pt idx="4">
                    <c:v>193.9290204701451</c:v>
                  </c:pt>
                  <c:pt idx="5">
                    <c:v>353.32868567180975</c:v>
                  </c:pt>
                  <c:pt idx="6">
                    <c:v>325.96580036471198</c:v>
                  </c:pt>
                  <c:pt idx="7">
                    <c:v>363.96980773568106</c:v>
                  </c:pt>
                  <c:pt idx="8">
                    <c:v>571.05093081729069</c:v>
                  </c:pt>
                  <c:pt idx="9">
                    <c:v>537.56600342883348</c:v>
                  </c:pt>
                  <c:pt idx="10">
                    <c:v>562.33951898152065</c:v>
                  </c:pt>
                  <c:pt idx="11">
                    <c:v>581.52055414283473</c:v>
                  </c:pt>
                  <c:pt idx="12">
                    <c:v>539.57841199577194</c:v>
                  </c:pt>
                  <c:pt idx="13">
                    <c:v>1031.6201392707285</c:v>
                  </c:pt>
                  <c:pt idx="14">
                    <c:v>343.05315282784937</c:v>
                  </c:pt>
                  <c:pt idx="15">
                    <c:v>507.46130964408451</c:v>
                  </c:pt>
                  <c:pt idx="16">
                    <c:v>833.53139259188697</c:v>
                  </c:pt>
                  <c:pt idx="17">
                    <c:v>2033.5178039098355</c:v>
                  </c:pt>
                  <c:pt idx="18">
                    <c:v>1213.5392360329301</c:v>
                  </c:pt>
                  <c:pt idx="19">
                    <c:v>776.83552378217507</c:v>
                  </c:pt>
                  <c:pt idx="20">
                    <c:v>1062.7598576857138</c:v>
                  </c:pt>
                  <c:pt idx="21">
                    <c:v>1866.3373840044876</c:v>
                  </c:pt>
                  <c:pt idx="22">
                    <c:v>641.69274202682902</c:v>
                  </c:pt>
                  <c:pt idx="23">
                    <c:v>1075.9485211786398</c:v>
                  </c:pt>
                </c:numCache>
              </c:numRef>
            </c:plus>
            <c:minus>
              <c:numRef>
                <c:f>'BRF harvest'!$T$253:$T$276</c:f>
                <c:numCache>
                  <c:formatCode>General</c:formatCode>
                  <c:ptCount val="24"/>
                  <c:pt idx="0">
                    <c:v>283.40131210922664</c:v>
                  </c:pt>
                  <c:pt idx="1">
                    <c:v>143.98089649687148</c:v>
                  </c:pt>
                  <c:pt idx="2">
                    <c:v>260.38174193023968</c:v>
                  </c:pt>
                  <c:pt idx="3">
                    <c:v>226.50388393097575</c:v>
                  </c:pt>
                  <c:pt idx="4">
                    <c:v>193.9290204701451</c:v>
                  </c:pt>
                  <c:pt idx="5">
                    <c:v>353.32868567180975</c:v>
                  </c:pt>
                  <c:pt idx="6">
                    <c:v>325.96580036471198</c:v>
                  </c:pt>
                  <c:pt idx="7">
                    <c:v>363.96980773568106</c:v>
                  </c:pt>
                  <c:pt idx="8">
                    <c:v>571.05093081729069</c:v>
                  </c:pt>
                  <c:pt idx="9">
                    <c:v>537.56600342883348</c:v>
                  </c:pt>
                  <c:pt idx="10">
                    <c:v>562.33951898152065</c:v>
                  </c:pt>
                  <c:pt idx="11">
                    <c:v>581.52055414283473</c:v>
                  </c:pt>
                  <c:pt idx="12">
                    <c:v>539.57841199577194</c:v>
                  </c:pt>
                  <c:pt idx="13">
                    <c:v>1031.6201392707285</c:v>
                  </c:pt>
                  <c:pt idx="14">
                    <c:v>343.05315282784937</c:v>
                  </c:pt>
                  <c:pt idx="15">
                    <c:v>507.46130964408451</c:v>
                  </c:pt>
                  <c:pt idx="16">
                    <c:v>833.53139259188697</c:v>
                  </c:pt>
                  <c:pt idx="17">
                    <c:v>2033.5178039098355</c:v>
                  </c:pt>
                  <c:pt idx="18">
                    <c:v>1213.5392360329301</c:v>
                  </c:pt>
                  <c:pt idx="19">
                    <c:v>776.83552378217507</c:v>
                  </c:pt>
                  <c:pt idx="20">
                    <c:v>1062.7598576857138</c:v>
                  </c:pt>
                  <c:pt idx="21">
                    <c:v>1866.3373840044876</c:v>
                  </c:pt>
                  <c:pt idx="22">
                    <c:v>641.69274202682902</c:v>
                  </c:pt>
                  <c:pt idx="23">
                    <c:v>1075.9485211786398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harvest'!$Q$253:$Q$276</c:f>
              <c:numCache>
                <c:formatCode>_(* #,##0_);_(* \(#,##0\);_(* "-"??_);_(@_)</c:formatCode>
                <c:ptCount val="24"/>
                <c:pt idx="0">
                  <c:v>295.36170376833837</c:v>
                </c:pt>
                <c:pt idx="1">
                  <c:v>150.05732536276503</c:v>
                </c:pt>
                <c:pt idx="2">
                  <c:v>271.37063817489474</c:v>
                </c:pt>
                <c:pt idx="3">
                  <c:v>236.06303220718536</c:v>
                </c:pt>
                <c:pt idx="4">
                  <c:v>202.11341108438779</c:v>
                </c:pt>
                <c:pt idx="5">
                  <c:v>368.24022377861053</c:v>
                </c:pt>
                <c:pt idx="6">
                  <c:v>339.72254203546038</c:v>
                </c:pt>
                <c:pt idx="7">
                  <c:v>379.33043334539087</c:v>
                </c:pt>
                <c:pt idx="8">
                  <c:v>601.31198692283215</c:v>
                </c:pt>
                <c:pt idx="9">
                  <c:v>566.29177950935309</c:v>
                </c:pt>
                <c:pt idx="10">
                  <c:v>588.88360878846356</c:v>
                </c:pt>
                <c:pt idx="11">
                  <c:v>612.6211047032599</c:v>
                </c:pt>
                <c:pt idx="12">
                  <c:v>568.18998191297976</c:v>
                </c:pt>
                <c:pt idx="13">
                  <c:v>1186.6216069144452</c:v>
                </c:pt>
                <c:pt idx="14">
                  <c:v>424.15139014594268</c:v>
                </c:pt>
                <c:pt idx="15">
                  <c:v>513.66766016698386</c:v>
                </c:pt>
                <c:pt idx="16">
                  <c:v>888.71085848877408</c:v>
                </c:pt>
                <c:pt idx="17">
                  <c:v>2353.9757505132493</c:v>
                </c:pt>
                <c:pt idx="18">
                  <c:v>1791.6873162222769</c:v>
                </c:pt>
                <c:pt idx="19">
                  <c:v>1137.1899984202396</c:v>
                </c:pt>
                <c:pt idx="20">
                  <c:v>1500.8444792645603</c:v>
                </c:pt>
                <c:pt idx="21">
                  <c:v>2578.300993826947</c:v>
                </c:pt>
                <c:pt idx="22">
                  <c:v>904.36155189889848</c:v>
                </c:pt>
                <c:pt idx="23">
                  <c:v>1508.6194211661759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4-4F63-AFB2-46CF77AC66C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harvest'!$Y$253:$Y$276</c:f>
                <c:numCache>
                  <c:formatCode>General</c:formatCode>
                  <c:ptCount val="24"/>
                  <c:pt idx="0">
                    <c:v>284.09508572170779</c:v>
                  </c:pt>
                  <c:pt idx="1">
                    <c:v>144.81574763882199</c:v>
                  </c:pt>
                  <c:pt idx="2">
                    <c:v>262.10480588133606</c:v>
                  </c:pt>
                  <c:pt idx="3">
                    <c:v>227.91164444485943</c:v>
                  </c:pt>
                  <c:pt idx="4">
                    <c:v>195.22458319942785</c:v>
                  </c:pt>
                  <c:pt idx="5">
                    <c:v>354.92361683931688</c:v>
                  </c:pt>
                  <c:pt idx="6">
                    <c:v>327.52086811771045</c:v>
                  </c:pt>
                  <c:pt idx="7">
                    <c:v>366.10843745771166</c:v>
                  </c:pt>
                  <c:pt idx="8">
                    <c:v>571.0576502521908</c:v>
                  </c:pt>
                  <c:pt idx="9">
                    <c:v>537.56600342883348</c:v>
                  </c:pt>
                  <c:pt idx="10">
                    <c:v>562.34901477057849</c:v>
                  </c:pt>
                  <c:pt idx="11">
                    <c:v>581.55110180836857</c:v>
                  </c:pt>
                  <c:pt idx="12">
                    <c:v>540.00039742186709</c:v>
                  </c:pt>
                  <c:pt idx="13">
                    <c:v>1031.7328349742074</c:v>
                  </c:pt>
                  <c:pt idx="14">
                    <c:v>343.69061047516288</c:v>
                  </c:pt>
                  <c:pt idx="15">
                    <c:v>507.56962697495595</c:v>
                  </c:pt>
                  <c:pt idx="16">
                    <c:v>833.5547811358083</c:v>
                  </c:pt>
                  <c:pt idx="17">
                    <c:v>2033.5507518341071</c:v>
                  </c:pt>
                  <c:pt idx="18">
                    <c:v>1213.5579266600671</c:v>
                  </c:pt>
                  <c:pt idx="19">
                    <c:v>777.97727507944001</c:v>
                  </c:pt>
                  <c:pt idx="20">
                    <c:v>1063.7281491115521</c:v>
                  </c:pt>
                  <c:pt idx="21">
                    <c:v>1867.0627076133023</c:v>
                  </c:pt>
                  <c:pt idx="22">
                    <c:v>642.63509552249468</c:v>
                  </c:pt>
                  <c:pt idx="23">
                    <c:v>1076.477068583883</c:v>
                  </c:pt>
                </c:numCache>
              </c:numRef>
            </c:plus>
            <c:minus>
              <c:numRef>
                <c:f>'BRF harvest'!$Y$253:$Y$276</c:f>
                <c:numCache>
                  <c:formatCode>General</c:formatCode>
                  <c:ptCount val="24"/>
                  <c:pt idx="0">
                    <c:v>284.09508572170779</c:v>
                  </c:pt>
                  <c:pt idx="1">
                    <c:v>144.81574763882199</c:v>
                  </c:pt>
                  <c:pt idx="2">
                    <c:v>262.10480588133606</c:v>
                  </c:pt>
                  <c:pt idx="3">
                    <c:v>227.91164444485943</c:v>
                  </c:pt>
                  <c:pt idx="4">
                    <c:v>195.22458319942785</c:v>
                  </c:pt>
                  <c:pt idx="5">
                    <c:v>354.92361683931688</c:v>
                  </c:pt>
                  <c:pt idx="6">
                    <c:v>327.52086811771045</c:v>
                  </c:pt>
                  <c:pt idx="7">
                    <c:v>366.10843745771166</c:v>
                  </c:pt>
                  <c:pt idx="8">
                    <c:v>571.0576502521908</c:v>
                  </c:pt>
                  <c:pt idx="9">
                    <c:v>537.56600342883348</c:v>
                  </c:pt>
                  <c:pt idx="10">
                    <c:v>562.34901477057849</c:v>
                  </c:pt>
                  <c:pt idx="11">
                    <c:v>581.55110180836857</c:v>
                  </c:pt>
                  <c:pt idx="12">
                    <c:v>540.00039742186709</c:v>
                  </c:pt>
                  <c:pt idx="13">
                    <c:v>1031.7328349742074</c:v>
                  </c:pt>
                  <c:pt idx="14">
                    <c:v>343.69061047516288</c:v>
                  </c:pt>
                  <c:pt idx="15">
                    <c:v>507.56962697495595</c:v>
                  </c:pt>
                  <c:pt idx="16">
                    <c:v>833.5547811358083</c:v>
                  </c:pt>
                  <c:pt idx="17">
                    <c:v>2033.5507518341071</c:v>
                  </c:pt>
                  <c:pt idx="18">
                    <c:v>1213.5579266600671</c:v>
                  </c:pt>
                  <c:pt idx="19">
                    <c:v>777.97727507944001</c:v>
                  </c:pt>
                  <c:pt idx="20">
                    <c:v>1063.7281491115521</c:v>
                  </c:pt>
                  <c:pt idx="21">
                    <c:v>1867.0627076133023</c:v>
                  </c:pt>
                  <c:pt idx="22">
                    <c:v>642.63509552249468</c:v>
                  </c:pt>
                  <c:pt idx="23">
                    <c:v>1076.477068583883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harvest'!$V$253:$V$276</c:f>
              <c:numCache>
                <c:formatCode>_(* #,##0_);_(* \(#,##0\);_(* "-"??_);_(@_)</c:formatCode>
                <c:ptCount val="24"/>
                <c:pt idx="0">
                  <c:v>985.83253862133824</c:v>
                </c:pt>
                <c:pt idx="1">
                  <c:v>690.38285707176499</c:v>
                </c:pt>
                <c:pt idx="2">
                  <c:v>1315.4731738538947</c:v>
                </c:pt>
                <c:pt idx="3">
                  <c:v>1116.1910920841854</c:v>
                </c:pt>
                <c:pt idx="4">
                  <c:v>983.46166626138779</c:v>
                </c:pt>
                <c:pt idx="5">
                  <c:v>1537.7931114266105</c:v>
                </c:pt>
                <c:pt idx="6">
                  <c:v>1449.0197488164604</c:v>
                </c:pt>
                <c:pt idx="7">
                  <c:v>1754.3453147693908</c:v>
                </c:pt>
                <c:pt idx="8">
                  <c:v>2688.8985904128322</c:v>
                </c:pt>
                <c:pt idx="9">
                  <c:v>2522.2917795093531</c:v>
                </c:pt>
                <c:pt idx="10">
                  <c:v>3043.2162623164641</c:v>
                </c:pt>
                <c:pt idx="11">
                  <c:v>2800.3494704252598</c:v>
                </c:pt>
                <c:pt idx="12">
                  <c:v>2457.5723339449796</c:v>
                </c:pt>
                <c:pt idx="13">
                  <c:v>3516.3919194144455</c:v>
                </c:pt>
                <c:pt idx="14">
                  <c:v>3087.2658493389422</c:v>
                </c:pt>
                <c:pt idx="15">
                  <c:v>3930.506975198984</c:v>
                </c:pt>
                <c:pt idx="16">
                  <c:v>4904.2041329687736</c:v>
                </c:pt>
                <c:pt idx="17">
                  <c:v>7054.4903416582492</c:v>
                </c:pt>
                <c:pt idx="18">
                  <c:v>8025.2509537542774</c:v>
                </c:pt>
                <c:pt idx="19">
                  <c:v>6490.8694410252392</c:v>
                </c:pt>
                <c:pt idx="20">
                  <c:v>9020.7627217825593</c:v>
                </c:pt>
                <c:pt idx="21">
                  <c:v>9465.8571552228022</c:v>
                </c:pt>
                <c:pt idx="22">
                  <c:v>4818.0518071193155</c:v>
                </c:pt>
                <c:pt idx="23">
                  <c:v>8662.3338727041883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4-4F63-AFB2-46CF77AC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harvests'!$D$52:$D$76</c:f>
            </c:numRef>
          </c:val>
          <c:smooth val="0"/>
          <c:extLst>
            <c:ext xmlns:c16="http://schemas.microsoft.com/office/drawing/2014/chart" uri="{C3380CC4-5D6E-409C-BE32-E72D297353CC}">
              <c16:uniqueId val="{00000000-D07E-417A-A226-7750C66AAC3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harvests'!$N$52:$N$75</c:f>
              </c:numRef>
            </c:plus>
            <c:minus>
              <c:numRef>
                <c:f>'rockfish harvests'!$N$52:$N$75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harvests'!$O$52:$O$76</c:f>
            </c:numRef>
          </c:val>
          <c:smooth val="0"/>
          <c:extLst>
            <c:ext xmlns:c16="http://schemas.microsoft.com/office/drawing/2014/chart" uri="{C3380CC4-5D6E-409C-BE32-E72D297353CC}">
              <c16:uniqueId val="{00000001-D07E-417A-A226-7750C66AAC3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harvests'!$N$52:$N$75</c:f>
              </c:numRef>
            </c:plus>
            <c:minus>
              <c:numRef>
                <c:f>'rockfish harvests'!$N$52:$N$75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harvests'!$K$52:$K$76</c:f>
            </c:numRef>
          </c:val>
          <c:smooth val="0"/>
          <c:extLst>
            <c:ext xmlns:c16="http://schemas.microsoft.com/office/drawing/2014/chart" uri="{C3380CC4-5D6E-409C-BE32-E72D297353CC}">
              <c16:uniqueId val="{00000002-D07E-417A-A226-7750C66A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harvest'!$K$278:$K$301</c:f>
                <c:numCache>
                  <c:formatCode>General</c:formatCode>
                  <c:ptCount val="24"/>
                  <c:pt idx="0">
                    <c:v>1276.7056569439446</c:v>
                  </c:pt>
                  <c:pt idx="1">
                    <c:v>1935.634323440564</c:v>
                  </c:pt>
                  <c:pt idx="2">
                    <c:v>2801.3250695994889</c:v>
                  </c:pt>
                  <c:pt idx="3">
                    <c:v>1961.7305082523112</c:v>
                  </c:pt>
                  <c:pt idx="4">
                    <c:v>1565.7710887048379</c:v>
                  </c:pt>
                  <c:pt idx="5">
                    <c:v>1782.0683128175895</c:v>
                  </c:pt>
                  <c:pt idx="6">
                    <c:v>1670.1558279518272</c:v>
                  </c:pt>
                  <c:pt idx="7">
                    <c:v>2240.7589458548405</c:v>
                  </c:pt>
                  <c:pt idx="8">
                    <c:v>98.613448126241337</c:v>
                  </c:pt>
                  <c:pt idx="9">
                    <c:v>75.464242027221275</c:v>
                  </c:pt>
                  <c:pt idx="10">
                    <c:v>99.017395944816087</c:v>
                  </c:pt>
                  <c:pt idx="11">
                    <c:v>204.45043220642589</c:v>
                  </c:pt>
                  <c:pt idx="12">
                    <c:v>227.04155185401802</c:v>
                  </c:pt>
                  <c:pt idx="13">
                    <c:v>180.80826395751939</c:v>
                  </c:pt>
                  <c:pt idx="14">
                    <c:v>259.45707469836736</c:v>
                  </c:pt>
                  <c:pt idx="15">
                    <c:v>323.59946709454869</c:v>
                  </c:pt>
                  <c:pt idx="16">
                    <c:v>438.81762166362415</c:v>
                  </c:pt>
                  <c:pt idx="17">
                    <c:v>337.56085748759324</c:v>
                  </c:pt>
                  <c:pt idx="18">
                    <c:v>593.11451527162433</c:v>
                  </c:pt>
                  <c:pt idx="19">
                    <c:v>543.88364511622717</c:v>
                  </c:pt>
                  <c:pt idx="20">
                    <c:v>505.06190264110688</c:v>
                  </c:pt>
                  <c:pt idx="21">
                    <c:v>504.60414574588935</c:v>
                  </c:pt>
                  <c:pt idx="22">
                    <c:v>660.65745076909718</c:v>
                  </c:pt>
                  <c:pt idx="23">
                    <c:v>699.58871422604466</c:v>
                  </c:pt>
                </c:numCache>
              </c:numRef>
            </c:plus>
            <c:minus>
              <c:numRef>
                <c:f>'BRF harvest'!$K$278:$K$301</c:f>
                <c:numCache>
                  <c:formatCode>General</c:formatCode>
                  <c:ptCount val="24"/>
                  <c:pt idx="0">
                    <c:v>1276.7056569439446</c:v>
                  </c:pt>
                  <c:pt idx="1">
                    <c:v>1935.634323440564</c:v>
                  </c:pt>
                  <c:pt idx="2">
                    <c:v>2801.3250695994889</c:v>
                  </c:pt>
                  <c:pt idx="3">
                    <c:v>1961.7305082523112</c:v>
                  </c:pt>
                  <c:pt idx="4">
                    <c:v>1565.7710887048379</c:v>
                  </c:pt>
                  <c:pt idx="5">
                    <c:v>1782.0683128175895</c:v>
                  </c:pt>
                  <c:pt idx="6">
                    <c:v>1670.1558279518272</c:v>
                  </c:pt>
                  <c:pt idx="7">
                    <c:v>2240.7589458548405</c:v>
                  </c:pt>
                  <c:pt idx="8">
                    <c:v>98.613448126241337</c:v>
                  </c:pt>
                  <c:pt idx="9">
                    <c:v>75.464242027221275</c:v>
                  </c:pt>
                  <c:pt idx="10">
                    <c:v>99.017395944816087</c:v>
                  </c:pt>
                  <c:pt idx="11">
                    <c:v>204.45043220642589</c:v>
                  </c:pt>
                  <c:pt idx="12">
                    <c:v>227.04155185401802</c:v>
                  </c:pt>
                  <c:pt idx="13">
                    <c:v>180.80826395751939</c:v>
                  </c:pt>
                  <c:pt idx="14">
                    <c:v>259.45707469836736</c:v>
                  </c:pt>
                  <c:pt idx="15">
                    <c:v>323.59946709454869</c:v>
                  </c:pt>
                  <c:pt idx="16">
                    <c:v>438.81762166362415</c:v>
                  </c:pt>
                  <c:pt idx="17">
                    <c:v>337.56085748759324</c:v>
                  </c:pt>
                  <c:pt idx="18">
                    <c:v>593.11451527162433</c:v>
                  </c:pt>
                  <c:pt idx="19">
                    <c:v>543.88364511622717</c:v>
                  </c:pt>
                  <c:pt idx="20">
                    <c:v>505.06190264110688</c:v>
                  </c:pt>
                  <c:pt idx="21">
                    <c:v>504.60414574588935</c:v>
                  </c:pt>
                  <c:pt idx="22">
                    <c:v>660.65745076909718</c:v>
                  </c:pt>
                  <c:pt idx="23">
                    <c:v>699.58871422604466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harvest'!$H$278:$H$301</c:f>
              <c:numCache>
                <c:formatCode>0</c:formatCode>
                <c:ptCount val="24"/>
                <c:pt idx="0">
                  <c:v>1811.88827784</c:v>
                </c:pt>
                <c:pt idx="1">
                  <c:v>2747.0334463949998</c:v>
                </c:pt>
                <c:pt idx="2">
                  <c:v>3975.61335177</c:v>
                </c:pt>
                <c:pt idx="3">
                  <c:v>2784.0688986149999</c:v>
                </c:pt>
                <c:pt idx="4">
                  <c:v>2222.1271332000001</c:v>
                </c:pt>
                <c:pt idx="5">
                  <c:v>2529.094054485</c:v>
                </c:pt>
                <c:pt idx="6">
                  <c:v>2370.2689420799998</c:v>
                </c:pt>
                <c:pt idx="7">
                  <c:v>3180.0633492749998</c:v>
                </c:pt>
                <c:pt idx="8">
                  <c:v>3209.40413046</c:v>
                </c:pt>
                <c:pt idx="9">
                  <c:v>4028.5853667000001</c:v>
                </c:pt>
                <c:pt idx="10">
                  <c:v>6522.3989786760003</c:v>
                </c:pt>
                <c:pt idx="11">
                  <c:v>4999.3624431899998</c:v>
                </c:pt>
                <c:pt idx="12">
                  <c:v>6216.8181809850003</c:v>
                </c:pt>
                <c:pt idx="13">
                  <c:v>7751.9598470999999</c:v>
                </c:pt>
                <c:pt idx="14">
                  <c:v>7916.931938535</c:v>
                </c:pt>
                <c:pt idx="15">
                  <c:v>7252.8341353999995</c:v>
                </c:pt>
                <c:pt idx="16">
                  <c:v>9586.8532062780014</c:v>
                </c:pt>
                <c:pt idx="17">
                  <c:v>11218.283520192001</c:v>
                </c:pt>
                <c:pt idx="18">
                  <c:v>8531.8996095479997</c:v>
                </c:pt>
                <c:pt idx="19">
                  <c:v>7654.4595344549998</c:v>
                </c:pt>
                <c:pt idx="20">
                  <c:v>7421.7142984840002</c:v>
                </c:pt>
                <c:pt idx="21">
                  <c:v>7874.4172661870507</c:v>
                </c:pt>
                <c:pt idx="22">
                  <c:v>9205.5512820512813</c:v>
                </c:pt>
                <c:pt idx="23">
                  <c:v>12228.121994134886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9-485A-91CE-CF371ED7720F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harvest'!$T$278:$T$301</c:f>
                <c:numCache>
                  <c:formatCode>General</c:formatCode>
                  <c:ptCount val="24"/>
                  <c:pt idx="0">
                    <c:v>614.47649520750883</c:v>
                  </c:pt>
                  <c:pt idx="1">
                    <c:v>739.81342270678886</c:v>
                  </c:pt>
                  <c:pt idx="2">
                    <c:v>1133.1481404526739</c:v>
                  </c:pt>
                  <c:pt idx="3">
                    <c:v>842.01301386807575</c:v>
                  </c:pt>
                  <c:pt idx="4">
                    <c:v>576.45685207924873</c:v>
                  </c:pt>
                  <c:pt idx="5">
                    <c:v>705.63062429789443</c:v>
                  </c:pt>
                  <c:pt idx="6">
                    <c:v>703.65406792731198</c:v>
                  </c:pt>
                  <c:pt idx="7">
                    <c:v>892.70587137242251</c:v>
                  </c:pt>
                  <c:pt idx="8">
                    <c:v>720.41385471983483</c:v>
                  </c:pt>
                  <c:pt idx="9">
                    <c:v>465.56495110746295</c:v>
                  </c:pt>
                  <c:pt idx="10">
                    <c:v>554.36409676492167</c:v>
                  </c:pt>
                  <c:pt idx="11">
                    <c:v>507.23943355095184</c:v>
                  </c:pt>
                  <c:pt idx="12">
                    <c:v>837.97122884081489</c:v>
                  </c:pt>
                  <c:pt idx="13">
                    <c:v>762.22069165555865</c:v>
                  </c:pt>
                  <c:pt idx="14">
                    <c:v>2342.7801642489453</c:v>
                  </c:pt>
                  <c:pt idx="15">
                    <c:v>1234.77653248142</c:v>
                  </c:pt>
                  <c:pt idx="16">
                    <c:v>1833.3303592090356</c:v>
                  </c:pt>
                  <c:pt idx="17">
                    <c:v>1072.1420555509762</c:v>
                  </c:pt>
                  <c:pt idx="18">
                    <c:v>823.63961054667323</c:v>
                  </c:pt>
                  <c:pt idx="19">
                    <c:v>2090.7372193167394</c:v>
                  </c:pt>
                  <c:pt idx="20">
                    <c:v>1093.9685427834954</c:v>
                  </c:pt>
                  <c:pt idx="21">
                    <c:v>2142.2704072673578</c:v>
                  </c:pt>
                  <c:pt idx="22">
                    <c:v>193.85222748728492</c:v>
                  </c:pt>
                  <c:pt idx="23">
                    <c:v>124.44723547889181</c:v>
                  </c:pt>
                </c:numCache>
              </c:numRef>
            </c:plus>
            <c:minus>
              <c:numRef>
                <c:f>'BRF harvest'!$T$278:$T$301</c:f>
                <c:numCache>
                  <c:formatCode>General</c:formatCode>
                  <c:ptCount val="24"/>
                  <c:pt idx="0">
                    <c:v>614.47649520750883</c:v>
                  </c:pt>
                  <c:pt idx="1">
                    <c:v>739.81342270678886</c:v>
                  </c:pt>
                  <c:pt idx="2">
                    <c:v>1133.1481404526739</c:v>
                  </c:pt>
                  <c:pt idx="3">
                    <c:v>842.01301386807575</c:v>
                  </c:pt>
                  <c:pt idx="4">
                    <c:v>576.45685207924873</c:v>
                  </c:pt>
                  <c:pt idx="5">
                    <c:v>705.63062429789443</c:v>
                  </c:pt>
                  <c:pt idx="6">
                    <c:v>703.65406792731198</c:v>
                  </c:pt>
                  <c:pt idx="7">
                    <c:v>892.70587137242251</c:v>
                  </c:pt>
                  <c:pt idx="8">
                    <c:v>720.41385471983483</c:v>
                  </c:pt>
                  <c:pt idx="9">
                    <c:v>465.56495110746295</c:v>
                  </c:pt>
                  <c:pt idx="10">
                    <c:v>554.36409676492167</c:v>
                  </c:pt>
                  <c:pt idx="11">
                    <c:v>507.23943355095184</c:v>
                  </c:pt>
                  <c:pt idx="12">
                    <c:v>837.97122884081489</c:v>
                  </c:pt>
                  <c:pt idx="13">
                    <c:v>762.22069165555865</c:v>
                  </c:pt>
                  <c:pt idx="14">
                    <c:v>2342.7801642489453</c:v>
                  </c:pt>
                  <c:pt idx="15">
                    <c:v>1234.77653248142</c:v>
                  </c:pt>
                  <c:pt idx="16">
                    <c:v>1833.3303592090356</c:v>
                  </c:pt>
                  <c:pt idx="17">
                    <c:v>1072.1420555509762</c:v>
                  </c:pt>
                  <c:pt idx="18">
                    <c:v>823.63961054667323</c:v>
                  </c:pt>
                  <c:pt idx="19">
                    <c:v>2090.7372193167394</c:v>
                  </c:pt>
                  <c:pt idx="20">
                    <c:v>1093.9685427834954</c:v>
                  </c:pt>
                  <c:pt idx="21">
                    <c:v>2142.2704072673578</c:v>
                  </c:pt>
                  <c:pt idx="22">
                    <c:v>193.85222748728492</c:v>
                  </c:pt>
                  <c:pt idx="23">
                    <c:v>124.44723547889181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harvest'!$Q$278:$Q$301</c:f>
              <c:numCache>
                <c:formatCode>_(* #,##0_);_(* \(#,##0\);_(* "-"??_);_(@_)</c:formatCode>
                <c:ptCount val="24"/>
                <c:pt idx="0">
                  <c:v>733.79573088198401</c:v>
                </c:pt>
                <c:pt idx="1">
                  <c:v>883.4706216844022</c:v>
                </c:pt>
                <c:pt idx="2">
                  <c:v>1353.1831964381868</c:v>
                </c:pt>
                <c:pt idx="3">
                  <c:v>1005.5153610307153</c:v>
                </c:pt>
                <c:pt idx="4">
                  <c:v>688.39342170536952</c:v>
                </c:pt>
                <c:pt idx="5">
                  <c:v>842.65019692010651</c:v>
                </c:pt>
                <c:pt idx="6">
                  <c:v>840.28983222285115</c:v>
                </c:pt>
                <c:pt idx="7">
                  <c:v>1066.0517732662013</c:v>
                </c:pt>
                <c:pt idx="8">
                  <c:v>1229.5685575023565</c:v>
                </c:pt>
                <c:pt idx="9">
                  <c:v>747.16774863728415</c:v>
                </c:pt>
                <c:pt idx="10">
                  <c:v>831.24524411379434</c:v>
                </c:pt>
                <c:pt idx="11">
                  <c:v>803.34029227930466</c:v>
                </c:pt>
                <c:pt idx="12">
                  <c:v>1441.8658491760359</c:v>
                </c:pt>
                <c:pt idx="13">
                  <c:v>1624.7884420199339</c:v>
                </c:pt>
                <c:pt idx="14">
                  <c:v>5225.3173854169381</c:v>
                </c:pt>
                <c:pt idx="15">
                  <c:v>3009.5121522325367</c:v>
                </c:pt>
                <c:pt idx="16">
                  <c:v>3704.7241055030854</c:v>
                </c:pt>
                <c:pt idx="17">
                  <c:v>2488.7839034717895</c:v>
                </c:pt>
                <c:pt idx="18">
                  <c:v>2164.6516843788249</c:v>
                </c:pt>
                <c:pt idx="19">
                  <c:v>4603.6376165420834</c:v>
                </c:pt>
                <c:pt idx="20">
                  <c:v>2857.38182212626</c:v>
                </c:pt>
                <c:pt idx="21">
                  <c:v>5057.5166985541646</c:v>
                </c:pt>
                <c:pt idx="22">
                  <c:v>314.28989048700538</c:v>
                </c:pt>
                <c:pt idx="23">
                  <c:v>150.98076153487426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9-485A-91CE-CF371ED7720F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harvest'!$Y$278:$Y$301</c:f>
                <c:numCache>
                  <c:formatCode>General</c:formatCode>
                  <c:ptCount val="24"/>
                  <c:pt idx="0">
                    <c:v>1416.8834453246934</c:v>
                  </c:pt>
                  <c:pt idx="1">
                    <c:v>2072.1978994532215</c:v>
                  </c:pt>
                  <c:pt idx="2">
                    <c:v>3021.8283958189841</c:v>
                  </c:pt>
                  <c:pt idx="3">
                    <c:v>2134.8003425451925</c:v>
                  </c:pt>
                  <c:pt idx="4">
                    <c:v>1668.5147900252639</c:v>
                  </c:pt>
                  <c:pt idx="5">
                    <c:v>1916.6851722428401</c:v>
                  </c:pt>
                  <c:pt idx="6">
                    <c:v>1812.3326231550618</c:v>
                  </c:pt>
                  <c:pt idx="7">
                    <c:v>2412.0374014951117</c:v>
                  </c:pt>
                  <c:pt idx="8">
                    <c:v>727.13185477163506</c:v>
                  </c:pt>
                  <c:pt idx="9">
                    <c:v>471.6413632458856</c:v>
                  </c:pt>
                  <c:pt idx="10">
                    <c:v>563.13763546905648</c:v>
                  </c:pt>
                  <c:pt idx="11">
                    <c:v>546.89287998518034</c:v>
                  </c:pt>
                  <c:pt idx="12">
                    <c:v>868.18410871961146</c:v>
                  </c:pt>
                  <c:pt idx="13">
                    <c:v>783.37220470425802</c:v>
                  </c:pt>
                  <c:pt idx="14">
                    <c:v>2357.1034919174313</c:v>
                  </c:pt>
                  <c:pt idx="15">
                    <c:v>1276.4754992833646</c:v>
                  </c:pt>
                  <c:pt idx="16">
                    <c:v>1885.1156757822719</c:v>
                  </c:pt>
                  <c:pt idx="17">
                    <c:v>1124.0266543942951</c:v>
                  </c:pt>
                  <c:pt idx="18">
                    <c:v>1014.9714460453404</c:v>
                  </c:pt>
                  <c:pt idx="19">
                    <c:v>2160.3220916477258</c:v>
                  </c:pt>
                  <c:pt idx="20">
                    <c:v>1204.9293332388002</c:v>
                  </c:pt>
                  <c:pt idx="21">
                    <c:v>2200.8970538753942</c:v>
                  </c:pt>
                  <c:pt idx="22">
                    <c:v>688.51067773746547</c:v>
                  </c:pt>
                  <c:pt idx="23">
                    <c:v>710.57123744969385</c:v>
                  </c:pt>
                </c:numCache>
              </c:numRef>
            </c:plus>
            <c:minus>
              <c:numRef>
                <c:f>'BRF harvest'!$Y$278:$Y$301</c:f>
                <c:numCache>
                  <c:formatCode>General</c:formatCode>
                  <c:ptCount val="24"/>
                  <c:pt idx="0">
                    <c:v>1416.8834453246934</c:v>
                  </c:pt>
                  <c:pt idx="1">
                    <c:v>2072.1978994532215</c:v>
                  </c:pt>
                  <c:pt idx="2">
                    <c:v>3021.8283958189841</c:v>
                  </c:pt>
                  <c:pt idx="3">
                    <c:v>2134.8003425451925</c:v>
                  </c:pt>
                  <c:pt idx="4">
                    <c:v>1668.5147900252639</c:v>
                  </c:pt>
                  <c:pt idx="5">
                    <c:v>1916.6851722428401</c:v>
                  </c:pt>
                  <c:pt idx="6">
                    <c:v>1812.3326231550618</c:v>
                  </c:pt>
                  <c:pt idx="7">
                    <c:v>2412.0374014951117</c:v>
                  </c:pt>
                  <c:pt idx="8">
                    <c:v>727.13185477163506</c:v>
                  </c:pt>
                  <c:pt idx="9">
                    <c:v>471.6413632458856</c:v>
                  </c:pt>
                  <c:pt idx="10">
                    <c:v>563.13763546905648</c:v>
                  </c:pt>
                  <c:pt idx="11">
                    <c:v>546.89287998518034</c:v>
                  </c:pt>
                  <c:pt idx="12">
                    <c:v>868.18410871961146</c:v>
                  </c:pt>
                  <c:pt idx="13">
                    <c:v>783.37220470425802</c:v>
                  </c:pt>
                  <c:pt idx="14">
                    <c:v>2357.1034919174313</c:v>
                  </c:pt>
                  <c:pt idx="15">
                    <c:v>1276.4754992833646</c:v>
                  </c:pt>
                  <c:pt idx="16">
                    <c:v>1885.1156757822719</c:v>
                  </c:pt>
                  <c:pt idx="17">
                    <c:v>1124.0266543942951</c:v>
                  </c:pt>
                  <c:pt idx="18">
                    <c:v>1014.9714460453404</c:v>
                  </c:pt>
                  <c:pt idx="19">
                    <c:v>2160.3220916477258</c:v>
                  </c:pt>
                  <c:pt idx="20">
                    <c:v>1204.9293332388002</c:v>
                  </c:pt>
                  <c:pt idx="21">
                    <c:v>2200.8970538753942</c:v>
                  </c:pt>
                  <c:pt idx="22">
                    <c:v>688.51067773746547</c:v>
                  </c:pt>
                  <c:pt idx="23">
                    <c:v>710.57123744969385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harvest'!$V$278:$V$301</c:f>
              <c:numCache>
                <c:formatCode>_(* #,##0_);_(* \(#,##0\);_(* "-"??_);_(@_)</c:formatCode>
                <c:ptCount val="24"/>
                <c:pt idx="0">
                  <c:v>2545.6840087219839</c:v>
                </c:pt>
                <c:pt idx="1">
                  <c:v>3630.5040680794018</c:v>
                </c:pt>
                <c:pt idx="2">
                  <c:v>5328.7965482081872</c:v>
                </c:pt>
                <c:pt idx="3">
                  <c:v>3789.5842596457151</c:v>
                </c:pt>
                <c:pt idx="4">
                  <c:v>2910.5205549053699</c:v>
                </c:pt>
                <c:pt idx="5">
                  <c:v>3371.7442514051063</c:v>
                </c:pt>
                <c:pt idx="6">
                  <c:v>3210.5587743028509</c:v>
                </c:pt>
                <c:pt idx="7">
                  <c:v>4246.1151225412013</c:v>
                </c:pt>
                <c:pt idx="8">
                  <c:v>4438.9726879623568</c:v>
                </c:pt>
                <c:pt idx="9">
                  <c:v>4775.7531153372838</c:v>
                </c:pt>
                <c:pt idx="10">
                  <c:v>7353.6442227897951</c:v>
                </c:pt>
                <c:pt idx="11">
                  <c:v>5802.7027354693046</c:v>
                </c:pt>
                <c:pt idx="12">
                  <c:v>7658.6840301610364</c:v>
                </c:pt>
                <c:pt idx="13">
                  <c:v>9376.7482891199343</c:v>
                </c:pt>
                <c:pt idx="14">
                  <c:v>13142.249323951939</c:v>
                </c:pt>
                <c:pt idx="15">
                  <c:v>10262.346287632536</c:v>
                </c:pt>
                <c:pt idx="16">
                  <c:v>13291.577311781086</c:v>
                </c:pt>
                <c:pt idx="17">
                  <c:v>13707.06742366379</c:v>
                </c:pt>
                <c:pt idx="18">
                  <c:v>10696.551293926825</c:v>
                </c:pt>
                <c:pt idx="19">
                  <c:v>12258.097150997084</c:v>
                </c:pt>
                <c:pt idx="20">
                  <c:v>10279.09612061026</c:v>
                </c:pt>
                <c:pt idx="21">
                  <c:v>12931.933964741216</c:v>
                </c:pt>
                <c:pt idx="22">
                  <c:v>9519.8411725382866</c:v>
                </c:pt>
                <c:pt idx="23">
                  <c:v>12379.102755669761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9-485A-91CE-CF371ED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harvest'!$K$303:$K$326</c:f>
                <c:numCache>
                  <c:formatCode>General</c:formatCode>
                  <c:ptCount val="24"/>
                  <c:pt idx="0">
                    <c:v>38.244789423679748</c:v>
                  </c:pt>
                  <c:pt idx="1">
                    <c:v>30.799464361166386</c:v>
                  </c:pt>
                  <c:pt idx="2">
                    <c:v>92.716569368221954</c:v>
                  </c:pt>
                  <c:pt idx="3">
                    <c:v>78.589542326529937</c:v>
                  </c:pt>
                  <c:pt idx="4">
                    <c:v>43.717421520911792</c:v>
                  </c:pt>
                  <c:pt idx="5">
                    <c:v>90.616605889051527</c:v>
                  </c:pt>
                  <c:pt idx="6">
                    <c:v>63.571621687614098</c:v>
                  </c:pt>
                  <c:pt idx="7">
                    <c:v>75.598685250135674</c:v>
                  </c:pt>
                  <c:pt idx="8">
                    <c:v>25.945778198332206</c:v>
                  </c:pt>
                  <c:pt idx="9">
                    <c:v>24.794514686598486</c:v>
                  </c:pt>
                  <c:pt idx="10">
                    <c:v>14.357366500842124</c:v>
                  </c:pt>
                  <c:pt idx="11">
                    <c:v>20.684114549955261</c:v>
                  </c:pt>
                  <c:pt idx="12">
                    <c:v>34.460071480257746</c:v>
                  </c:pt>
                  <c:pt idx="13">
                    <c:v>43.089414445814697</c:v>
                  </c:pt>
                  <c:pt idx="14">
                    <c:v>58.865774567662434</c:v>
                  </c:pt>
                  <c:pt idx="15">
                    <c:v>54.357500572068652</c:v>
                  </c:pt>
                  <c:pt idx="16">
                    <c:v>68.75387857675328</c:v>
                  </c:pt>
                  <c:pt idx="17">
                    <c:v>56.699536009248384</c:v>
                  </c:pt>
                  <c:pt idx="18">
                    <c:v>55.344262523158058</c:v>
                  </c:pt>
                  <c:pt idx="19">
                    <c:v>85.360680761124328</c:v>
                  </c:pt>
                  <c:pt idx="20">
                    <c:v>89.859642629422268</c:v>
                  </c:pt>
                  <c:pt idx="21">
                    <c:v>110.05255986333239</c:v>
                  </c:pt>
                  <c:pt idx="22">
                    <c:v>67.304074166410885</c:v>
                  </c:pt>
                  <c:pt idx="23">
                    <c:v>484.16305268508984</c:v>
                  </c:pt>
                </c:numCache>
              </c:numRef>
            </c:plus>
            <c:minus>
              <c:numRef>
                <c:f>'BRF harvest'!$K$303:$K$326</c:f>
                <c:numCache>
                  <c:formatCode>General</c:formatCode>
                  <c:ptCount val="24"/>
                  <c:pt idx="0">
                    <c:v>38.244789423679748</c:v>
                  </c:pt>
                  <c:pt idx="1">
                    <c:v>30.799464361166386</c:v>
                  </c:pt>
                  <c:pt idx="2">
                    <c:v>92.716569368221954</c:v>
                  </c:pt>
                  <c:pt idx="3">
                    <c:v>78.589542326529937</c:v>
                  </c:pt>
                  <c:pt idx="4">
                    <c:v>43.717421520911792</c:v>
                  </c:pt>
                  <c:pt idx="5">
                    <c:v>90.616605889051527</c:v>
                  </c:pt>
                  <c:pt idx="6">
                    <c:v>63.571621687614098</c:v>
                  </c:pt>
                  <c:pt idx="7">
                    <c:v>75.598685250135674</c:v>
                  </c:pt>
                  <c:pt idx="8">
                    <c:v>25.945778198332206</c:v>
                  </c:pt>
                  <c:pt idx="9">
                    <c:v>24.794514686598486</c:v>
                  </c:pt>
                  <c:pt idx="10">
                    <c:v>14.357366500842124</c:v>
                  </c:pt>
                  <c:pt idx="11">
                    <c:v>20.684114549955261</c:v>
                  </c:pt>
                  <c:pt idx="12">
                    <c:v>34.460071480257746</c:v>
                  </c:pt>
                  <c:pt idx="13">
                    <c:v>43.089414445814697</c:v>
                  </c:pt>
                  <c:pt idx="14">
                    <c:v>58.865774567662434</c:v>
                  </c:pt>
                  <c:pt idx="15">
                    <c:v>54.357500572068652</c:v>
                  </c:pt>
                  <c:pt idx="16">
                    <c:v>68.75387857675328</c:v>
                  </c:pt>
                  <c:pt idx="17">
                    <c:v>56.699536009248384</c:v>
                  </c:pt>
                  <c:pt idx="18">
                    <c:v>55.344262523158058</c:v>
                  </c:pt>
                  <c:pt idx="19">
                    <c:v>85.360680761124328</c:v>
                  </c:pt>
                  <c:pt idx="20">
                    <c:v>89.859642629422268</c:v>
                  </c:pt>
                  <c:pt idx="21">
                    <c:v>110.05255986333239</c:v>
                  </c:pt>
                  <c:pt idx="22">
                    <c:v>67.304074166410885</c:v>
                  </c:pt>
                  <c:pt idx="23">
                    <c:v>484.16305268508984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harvest'!$H$303:$H$326</c:f>
              <c:numCache>
                <c:formatCode>0</c:formatCode>
                <c:ptCount val="24"/>
                <c:pt idx="0">
                  <c:v>567.92748986499998</c:v>
                </c:pt>
                <c:pt idx="1">
                  <c:v>457.36589866000003</c:v>
                </c:pt>
                <c:pt idx="2">
                  <c:v>1376.822550305</c:v>
                </c:pt>
                <c:pt idx="3">
                  <c:v>1167.039018275</c:v>
                </c:pt>
                <c:pt idx="4">
                  <c:v>649.19498425500001</c:v>
                </c:pt>
                <c:pt idx="5">
                  <c:v>1345.63851176</c:v>
                </c:pt>
                <c:pt idx="6">
                  <c:v>944.02589413500004</c:v>
                </c:pt>
                <c:pt idx="7">
                  <c:v>1122.6253876200001</c:v>
                </c:pt>
                <c:pt idx="8">
                  <c:v>1348.1167404599998</c:v>
                </c:pt>
                <c:pt idx="9">
                  <c:v>2453.9613426999999</c:v>
                </c:pt>
                <c:pt idx="10">
                  <c:v>3026.2190974069999</c:v>
                </c:pt>
                <c:pt idx="11">
                  <c:v>1912.718309006</c:v>
                </c:pt>
                <c:pt idx="12">
                  <c:v>2869.859575037</c:v>
                </c:pt>
                <c:pt idx="13">
                  <c:v>6671.6099320640005</c:v>
                </c:pt>
                <c:pt idx="14">
                  <c:v>6189.0681354870003</c:v>
                </c:pt>
                <c:pt idx="15">
                  <c:v>4911.9942763500003</c:v>
                </c:pt>
                <c:pt idx="16">
                  <c:v>5998.4439118720002</c:v>
                </c:pt>
                <c:pt idx="17">
                  <c:v>6257.6479706629998</c:v>
                </c:pt>
                <c:pt idx="18">
                  <c:v>3929.1815527650001</c:v>
                </c:pt>
                <c:pt idx="19">
                  <c:v>6755.455406135</c:v>
                </c:pt>
                <c:pt idx="20">
                  <c:v>8387.5836163050008</c:v>
                </c:pt>
                <c:pt idx="21">
                  <c:v>8811.9456940874043</c:v>
                </c:pt>
                <c:pt idx="22">
                  <c:v>3049.5882352941185</c:v>
                </c:pt>
                <c:pt idx="23">
                  <c:v>7756.647058823527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C-457C-98FD-F3E2EACBFE1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harvest'!$T$303:$T$326</c:f>
                <c:numCache>
                  <c:formatCode>General</c:formatCode>
                  <c:ptCount val="24"/>
                  <c:pt idx="0">
                    <c:v>392.38905499830156</c:v>
                  </c:pt>
                  <c:pt idx="1">
                    <c:v>374.21965975350042</c:v>
                  </c:pt>
                  <c:pt idx="2">
                    <c:v>1007.353201745417</c:v>
                  </c:pt>
                  <c:pt idx="3">
                    <c:v>991.97909807673909</c:v>
                  </c:pt>
                  <c:pt idx="4">
                    <c:v>708.95582599425995</c:v>
                  </c:pt>
                  <c:pt idx="5">
                    <c:v>1077.2354911484986</c:v>
                  </c:pt>
                  <c:pt idx="6">
                    <c:v>1021.3296596260334</c:v>
                  </c:pt>
                  <c:pt idx="7">
                    <c:v>976.95440585507674</c:v>
                  </c:pt>
                  <c:pt idx="8">
                    <c:v>639.16949559857767</c:v>
                  </c:pt>
                  <c:pt idx="9">
                    <c:v>780.765078813537</c:v>
                  </c:pt>
                  <c:pt idx="10">
                    <c:v>1706.6374050063043</c:v>
                  </c:pt>
                  <c:pt idx="11">
                    <c:v>556.70527893340932</c:v>
                  </c:pt>
                  <c:pt idx="12">
                    <c:v>1361.1063895021084</c:v>
                  </c:pt>
                  <c:pt idx="13">
                    <c:v>939.43018475460792</c:v>
                  </c:pt>
                  <c:pt idx="14">
                    <c:v>2089.5662195409404</c:v>
                  </c:pt>
                  <c:pt idx="15">
                    <c:v>1884.3762181407947</c:v>
                  </c:pt>
                  <c:pt idx="16">
                    <c:v>4733.3970121120474</c:v>
                  </c:pt>
                  <c:pt idx="17">
                    <c:v>2349.9714180207684</c:v>
                  </c:pt>
                  <c:pt idx="18">
                    <c:v>842.30884147925815</c:v>
                  </c:pt>
                  <c:pt idx="19">
                    <c:v>3161.06387738699</c:v>
                  </c:pt>
                  <c:pt idx="20">
                    <c:v>3956.0698840852742</c:v>
                  </c:pt>
                  <c:pt idx="21">
                    <c:v>3359.2752718373231</c:v>
                  </c:pt>
                  <c:pt idx="22">
                    <c:v>576.02925162998395</c:v>
                  </c:pt>
                  <c:pt idx="23">
                    <c:v>3337.7251508791651</c:v>
                  </c:pt>
                </c:numCache>
              </c:numRef>
            </c:plus>
            <c:minus>
              <c:numRef>
                <c:f>'BRF harvest'!$T$303:$T$326</c:f>
                <c:numCache>
                  <c:formatCode>General</c:formatCode>
                  <c:ptCount val="24"/>
                  <c:pt idx="0">
                    <c:v>392.38905499830156</c:v>
                  </c:pt>
                  <c:pt idx="1">
                    <c:v>374.21965975350042</c:v>
                  </c:pt>
                  <c:pt idx="2">
                    <c:v>1007.353201745417</c:v>
                  </c:pt>
                  <c:pt idx="3">
                    <c:v>991.97909807673909</c:v>
                  </c:pt>
                  <c:pt idx="4">
                    <c:v>708.95582599425995</c:v>
                  </c:pt>
                  <c:pt idx="5">
                    <c:v>1077.2354911484986</c:v>
                  </c:pt>
                  <c:pt idx="6">
                    <c:v>1021.3296596260334</c:v>
                  </c:pt>
                  <c:pt idx="7">
                    <c:v>976.95440585507674</c:v>
                  </c:pt>
                  <c:pt idx="8">
                    <c:v>639.16949559857767</c:v>
                  </c:pt>
                  <c:pt idx="9">
                    <c:v>780.765078813537</c:v>
                  </c:pt>
                  <c:pt idx="10">
                    <c:v>1706.6374050063043</c:v>
                  </c:pt>
                  <c:pt idx="11">
                    <c:v>556.70527893340932</c:v>
                  </c:pt>
                  <c:pt idx="12">
                    <c:v>1361.1063895021084</c:v>
                  </c:pt>
                  <c:pt idx="13">
                    <c:v>939.43018475460792</c:v>
                  </c:pt>
                  <c:pt idx="14">
                    <c:v>2089.5662195409404</c:v>
                  </c:pt>
                  <c:pt idx="15">
                    <c:v>1884.3762181407947</c:v>
                  </c:pt>
                  <c:pt idx="16">
                    <c:v>4733.3970121120474</c:v>
                  </c:pt>
                  <c:pt idx="17">
                    <c:v>2349.9714180207684</c:v>
                  </c:pt>
                  <c:pt idx="18">
                    <c:v>842.30884147925815</c:v>
                  </c:pt>
                  <c:pt idx="19">
                    <c:v>3161.06387738699</c:v>
                  </c:pt>
                  <c:pt idx="20">
                    <c:v>3956.0698840852742</c:v>
                  </c:pt>
                  <c:pt idx="21">
                    <c:v>3359.2752718373231</c:v>
                  </c:pt>
                  <c:pt idx="22">
                    <c:v>576.02925162998395</c:v>
                  </c:pt>
                  <c:pt idx="23">
                    <c:v>3337.7251508791651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harvest'!$Q$303:$Q$326</c:f>
              <c:numCache>
                <c:formatCode>_(* #,##0_);_(* \(#,##0\);_(* "-"??_);_(@_)</c:formatCode>
                <c:ptCount val="24"/>
                <c:pt idx="0">
                  <c:v>359.81415218160447</c:v>
                </c:pt>
                <c:pt idx="1">
                  <c:v>343.15312287310633</c:v>
                </c:pt>
                <c:pt idx="2">
                  <c:v>923.7259133923111</c:v>
                </c:pt>
                <c:pt idx="3">
                  <c:v>909.62811936204366</c:v>
                </c:pt>
                <c:pt idx="4">
                  <c:v>650.10054744120714</c:v>
                </c:pt>
                <c:pt idx="5">
                  <c:v>987.80679534807371</c:v>
                </c:pt>
                <c:pt idx="6">
                  <c:v>936.54208978346378</c:v>
                </c:pt>
                <c:pt idx="7">
                  <c:v>895.8507297415548</c:v>
                </c:pt>
                <c:pt idx="8">
                  <c:v>614.39664710160105</c:v>
                </c:pt>
                <c:pt idx="9">
                  <c:v>741.88449337843747</c:v>
                </c:pt>
                <c:pt idx="10">
                  <c:v>1683.8818210272607</c:v>
                </c:pt>
                <c:pt idx="11">
                  <c:v>536.56173789949742</c:v>
                </c:pt>
                <c:pt idx="12">
                  <c:v>1344.2304507336062</c:v>
                </c:pt>
                <c:pt idx="13">
                  <c:v>1163.6218941111495</c:v>
                </c:pt>
                <c:pt idx="14">
                  <c:v>2761.9632733754383</c:v>
                </c:pt>
                <c:pt idx="15">
                  <c:v>2422.2237613642669</c:v>
                </c:pt>
                <c:pt idx="16">
                  <c:v>7520.9865361976563</c:v>
                </c:pt>
                <c:pt idx="17">
                  <c:v>2807.4095506840731</c:v>
                </c:pt>
                <c:pt idx="18">
                  <c:v>1118.111979370972</c:v>
                </c:pt>
                <c:pt idx="19">
                  <c:v>5113.4513634668829</c:v>
                </c:pt>
                <c:pt idx="20">
                  <c:v>5790.3089305389085</c:v>
                </c:pt>
                <c:pt idx="21">
                  <c:v>5135.8825709979292</c:v>
                </c:pt>
                <c:pt idx="22">
                  <c:v>959.41085579818002</c:v>
                </c:pt>
                <c:pt idx="23">
                  <c:v>5623.279902693529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C-457C-98FD-F3E2EACBFE1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harvest'!$Y$303:$Y$326</c:f>
                <c:numCache>
                  <c:formatCode>General</c:formatCode>
                  <c:ptCount val="24"/>
                  <c:pt idx="0">
                    <c:v>394.24844248331749</c:v>
                  </c:pt>
                  <c:pt idx="1">
                    <c:v>375.48496741009541</c:v>
                  </c:pt>
                  <c:pt idx="2">
                    <c:v>1011.6110098759084</c:v>
                  </c:pt>
                  <c:pt idx="3">
                    <c:v>995.08735655932958</c:v>
                  </c:pt>
                  <c:pt idx="4">
                    <c:v>710.30245399804187</c:v>
                  </c:pt>
                  <c:pt idx="5">
                    <c:v>1081.0400883652735</c:v>
                  </c:pt>
                  <c:pt idx="6">
                    <c:v>1023.3062223576197</c:v>
                  </c:pt>
                  <c:pt idx="7">
                    <c:v>979.87502893542239</c:v>
                  </c:pt>
                  <c:pt idx="8">
                    <c:v>639.69588673842293</c:v>
                  </c:pt>
                  <c:pt idx="9">
                    <c:v>781.15867546437232</c:v>
                  </c:pt>
                  <c:pt idx="10">
                    <c:v>1706.6977957856195</c:v>
                  </c:pt>
                  <c:pt idx="11">
                    <c:v>557.08940053373908</c:v>
                  </c:pt>
                  <c:pt idx="12">
                    <c:v>1361.5425443480972</c:v>
                  </c:pt>
                  <c:pt idx="13">
                    <c:v>940.41786970758915</c:v>
                  </c:pt>
                  <c:pt idx="14">
                    <c:v>2090.3952174797159</c:v>
                  </c:pt>
                  <c:pt idx="15">
                    <c:v>1885.160064653144</c:v>
                  </c:pt>
                  <c:pt idx="16">
                    <c:v>4733.896320166994</c:v>
                  </c:pt>
                  <c:pt idx="17">
                    <c:v>2350.6553347733065</c:v>
                  </c:pt>
                  <c:pt idx="18">
                    <c:v>844.12509252382858</c:v>
                  </c:pt>
                  <c:pt idx="19">
                    <c:v>3162.2161979758553</c:v>
                  </c:pt>
                  <c:pt idx="20">
                    <c:v>3957.0903051535179</c:v>
                  </c:pt>
                  <c:pt idx="21">
                    <c:v>3361.0774935889522</c:v>
                  </c:pt>
                  <c:pt idx="22">
                    <c:v>579.94787449631804</c:v>
                  </c:pt>
                  <c:pt idx="23">
                    <c:v>3372.6581570619769</c:v>
                  </c:pt>
                </c:numCache>
              </c:numRef>
            </c:plus>
            <c:minus>
              <c:numRef>
                <c:f>'BRF harvest'!$Y$303:$Y$326</c:f>
                <c:numCache>
                  <c:formatCode>General</c:formatCode>
                  <c:ptCount val="24"/>
                  <c:pt idx="0">
                    <c:v>394.24844248331749</c:v>
                  </c:pt>
                  <c:pt idx="1">
                    <c:v>375.48496741009541</c:v>
                  </c:pt>
                  <c:pt idx="2">
                    <c:v>1011.6110098759084</c:v>
                  </c:pt>
                  <c:pt idx="3">
                    <c:v>995.08735655932958</c:v>
                  </c:pt>
                  <c:pt idx="4">
                    <c:v>710.30245399804187</c:v>
                  </c:pt>
                  <c:pt idx="5">
                    <c:v>1081.0400883652735</c:v>
                  </c:pt>
                  <c:pt idx="6">
                    <c:v>1023.3062223576197</c:v>
                  </c:pt>
                  <c:pt idx="7">
                    <c:v>979.87502893542239</c:v>
                  </c:pt>
                  <c:pt idx="8">
                    <c:v>639.69588673842293</c:v>
                  </c:pt>
                  <c:pt idx="9">
                    <c:v>781.15867546437232</c:v>
                  </c:pt>
                  <c:pt idx="10">
                    <c:v>1706.6977957856195</c:v>
                  </c:pt>
                  <c:pt idx="11">
                    <c:v>557.08940053373908</c:v>
                  </c:pt>
                  <c:pt idx="12">
                    <c:v>1361.5425443480972</c:v>
                  </c:pt>
                  <c:pt idx="13">
                    <c:v>940.41786970758915</c:v>
                  </c:pt>
                  <c:pt idx="14">
                    <c:v>2090.3952174797159</c:v>
                  </c:pt>
                  <c:pt idx="15">
                    <c:v>1885.160064653144</c:v>
                  </c:pt>
                  <c:pt idx="16">
                    <c:v>4733.896320166994</c:v>
                  </c:pt>
                  <c:pt idx="17">
                    <c:v>2350.6553347733065</c:v>
                  </c:pt>
                  <c:pt idx="18">
                    <c:v>844.12509252382858</c:v>
                  </c:pt>
                  <c:pt idx="19">
                    <c:v>3162.2161979758553</c:v>
                  </c:pt>
                  <c:pt idx="20">
                    <c:v>3957.0903051535179</c:v>
                  </c:pt>
                  <c:pt idx="21">
                    <c:v>3361.0774935889522</c:v>
                  </c:pt>
                  <c:pt idx="22">
                    <c:v>579.94787449631804</c:v>
                  </c:pt>
                  <c:pt idx="23">
                    <c:v>3372.6581570619769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harvest'!$V$303:$V$326</c:f>
              <c:numCache>
                <c:formatCode>_(* #,##0_);_(* \(#,##0\);_(* "-"??_);_(@_)</c:formatCode>
                <c:ptCount val="24"/>
                <c:pt idx="0">
                  <c:v>927.74164204660451</c:v>
                </c:pt>
                <c:pt idx="1">
                  <c:v>800.5190215331063</c:v>
                </c:pt>
                <c:pt idx="2">
                  <c:v>2300.548463697311</c:v>
                </c:pt>
                <c:pt idx="3">
                  <c:v>2076.6671376370437</c:v>
                </c:pt>
                <c:pt idx="4">
                  <c:v>1299.295531696207</c:v>
                </c:pt>
                <c:pt idx="5">
                  <c:v>2333.4453071080738</c:v>
                </c:pt>
                <c:pt idx="6">
                  <c:v>1880.5679839184638</c:v>
                </c:pt>
                <c:pt idx="7">
                  <c:v>2018.4761173615548</c:v>
                </c:pt>
                <c:pt idx="8">
                  <c:v>1962.5133875616009</c:v>
                </c:pt>
                <c:pt idx="9">
                  <c:v>3195.8458360784375</c:v>
                </c:pt>
                <c:pt idx="10">
                  <c:v>4710.1009184342602</c:v>
                </c:pt>
                <c:pt idx="11">
                  <c:v>2449.2800469054973</c:v>
                </c:pt>
                <c:pt idx="12">
                  <c:v>4214.0900257706062</c:v>
                </c:pt>
                <c:pt idx="13">
                  <c:v>7835.2318261751498</c:v>
                </c:pt>
                <c:pt idx="14">
                  <c:v>8951.0314088624382</c:v>
                </c:pt>
                <c:pt idx="15">
                  <c:v>7334.2180377142668</c:v>
                </c:pt>
                <c:pt idx="16">
                  <c:v>13519.430448069656</c:v>
                </c:pt>
                <c:pt idx="17">
                  <c:v>9065.0575213470729</c:v>
                </c:pt>
                <c:pt idx="18">
                  <c:v>5047.2935321359719</c:v>
                </c:pt>
                <c:pt idx="19">
                  <c:v>11868.906769601883</c:v>
                </c:pt>
                <c:pt idx="20">
                  <c:v>14177.892546843908</c:v>
                </c:pt>
                <c:pt idx="21">
                  <c:v>13947.828265085333</c:v>
                </c:pt>
                <c:pt idx="22">
                  <c:v>4008.9990910922984</c:v>
                </c:pt>
                <c:pt idx="23">
                  <c:v>13379.926961517056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C-457C-98FD-F3E2EACB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harvest'!$K$328:$K$353</c:f>
                <c:numCache>
                  <c:formatCode>General</c:formatCode>
                  <c:ptCount val="26"/>
                  <c:pt idx="0">
                    <c:v>360.45638670955111</c:v>
                  </c:pt>
                  <c:pt idx="1">
                    <c:v>498.83310721235097</c:v>
                  </c:pt>
                  <c:pt idx="2">
                    <c:v>665.45794469455586</c:v>
                  </c:pt>
                  <c:pt idx="3">
                    <c:v>587.61290343333837</c:v>
                  </c:pt>
                  <c:pt idx="4">
                    <c:v>516.66717184911818</c:v>
                  </c:pt>
                  <c:pt idx="5">
                    <c:v>735.23209539022923</c:v>
                  </c:pt>
                  <c:pt idx="6">
                    <c:v>685.50499545413356</c:v>
                  </c:pt>
                  <c:pt idx="7">
                    <c:v>747.85913385567756</c:v>
                  </c:pt>
                  <c:pt idx="8">
                    <c:v>212.14472003851577</c:v>
                  </c:pt>
                  <c:pt idx="9">
                    <c:v>506.94727382420888</c:v>
                  </c:pt>
                  <c:pt idx="10">
                    <c:v>301.21838176193251</c:v>
                  </c:pt>
                  <c:pt idx="11">
                    <c:v>235.44671210651748</c:v>
                  </c:pt>
                  <c:pt idx="12">
                    <c:v>263.96237895635454</c:v>
                  </c:pt>
                  <c:pt idx="13">
                    <c:v>210.37842458075784</c:v>
                  </c:pt>
                  <c:pt idx="14">
                    <c:v>247.96547327971109</c:v>
                  </c:pt>
                  <c:pt idx="15">
                    <c:v>402.05248886225257</c:v>
                  </c:pt>
                  <c:pt idx="16">
                    <c:v>320.41041187764586</c:v>
                  </c:pt>
                  <c:pt idx="17">
                    <c:v>204.32347621915349</c:v>
                  </c:pt>
                  <c:pt idx="18">
                    <c:v>344.99198342299366</c:v>
                  </c:pt>
                  <c:pt idx="19">
                    <c:v>355.45074080472284</c:v>
                  </c:pt>
                  <c:pt idx="20">
                    <c:v>858.69187150521611</c:v>
                  </c:pt>
                  <c:pt idx="21">
                    <c:v>674.45452557115198</c:v>
                  </c:pt>
                  <c:pt idx="22">
                    <c:v>334.69279779921283</c:v>
                  </c:pt>
                  <c:pt idx="23">
                    <c:v>557.39793521666184</c:v>
                  </c:pt>
                  <c:pt idx="24">
                    <c:v>626.79441680114883</c:v>
                  </c:pt>
                  <c:pt idx="25">
                    <c:v>27.055031329570021</c:v>
                  </c:pt>
                </c:numCache>
              </c:numRef>
            </c:plus>
            <c:minus>
              <c:numRef>
                <c:f>'BRF harvest'!$K$328:$K$353</c:f>
                <c:numCache>
                  <c:formatCode>General</c:formatCode>
                  <c:ptCount val="26"/>
                  <c:pt idx="0">
                    <c:v>360.45638670955111</c:v>
                  </c:pt>
                  <c:pt idx="1">
                    <c:v>498.83310721235097</c:v>
                  </c:pt>
                  <c:pt idx="2">
                    <c:v>665.45794469455586</c:v>
                  </c:pt>
                  <c:pt idx="3">
                    <c:v>587.61290343333837</c:v>
                  </c:pt>
                  <c:pt idx="4">
                    <c:v>516.66717184911818</c:v>
                  </c:pt>
                  <c:pt idx="5">
                    <c:v>735.23209539022923</c:v>
                  </c:pt>
                  <c:pt idx="6">
                    <c:v>685.50499545413356</c:v>
                  </c:pt>
                  <c:pt idx="7">
                    <c:v>747.85913385567756</c:v>
                  </c:pt>
                  <c:pt idx="8">
                    <c:v>212.14472003851577</c:v>
                  </c:pt>
                  <c:pt idx="9">
                    <c:v>506.94727382420888</c:v>
                  </c:pt>
                  <c:pt idx="10">
                    <c:v>301.21838176193251</c:v>
                  </c:pt>
                  <c:pt idx="11">
                    <c:v>235.44671210651748</c:v>
                  </c:pt>
                  <c:pt idx="12">
                    <c:v>263.96237895635454</c:v>
                  </c:pt>
                  <c:pt idx="13">
                    <c:v>210.37842458075784</c:v>
                  </c:pt>
                  <c:pt idx="14">
                    <c:v>247.96547327971109</c:v>
                  </c:pt>
                  <c:pt idx="15">
                    <c:v>402.05248886225257</c:v>
                  </c:pt>
                  <c:pt idx="16">
                    <c:v>320.41041187764586</c:v>
                  </c:pt>
                  <c:pt idx="17">
                    <c:v>204.32347621915349</c:v>
                  </c:pt>
                  <c:pt idx="18">
                    <c:v>344.99198342299366</c:v>
                  </c:pt>
                  <c:pt idx="19">
                    <c:v>355.45074080472284</c:v>
                  </c:pt>
                  <c:pt idx="20">
                    <c:v>858.69187150521611</c:v>
                  </c:pt>
                  <c:pt idx="21">
                    <c:v>674.45452557115198</c:v>
                  </c:pt>
                  <c:pt idx="22">
                    <c:v>334.69279779921283</c:v>
                  </c:pt>
                  <c:pt idx="23">
                    <c:v>557.39793521666184</c:v>
                  </c:pt>
                  <c:pt idx="24">
                    <c:v>626.79441680114883</c:v>
                  </c:pt>
                  <c:pt idx="25">
                    <c:v>27.055031329570021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harvest'!$H$328:$H$351</c:f>
              <c:numCache>
                <c:formatCode>0</c:formatCode>
                <c:ptCount val="24"/>
                <c:pt idx="0">
                  <c:v>2292.1053780689999</c:v>
                </c:pt>
                <c:pt idx="1">
                  <c:v>3172.028822232</c:v>
                </c:pt>
                <c:pt idx="2">
                  <c:v>4231.5791595119999</c:v>
                </c:pt>
                <c:pt idx="3">
                  <c:v>3736.5704863139999</c:v>
                </c:pt>
                <c:pt idx="4">
                  <c:v>3285.4338192690002</c:v>
                </c:pt>
                <c:pt idx="5">
                  <c:v>4675.2658632479997</c:v>
                </c:pt>
                <c:pt idx="6">
                  <c:v>4359.0563094660001</c:v>
                </c:pt>
                <c:pt idx="7">
                  <c:v>4755.5599122450003</c:v>
                </c:pt>
                <c:pt idx="8">
                  <c:v>5561.3186805539999</c:v>
                </c:pt>
                <c:pt idx="9">
                  <c:v>6141.911767654</c:v>
                </c:pt>
                <c:pt idx="10">
                  <c:v>7398.3228334180003</c:v>
                </c:pt>
                <c:pt idx="11">
                  <c:v>5544.6453355060003</c:v>
                </c:pt>
                <c:pt idx="12">
                  <c:v>8084.2666705709998</c:v>
                </c:pt>
                <c:pt idx="13">
                  <c:v>7812.3208692930002</c:v>
                </c:pt>
                <c:pt idx="14">
                  <c:v>8066.7043093890006</c:v>
                </c:pt>
                <c:pt idx="15">
                  <c:v>9098.0240749509994</c:v>
                </c:pt>
                <c:pt idx="16">
                  <c:v>9020.8761192479997</c:v>
                </c:pt>
                <c:pt idx="17">
                  <c:v>9921.0666705479998</c:v>
                </c:pt>
                <c:pt idx="18">
                  <c:v>10567.182666343</c:v>
                </c:pt>
                <c:pt idx="19">
                  <c:v>11467.911371466</c:v>
                </c:pt>
                <c:pt idx="20">
                  <c:v>18945.098437500001</c:v>
                </c:pt>
                <c:pt idx="21">
                  <c:v>16393.135725429016</c:v>
                </c:pt>
                <c:pt idx="22">
                  <c:v>8121.5064935064911</c:v>
                </c:pt>
                <c:pt idx="23">
                  <c:v>12331.355524734166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5-4C7A-AF73-1C50A69DB26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harvest'!$T$328:$T$353</c:f>
                <c:numCache>
                  <c:formatCode>General</c:formatCode>
                  <c:ptCount val="26"/>
                  <c:pt idx="0">
                    <c:v>673.12014761933392</c:v>
                  </c:pt>
                  <c:pt idx="1">
                    <c:v>792.34874428278079</c:v>
                  </c:pt>
                  <c:pt idx="2">
                    <c:v>1288.9374620361275</c:v>
                  </c:pt>
                  <c:pt idx="3">
                    <c:v>1005.0035361676304</c:v>
                  </c:pt>
                  <c:pt idx="4">
                    <c:v>863.62787826642864</c:v>
                  </c:pt>
                  <c:pt idx="5">
                    <c:v>1210.8851976739429</c:v>
                  </c:pt>
                  <c:pt idx="6">
                    <c:v>1418.5945292824008</c:v>
                  </c:pt>
                  <c:pt idx="7">
                    <c:v>1648.0208821045792</c:v>
                  </c:pt>
                  <c:pt idx="8">
                    <c:v>939.04876807227151</c:v>
                  </c:pt>
                  <c:pt idx="9">
                    <c:v>849.10040557891887</c:v>
                  </c:pt>
                  <c:pt idx="10">
                    <c:v>1240.4622832533657</c:v>
                  </c:pt>
                  <c:pt idx="11">
                    <c:v>730.95752869931255</c:v>
                  </c:pt>
                  <c:pt idx="12">
                    <c:v>1043.7454007571203</c:v>
                  </c:pt>
                  <c:pt idx="13">
                    <c:v>993.50668888607026</c:v>
                  </c:pt>
                  <c:pt idx="14">
                    <c:v>457.94882858060384</c:v>
                  </c:pt>
                  <c:pt idx="15">
                    <c:v>1620.2224639782523</c:v>
                  </c:pt>
                  <c:pt idx="16">
                    <c:v>756.34088542279096</c:v>
                  </c:pt>
                  <c:pt idx="17">
                    <c:v>626.65010758746905</c:v>
                  </c:pt>
                  <c:pt idx="18">
                    <c:v>841.65438281245849</c:v>
                  </c:pt>
                  <c:pt idx="19">
                    <c:v>1126.2714388473296</c:v>
                  </c:pt>
                  <c:pt idx="20">
                    <c:v>1445.1930605294763</c:v>
                  </c:pt>
                  <c:pt idx="21">
                    <c:v>4723.9443476911219</c:v>
                  </c:pt>
                  <c:pt idx="22">
                    <c:v>3727.0913665257767</c:v>
                  </c:pt>
                  <c:pt idx="23">
                    <c:v>2677.1236715293103</c:v>
                  </c:pt>
                  <c:pt idx="24">
                    <c:v>2984.9822460786381</c:v>
                  </c:pt>
                  <c:pt idx="25">
                    <c:v>671.2721057120898</c:v>
                  </c:pt>
                </c:numCache>
              </c:numRef>
            </c:plus>
            <c:minus>
              <c:numRef>
                <c:f>'BRF harvest'!$T$328:$T$353</c:f>
                <c:numCache>
                  <c:formatCode>General</c:formatCode>
                  <c:ptCount val="26"/>
                  <c:pt idx="0">
                    <c:v>673.12014761933392</c:v>
                  </c:pt>
                  <c:pt idx="1">
                    <c:v>792.34874428278079</c:v>
                  </c:pt>
                  <c:pt idx="2">
                    <c:v>1288.9374620361275</c:v>
                  </c:pt>
                  <c:pt idx="3">
                    <c:v>1005.0035361676304</c:v>
                  </c:pt>
                  <c:pt idx="4">
                    <c:v>863.62787826642864</c:v>
                  </c:pt>
                  <c:pt idx="5">
                    <c:v>1210.8851976739429</c:v>
                  </c:pt>
                  <c:pt idx="6">
                    <c:v>1418.5945292824008</c:v>
                  </c:pt>
                  <c:pt idx="7">
                    <c:v>1648.0208821045792</c:v>
                  </c:pt>
                  <c:pt idx="8">
                    <c:v>939.04876807227151</c:v>
                  </c:pt>
                  <c:pt idx="9">
                    <c:v>849.10040557891887</c:v>
                  </c:pt>
                  <c:pt idx="10">
                    <c:v>1240.4622832533657</c:v>
                  </c:pt>
                  <c:pt idx="11">
                    <c:v>730.95752869931255</c:v>
                  </c:pt>
                  <c:pt idx="12">
                    <c:v>1043.7454007571203</c:v>
                  </c:pt>
                  <c:pt idx="13">
                    <c:v>993.50668888607026</c:v>
                  </c:pt>
                  <c:pt idx="14">
                    <c:v>457.94882858060384</c:v>
                  </c:pt>
                  <c:pt idx="15">
                    <c:v>1620.2224639782523</c:v>
                  </c:pt>
                  <c:pt idx="16">
                    <c:v>756.34088542279096</c:v>
                  </c:pt>
                  <c:pt idx="17">
                    <c:v>626.65010758746905</c:v>
                  </c:pt>
                  <c:pt idx="18">
                    <c:v>841.65438281245849</c:v>
                  </c:pt>
                  <c:pt idx="19">
                    <c:v>1126.2714388473296</c:v>
                  </c:pt>
                  <c:pt idx="20">
                    <c:v>1445.1930605294763</c:v>
                  </c:pt>
                  <c:pt idx="21">
                    <c:v>4723.9443476911219</c:v>
                  </c:pt>
                  <c:pt idx="22">
                    <c:v>3727.0913665257767</c:v>
                  </c:pt>
                  <c:pt idx="23">
                    <c:v>2677.1236715293103</c:v>
                  </c:pt>
                  <c:pt idx="24">
                    <c:v>2984.9822460786381</c:v>
                  </c:pt>
                  <c:pt idx="25">
                    <c:v>671.2721057120898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harvest'!$Q$328:$Q$351</c:f>
              <c:numCache>
                <c:formatCode>_(* #,##0_);_(* \(#,##0\);_(* "-"??_);_(@_)</c:formatCode>
                <c:ptCount val="24"/>
                <c:pt idx="0">
                  <c:v>760.18032081428362</c:v>
                </c:pt>
                <c:pt idx="1">
                  <c:v>894.82973397241187</c:v>
                </c:pt>
                <c:pt idx="2">
                  <c:v>1455.6463610034255</c:v>
                </c:pt>
                <c:pt idx="3">
                  <c:v>1134.9889217332573</c:v>
                </c:pt>
                <c:pt idx="4">
                  <c:v>975.32798548173469</c:v>
                </c:pt>
                <c:pt idx="5">
                  <c:v>1367.4989543733072</c:v>
                </c:pt>
                <c:pt idx="6">
                  <c:v>1602.0730447443655</c:v>
                </c:pt>
                <c:pt idx="7">
                  <c:v>1861.1729975662281</c:v>
                </c:pt>
                <c:pt idx="8">
                  <c:v>2081.0930035890742</c:v>
                </c:pt>
                <c:pt idx="9">
                  <c:v>1881.9368117766508</c:v>
                </c:pt>
                <c:pt idx="10">
                  <c:v>2790.9797482149343</c:v>
                </c:pt>
                <c:pt idx="11">
                  <c:v>1588.2847486873936</c:v>
                </c:pt>
                <c:pt idx="12">
                  <c:v>2294.2002350017447</c:v>
                </c:pt>
                <c:pt idx="13">
                  <c:v>2518.4328698405093</c:v>
                </c:pt>
                <c:pt idx="14">
                  <c:v>1066.0084150077937</c:v>
                </c:pt>
                <c:pt idx="15">
                  <c:v>4340.7387382138913</c:v>
                </c:pt>
                <c:pt idx="16">
                  <c:v>2496.0378683327572</c:v>
                </c:pt>
                <c:pt idx="17">
                  <c:v>1995.3360309337841</c:v>
                </c:pt>
                <c:pt idx="18">
                  <c:v>2628.5215592018908</c:v>
                </c:pt>
                <c:pt idx="19">
                  <c:v>3616.6549597931012</c:v>
                </c:pt>
                <c:pt idx="20">
                  <c:v>5406.9232182181686</c:v>
                </c:pt>
                <c:pt idx="21">
                  <c:v>14670.930587958106</c:v>
                </c:pt>
                <c:pt idx="22">
                  <c:v>11112.968104438896</c:v>
                </c:pt>
                <c:pt idx="23">
                  <c:v>7498.6507203000983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5-4C7A-AF73-1C50A69DB26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harvest'!$Y$328:$Y$351</c:f>
                <c:numCache>
                  <c:formatCode>General</c:formatCode>
                  <c:ptCount val="24"/>
                  <c:pt idx="0">
                    <c:v>763.55716213704613</c:v>
                  </c:pt>
                  <c:pt idx="1">
                    <c:v>936.29642817733111</c:v>
                  </c:pt>
                  <c:pt idx="2">
                    <c:v>1450.5840400325781</c:v>
                  </c:pt>
                  <c:pt idx="3">
                    <c:v>1164.1825595630607</c:v>
                  </c:pt>
                  <c:pt idx="4">
                    <c:v>1006.37869541517</c:v>
                  </c:pt>
                  <c:pt idx="5">
                    <c:v>1416.6189311306591</c:v>
                  </c:pt>
                  <c:pt idx="6">
                    <c:v>1575.5403953255302</c:v>
                  </c:pt>
                  <c:pt idx="7">
                    <c:v>1809.7696295230837</c:v>
                  </c:pt>
                  <c:pt idx="8">
                    <c:v>962.71385731081648</c:v>
                  </c:pt>
                  <c:pt idx="9">
                    <c:v>988.92215931896385</c:v>
                  </c:pt>
                  <c:pt idx="10">
                    <c:v>1276.5105521245921</c:v>
                  </c:pt>
                  <c:pt idx="11">
                    <c:v>767.94144503599728</c:v>
                  </c:pt>
                  <c:pt idx="12">
                    <c:v>1076.6060556702901</c:v>
                  </c:pt>
                  <c:pt idx="13">
                    <c:v>1015.5366179466128</c:v>
                  </c:pt>
                  <c:pt idx="14">
                    <c:v>520.77250843067588</c:v>
                  </c:pt>
                  <c:pt idx="15">
                    <c:v>1669.3612660476135</c:v>
                  </c:pt>
                  <c:pt idx="16">
                    <c:v>821.40998715728676</c:v>
                  </c:pt>
                  <c:pt idx="17">
                    <c:v>659.11944310091906</c:v>
                  </c:pt>
                  <c:pt idx="18">
                    <c:v>909.61616560698371</c:v>
                  </c:pt>
                  <c:pt idx="19">
                    <c:v>1181.0303057508138</c:v>
                  </c:pt>
                  <c:pt idx="20">
                    <c:v>1681.0516685669377</c:v>
                  </c:pt>
                  <c:pt idx="21">
                    <c:v>4771.8486048015302</c:v>
                  </c:pt>
                  <c:pt idx="22">
                    <c:v>3742.0888983734271</c:v>
                  </c:pt>
                  <c:pt idx="23">
                    <c:v>2734.535355567079</c:v>
                  </c:pt>
                </c:numCache>
              </c:numRef>
            </c:plus>
            <c:minus>
              <c:numRef>
                <c:f>'BRF harvest'!$Y$328:$Y$351</c:f>
                <c:numCache>
                  <c:formatCode>General</c:formatCode>
                  <c:ptCount val="24"/>
                  <c:pt idx="0">
                    <c:v>763.55716213704613</c:v>
                  </c:pt>
                  <c:pt idx="1">
                    <c:v>936.29642817733111</c:v>
                  </c:pt>
                  <c:pt idx="2">
                    <c:v>1450.5840400325781</c:v>
                  </c:pt>
                  <c:pt idx="3">
                    <c:v>1164.1825595630607</c:v>
                  </c:pt>
                  <c:pt idx="4">
                    <c:v>1006.37869541517</c:v>
                  </c:pt>
                  <c:pt idx="5">
                    <c:v>1416.6189311306591</c:v>
                  </c:pt>
                  <c:pt idx="6">
                    <c:v>1575.5403953255302</c:v>
                  </c:pt>
                  <c:pt idx="7">
                    <c:v>1809.7696295230837</c:v>
                  </c:pt>
                  <c:pt idx="8">
                    <c:v>962.71385731081648</c:v>
                  </c:pt>
                  <c:pt idx="9">
                    <c:v>988.92215931896385</c:v>
                  </c:pt>
                  <c:pt idx="10">
                    <c:v>1276.5105521245921</c:v>
                  </c:pt>
                  <c:pt idx="11">
                    <c:v>767.94144503599728</c:v>
                  </c:pt>
                  <c:pt idx="12">
                    <c:v>1076.6060556702901</c:v>
                  </c:pt>
                  <c:pt idx="13">
                    <c:v>1015.5366179466128</c:v>
                  </c:pt>
                  <c:pt idx="14">
                    <c:v>520.77250843067588</c:v>
                  </c:pt>
                  <c:pt idx="15">
                    <c:v>1669.3612660476135</c:v>
                  </c:pt>
                  <c:pt idx="16">
                    <c:v>821.40998715728676</c:v>
                  </c:pt>
                  <c:pt idx="17">
                    <c:v>659.11944310091906</c:v>
                  </c:pt>
                  <c:pt idx="18">
                    <c:v>909.61616560698371</c:v>
                  </c:pt>
                  <c:pt idx="19">
                    <c:v>1181.0303057508138</c:v>
                  </c:pt>
                  <c:pt idx="20">
                    <c:v>1681.0516685669377</c:v>
                  </c:pt>
                  <c:pt idx="21">
                    <c:v>4771.8486048015302</c:v>
                  </c:pt>
                  <c:pt idx="22">
                    <c:v>3742.0888983734271</c:v>
                  </c:pt>
                  <c:pt idx="23">
                    <c:v>2734.535355567079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harvest'!$V$328:$V$351</c:f>
              <c:numCache>
                <c:formatCode>_(* #,##0_);_(* \(#,##0\);_(* "-"??_);_(@_)</c:formatCode>
                <c:ptCount val="24"/>
                <c:pt idx="0">
                  <c:v>3052.2856988832837</c:v>
                </c:pt>
                <c:pt idx="1">
                  <c:v>4066.8585562044118</c:v>
                </c:pt>
                <c:pt idx="2">
                  <c:v>5687.2255205154252</c:v>
                </c:pt>
                <c:pt idx="3">
                  <c:v>4871.5594080472574</c:v>
                </c:pt>
                <c:pt idx="4">
                  <c:v>4260.7618047507349</c:v>
                </c:pt>
                <c:pt idx="5">
                  <c:v>6042.764817621307</c:v>
                </c:pt>
                <c:pt idx="6">
                  <c:v>5961.1293542103658</c:v>
                </c:pt>
                <c:pt idx="7">
                  <c:v>6616.7329098112286</c:v>
                </c:pt>
                <c:pt idx="8">
                  <c:v>7642.4116841430741</c:v>
                </c:pt>
                <c:pt idx="9">
                  <c:v>8023.8485794306507</c:v>
                </c:pt>
                <c:pt idx="10">
                  <c:v>10189.302581632935</c:v>
                </c:pt>
                <c:pt idx="11">
                  <c:v>7132.9300841933937</c:v>
                </c:pt>
                <c:pt idx="12">
                  <c:v>10378.466905572745</c:v>
                </c:pt>
                <c:pt idx="13">
                  <c:v>10330.75373913351</c:v>
                </c:pt>
                <c:pt idx="14">
                  <c:v>9132.7127243967952</c:v>
                </c:pt>
                <c:pt idx="15">
                  <c:v>13438.762813164891</c:v>
                </c:pt>
                <c:pt idx="16">
                  <c:v>11516.913987580756</c:v>
                </c:pt>
                <c:pt idx="17">
                  <c:v>11916.402701481784</c:v>
                </c:pt>
                <c:pt idx="18">
                  <c:v>13195.704225544891</c:v>
                </c:pt>
                <c:pt idx="19">
                  <c:v>15084.5663312591</c:v>
                </c:pt>
                <c:pt idx="20">
                  <c:v>24352.02165571817</c:v>
                </c:pt>
                <c:pt idx="21">
                  <c:v>31064.06631338712</c:v>
                </c:pt>
                <c:pt idx="22">
                  <c:v>19234.474597945387</c:v>
                </c:pt>
                <c:pt idx="23">
                  <c:v>19830.006245034267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5-4C7A-AF73-1C50A69D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harvest'!$K$353:$K$376</c:f>
                <c:numCache>
                  <c:formatCode>General</c:formatCode>
                  <c:ptCount val="24"/>
                  <c:pt idx="0">
                    <c:v>27.055031329570021</c:v>
                  </c:pt>
                  <c:pt idx="1">
                    <c:v>29.016613628430775</c:v>
                  </c:pt>
                  <c:pt idx="2">
                    <c:v>39.78681077877944</c:v>
                  </c:pt>
                  <c:pt idx="3">
                    <c:v>34.771822071314688</c:v>
                  </c:pt>
                  <c:pt idx="4">
                    <c:v>64.621182902092002</c:v>
                  </c:pt>
                  <c:pt idx="5">
                    <c:v>51.926414439653541</c:v>
                  </c:pt>
                  <c:pt idx="6">
                    <c:v>76.66825909603871</c:v>
                  </c:pt>
                  <c:pt idx="7">
                    <c:v>100.35529062945159</c:v>
                  </c:pt>
                  <c:pt idx="8">
                    <c:v>50.073017348778293</c:v>
                  </c:pt>
                  <c:pt idx="9">
                    <c:v>53.904370435736809</c:v>
                  </c:pt>
                  <c:pt idx="10">
                    <c:v>62.517762985414137</c:v>
                  </c:pt>
                  <c:pt idx="11">
                    <c:v>64.317753149539882</c:v>
                  </c:pt>
                  <c:pt idx="12">
                    <c:v>48.444312217895053</c:v>
                  </c:pt>
                  <c:pt idx="13">
                    <c:v>35.985706705444947</c:v>
                  </c:pt>
                  <c:pt idx="14">
                    <c:v>90.664999594747286</c:v>
                  </c:pt>
                  <c:pt idx="15">
                    <c:v>50.566743343871543</c:v>
                  </c:pt>
                  <c:pt idx="16">
                    <c:v>92.005538122063982</c:v>
                  </c:pt>
                  <c:pt idx="17">
                    <c:v>48.01242347316682</c:v>
                  </c:pt>
                  <c:pt idx="18">
                    <c:v>36.907292452585203</c:v>
                  </c:pt>
                  <c:pt idx="19">
                    <c:v>61.453565777922336</c:v>
                  </c:pt>
                  <c:pt idx="20">
                    <c:v>51.113055208552133</c:v>
                  </c:pt>
                  <c:pt idx="21">
                    <c:v>90.430568673491663</c:v>
                  </c:pt>
                  <c:pt idx="22">
                    <c:v>59.95090912689102</c:v>
                  </c:pt>
                  <c:pt idx="23">
                    <c:v>130.37009517115541</c:v>
                  </c:pt>
                </c:numCache>
              </c:numRef>
            </c:plus>
            <c:minus>
              <c:numRef>
                <c:f>'BRF harvest'!$K$353:$K$376</c:f>
                <c:numCache>
                  <c:formatCode>General</c:formatCode>
                  <c:ptCount val="24"/>
                  <c:pt idx="0">
                    <c:v>27.055031329570021</c:v>
                  </c:pt>
                  <c:pt idx="1">
                    <c:v>29.016613628430775</c:v>
                  </c:pt>
                  <c:pt idx="2">
                    <c:v>39.78681077877944</c:v>
                  </c:pt>
                  <c:pt idx="3">
                    <c:v>34.771822071314688</c:v>
                  </c:pt>
                  <c:pt idx="4">
                    <c:v>64.621182902092002</c:v>
                  </c:pt>
                  <c:pt idx="5">
                    <c:v>51.926414439653541</c:v>
                  </c:pt>
                  <c:pt idx="6">
                    <c:v>76.66825909603871</c:v>
                  </c:pt>
                  <c:pt idx="7">
                    <c:v>100.35529062945159</c:v>
                  </c:pt>
                  <c:pt idx="8">
                    <c:v>50.073017348778293</c:v>
                  </c:pt>
                  <c:pt idx="9">
                    <c:v>53.904370435736809</c:v>
                  </c:pt>
                  <c:pt idx="10">
                    <c:v>62.517762985414137</c:v>
                  </c:pt>
                  <c:pt idx="11">
                    <c:v>64.317753149539882</c:v>
                  </c:pt>
                  <c:pt idx="12">
                    <c:v>48.444312217895053</c:v>
                  </c:pt>
                  <c:pt idx="13">
                    <c:v>35.985706705444947</c:v>
                  </c:pt>
                  <c:pt idx="14">
                    <c:v>90.664999594747286</c:v>
                  </c:pt>
                  <c:pt idx="15">
                    <c:v>50.566743343871543</c:v>
                  </c:pt>
                  <c:pt idx="16">
                    <c:v>92.005538122063982</c:v>
                  </c:pt>
                  <c:pt idx="17">
                    <c:v>48.01242347316682</c:v>
                  </c:pt>
                  <c:pt idx="18">
                    <c:v>36.907292452585203</c:v>
                  </c:pt>
                  <c:pt idx="19">
                    <c:v>61.453565777922336</c:v>
                  </c:pt>
                  <c:pt idx="20">
                    <c:v>51.113055208552133</c:v>
                  </c:pt>
                  <c:pt idx="21">
                    <c:v>90.430568673491663</c:v>
                  </c:pt>
                  <c:pt idx="22">
                    <c:v>59.95090912689102</c:v>
                  </c:pt>
                  <c:pt idx="23">
                    <c:v>130.37009517115541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harvest'!$H$353:$H$376</c:f>
              <c:numCache>
                <c:formatCode>0</c:formatCode>
                <c:ptCount val="24"/>
                <c:pt idx="0">
                  <c:v>1437.8648244639999</c:v>
                </c:pt>
                <c:pt idx="1">
                  <c:v>1542.114941696</c:v>
                </c:pt>
                <c:pt idx="2">
                  <c:v>2114.5070947999998</c:v>
                </c:pt>
                <c:pt idx="3">
                  <c:v>1847.980851688</c:v>
                </c:pt>
                <c:pt idx="4">
                  <c:v>3434.3529186239998</c:v>
                </c:pt>
                <c:pt idx="5">
                  <c:v>2759.6776316320002</c:v>
                </c:pt>
                <c:pt idx="6">
                  <c:v>4074.605997096</c:v>
                </c:pt>
                <c:pt idx="7">
                  <c:v>5333.4753372559999</c:v>
                </c:pt>
                <c:pt idx="8">
                  <c:v>4701.2533344700005</c:v>
                </c:pt>
                <c:pt idx="9">
                  <c:v>5809.5590898319997</c:v>
                </c:pt>
                <c:pt idx="10">
                  <c:v>10637.157524804999</c:v>
                </c:pt>
                <c:pt idx="11">
                  <c:v>5812.1931671359998</c:v>
                </c:pt>
                <c:pt idx="12">
                  <c:v>7328.9758286159995</c:v>
                </c:pt>
                <c:pt idx="13">
                  <c:v>8084.7525021319998</c:v>
                </c:pt>
                <c:pt idx="14">
                  <c:v>9276.6130169219996</c:v>
                </c:pt>
                <c:pt idx="15">
                  <c:v>10992.562746424001</c:v>
                </c:pt>
                <c:pt idx="16">
                  <c:v>12852.376909116001</c:v>
                </c:pt>
                <c:pt idx="17">
                  <c:v>12614.137521029001</c:v>
                </c:pt>
                <c:pt idx="18">
                  <c:v>13467.403247603999</c:v>
                </c:pt>
                <c:pt idx="19">
                  <c:v>16188.019244539999</c:v>
                </c:pt>
                <c:pt idx="20">
                  <c:v>22303.100593563999</c:v>
                </c:pt>
                <c:pt idx="21">
                  <c:v>18975.270948012232</c:v>
                </c:pt>
                <c:pt idx="22">
                  <c:v>12355.865336658349</c:v>
                </c:pt>
                <c:pt idx="23">
                  <c:v>28499.784642541934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2-4F60-94CF-BCF7AB5F665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harvest'!$T$353:$T$376</c:f>
                <c:numCache>
                  <c:formatCode>General</c:formatCode>
                  <c:ptCount val="24"/>
                  <c:pt idx="0">
                    <c:v>671.2721057120898</c:v>
                  </c:pt>
                  <c:pt idx="1">
                    <c:v>972.87034221884028</c:v>
                  </c:pt>
                  <c:pt idx="2">
                    <c:v>1456.3548667097457</c:v>
                  </c:pt>
                  <c:pt idx="3">
                    <c:v>1213.1372811550359</c:v>
                  </c:pt>
                  <c:pt idx="4">
                    <c:v>1605.3625209447371</c:v>
                  </c:pt>
                  <c:pt idx="5">
                    <c:v>1453.4042200912311</c:v>
                  </c:pt>
                  <c:pt idx="6">
                    <c:v>2120.4611163483</c:v>
                  </c:pt>
                  <c:pt idx="7">
                    <c:v>2669.4921478647811</c:v>
                  </c:pt>
                  <c:pt idx="8">
                    <c:v>1638.3015734180201</c:v>
                  </c:pt>
                  <c:pt idx="9">
                    <c:v>2451.7621387364625</c:v>
                  </c:pt>
                  <c:pt idx="10">
                    <c:v>3747.6611745222958</c:v>
                  </c:pt>
                  <c:pt idx="11">
                    <c:v>2019.6684812889519</c:v>
                  </c:pt>
                  <c:pt idx="12">
                    <c:v>2193.9293933243216</c:v>
                  </c:pt>
                  <c:pt idx="13">
                    <c:v>2221.666170465573</c:v>
                  </c:pt>
                  <c:pt idx="14">
                    <c:v>2444.7781293730718</c:v>
                  </c:pt>
                  <c:pt idx="15">
                    <c:v>2469.5511243967371</c:v>
                  </c:pt>
                  <c:pt idx="16">
                    <c:v>2811.8857196511726</c:v>
                  </c:pt>
                  <c:pt idx="17">
                    <c:v>6141.1357497940626</c:v>
                  </c:pt>
                  <c:pt idx="18">
                    <c:v>4272.3653363620442</c:v>
                  </c:pt>
                  <c:pt idx="19">
                    <c:v>4038.6430728498367</c:v>
                  </c:pt>
                  <c:pt idx="20">
                    <c:v>4949.524526908408</c:v>
                  </c:pt>
                  <c:pt idx="21">
                    <c:v>6055.4853840374944</c:v>
                  </c:pt>
                  <c:pt idx="22">
                    <c:v>2128.5745226037848</c:v>
                  </c:pt>
                  <c:pt idx="23">
                    <c:v>1296.3612131088237</c:v>
                  </c:pt>
                </c:numCache>
              </c:numRef>
            </c:plus>
            <c:minus>
              <c:numRef>
                <c:f>'BRF harvest'!$T$353:$T$376</c:f>
                <c:numCache>
                  <c:formatCode>General</c:formatCode>
                  <c:ptCount val="24"/>
                  <c:pt idx="0">
                    <c:v>671.2721057120898</c:v>
                  </c:pt>
                  <c:pt idx="1">
                    <c:v>972.87034221884028</c:v>
                  </c:pt>
                  <c:pt idx="2">
                    <c:v>1456.3548667097457</c:v>
                  </c:pt>
                  <c:pt idx="3">
                    <c:v>1213.1372811550359</c:v>
                  </c:pt>
                  <c:pt idx="4">
                    <c:v>1605.3625209447371</c:v>
                  </c:pt>
                  <c:pt idx="5">
                    <c:v>1453.4042200912311</c:v>
                  </c:pt>
                  <c:pt idx="6">
                    <c:v>2120.4611163483</c:v>
                  </c:pt>
                  <c:pt idx="7">
                    <c:v>2669.4921478647811</c:v>
                  </c:pt>
                  <c:pt idx="8">
                    <c:v>1638.3015734180201</c:v>
                  </c:pt>
                  <c:pt idx="9">
                    <c:v>2451.7621387364625</c:v>
                  </c:pt>
                  <c:pt idx="10">
                    <c:v>3747.6611745222958</c:v>
                  </c:pt>
                  <c:pt idx="11">
                    <c:v>2019.6684812889519</c:v>
                  </c:pt>
                  <c:pt idx="12">
                    <c:v>2193.9293933243216</c:v>
                  </c:pt>
                  <c:pt idx="13">
                    <c:v>2221.666170465573</c:v>
                  </c:pt>
                  <c:pt idx="14">
                    <c:v>2444.7781293730718</c:v>
                  </c:pt>
                  <c:pt idx="15">
                    <c:v>2469.5511243967371</c:v>
                  </c:pt>
                  <c:pt idx="16">
                    <c:v>2811.8857196511726</c:v>
                  </c:pt>
                  <c:pt idx="17">
                    <c:v>6141.1357497940626</c:v>
                  </c:pt>
                  <c:pt idx="18">
                    <c:v>4272.3653363620442</c:v>
                  </c:pt>
                  <c:pt idx="19">
                    <c:v>4038.6430728498367</c:v>
                  </c:pt>
                  <c:pt idx="20">
                    <c:v>4949.524526908408</c:v>
                  </c:pt>
                  <c:pt idx="21">
                    <c:v>6055.4853840374944</c:v>
                  </c:pt>
                  <c:pt idx="22">
                    <c:v>2128.5745226037848</c:v>
                  </c:pt>
                  <c:pt idx="23">
                    <c:v>1296.3612131088237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harvest'!$Q$353:$Q$376</c:f>
              <c:numCache>
                <c:formatCode>_(* #,##0_);_(* \(#,##0\);_(* "-"??_);_(@_)</c:formatCode>
                <c:ptCount val="24"/>
                <c:pt idx="0">
                  <c:v>952.96755687131224</c:v>
                </c:pt>
                <c:pt idx="1">
                  <c:v>1381.1297464734619</c:v>
                </c:pt>
                <c:pt idx="2">
                  <c:v>2067.5057513283414</c:v>
                </c:pt>
                <c:pt idx="3">
                  <c:v>1722.2233147099757</c:v>
                </c:pt>
                <c:pt idx="4">
                  <c:v>2279.043604611863</c:v>
                </c:pt>
                <c:pt idx="5">
                  <c:v>2063.3168829464894</c:v>
                </c:pt>
                <c:pt idx="6">
                  <c:v>3010.3003421294411</c:v>
                </c:pt>
                <c:pt idx="7">
                  <c:v>3789.729066038316</c:v>
                </c:pt>
                <c:pt idx="8">
                  <c:v>2353.0622819325404</c:v>
                </c:pt>
                <c:pt idx="9">
                  <c:v>3641.8445576209169</c:v>
                </c:pt>
                <c:pt idx="10">
                  <c:v>5579.2883712852581</c:v>
                </c:pt>
                <c:pt idx="11">
                  <c:v>3008.7195635870808</c:v>
                </c:pt>
                <c:pt idx="12">
                  <c:v>3265.494990539009</c:v>
                </c:pt>
                <c:pt idx="13">
                  <c:v>3347.2562702238924</c:v>
                </c:pt>
                <c:pt idx="14">
                  <c:v>4772.3056212545662</c:v>
                </c:pt>
                <c:pt idx="15">
                  <c:v>4774.2365106903026</c:v>
                </c:pt>
                <c:pt idx="16">
                  <c:v>3593.0247604901078</c:v>
                </c:pt>
                <c:pt idx="17">
                  <c:v>9990.9281418935389</c:v>
                </c:pt>
                <c:pt idx="18">
                  <c:v>6002.8001871484912</c:v>
                </c:pt>
                <c:pt idx="19">
                  <c:v>4953.4991090958874</c:v>
                </c:pt>
                <c:pt idx="20">
                  <c:v>9069.9662775131837</c:v>
                </c:pt>
                <c:pt idx="21">
                  <c:v>9461.1967224867258</c:v>
                </c:pt>
                <c:pt idx="22">
                  <c:v>2657.7185947475805</c:v>
                </c:pt>
                <c:pt idx="23">
                  <c:v>1572.4210936346151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2-4F60-94CF-BCF7AB5F665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harvest'!$Y$353:$Y$376</c:f>
                <c:numCache>
                  <c:formatCode>General</c:formatCode>
                  <c:ptCount val="24"/>
                  <c:pt idx="0">
                    <c:v>671.81709908827645</c:v>
                  </c:pt>
                  <c:pt idx="1">
                    <c:v>973.30296754682968</c:v>
                  </c:pt>
                  <c:pt idx="2">
                    <c:v>1456.8982421916462</c:v>
                  </c:pt>
                  <c:pt idx="3">
                    <c:v>1213.6355064591639</c:v>
                  </c:pt>
                  <c:pt idx="4">
                    <c:v>1606.6626033283114</c:v>
                  </c:pt>
                  <c:pt idx="5">
                    <c:v>1454.3315232420557</c:v>
                  </c:pt>
                  <c:pt idx="6">
                    <c:v>2121.8466881228474</c:v>
                  </c:pt>
                  <c:pt idx="7">
                    <c:v>2671.3778302346236</c:v>
                  </c:pt>
                  <c:pt idx="8">
                    <c:v>1639.0666101566378</c:v>
                  </c:pt>
                  <c:pt idx="9">
                    <c:v>2452.3546370975114</c:v>
                  </c:pt>
                  <c:pt idx="10">
                    <c:v>3748.1825928989288</c:v>
                  </c:pt>
                  <c:pt idx="11">
                    <c:v>2020.6923436491329</c:v>
                  </c:pt>
                  <c:pt idx="12">
                    <c:v>2194.4641793109067</c:v>
                  </c:pt>
                  <c:pt idx="13">
                    <c:v>2221.9575927722508</c:v>
                  </c:pt>
                  <c:pt idx="14">
                    <c:v>2446.4587149617737</c:v>
                  </c:pt>
                  <c:pt idx="15">
                    <c:v>2470.0687746582266</c:v>
                  </c:pt>
                  <c:pt idx="16">
                    <c:v>2813.3905380205078</c:v>
                  </c:pt>
                  <c:pt idx="17">
                    <c:v>6141.3234314931215</c:v>
                  </c:pt>
                  <c:pt idx="18">
                    <c:v>4272.5247472172869</c:v>
                  </c:pt>
                  <c:pt idx="19">
                    <c:v>4039.1105964834383</c:v>
                  </c:pt>
                  <c:pt idx="20">
                    <c:v>4949.7884385982243</c:v>
                  </c:pt>
                  <c:pt idx="21">
                    <c:v>6056.1605761441242</c:v>
                  </c:pt>
                  <c:pt idx="22">
                    <c:v>2129.4186083959803</c:v>
                  </c:pt>
                  <c:pt idx="23">
                    <c:v>1302.9001329986565</c:v>
                  </c:pt>
                </c:numCache>
              </c:numRef>
            </c:plus>
            <c:minus>
              <c:numRef>
                <c:f>'BRF harvest'!$Y$353:$Y$376</c:f>
                <c:numCache>
                  <c:formatCode>General</c:formatCode>
                  <c:ptCount val="24"/>
                  <c:pt idx="0">
                    <c:v>671.81709908827645</c:v>
                  </c:pt>
                  <c:pt idx="1">
                    <c:v>973.30296754682968</c:v>
                  </c:pt>
                  <c:pt idx="2">
                    <c:v>1456.8982421916462</c:v>
                  </c:pt>
                  <c:pt idx="3">
                    <c:v>1213.6355064591639</c:v>
                  </c:pt>
                  <c:pt idx="4">
                    <c:v>1606.6626033283114</c:v>
                  </c:pt>
                  <c:pt idx="5">
                    <c:v>1454.3315232420557</c:v>
                  </c:pt>
                  <c:pt idx="6">
                    <c:v>2121.8466881228474</c:v>
                  </c:pt>
                  <c:pt idx="7">
                    <c:v>2671.3778302346236</c:v>
                  </c:pt>
                  <c:pt idx="8">
                    <c:v>1639.0666101566378</c:v>
                  </c:pt>
                  <c:pt idx="9">
                    <c:v>2452.3546370975114</c:v>
                  </c:pt>
                  <c:pt idx="10">
                    <c:v>3748.1825928989288</c:v>
                  </c:pt>
                  <c:pt idx="11">
                    <c:v>2020.6923436491329</c:v>
                  </c:pt>
                  <c:pt idx="12">
                    <c:v>2194.4641793109067</c:v>
                  </c:pt>
                  <c:pt idx="13">
                    <c:v>2221.9575927722508</c:v>
                  </c:pt>
                  <c:pt idx="14">
                    <c:v>2446.4587149617737</c:v>
                  </c:pt>
                  <c:pt idx="15">
                    <c:v>2470.0687746582266</c:v>
                  </c:pt>
                  <c:pt idx="16">
                    <c:v>2813.3905380205078</c:v>
                  </c:pt>
                  <c:pt idx="17">
                    <c:v>6141.3234314931215</c:v>
                  </c:pt>
                  <c:pt idx="18">
                    <c:v>4272.5247472172869</c:v>
                  </c:pt>
                  <c:pt idx="19">
                    <c:v>4039.1105964834383</c:v>
                  </c:pt>
                  <c:pt idx="20">
                    <c:v>4949.7884385982243</c:v>
                  </c:pt>
                  <c:pt idx="21">
                    <c:v>6056.1605761441242</c:v>
                  </c:pt>
                  <c:pt idx="22">
                    <c:v>2129.4186083959803</c:v>
                  </c:pt>
                  <c:pt idx="23">
                    <c:v>1302.9001329986565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harvest'!$V$353:$V$376</c:f>
              <c:numCache>
                <c:formatCode>_(* #,##0_);_(* \(#,##0\);_(* "-"??_);_(@_)</c:formatCode>
                <c:ptCount val="24"/>
                <c:pt idx="0">
                  <c:v>2390.8323813353122</c:v>
                </c:pt>
                <c:pt idx="1">
                  <c:v>2923.2446881694618</c:v>
                </c:pt>
                <c:pt idx="2">
                  <c:v>4182.0128461283412</c:v>
                </c:pt>
                <c:pt idx="3">
                  <c:v>3570.2041663979758</c:v>
                </c:pt>
                <c:pt idx="4">
                  <c:v>5713.3965232358623</c:v>
                </c:pt>
                <c:pt idx="5">
                  <c:v>4822.9945145784895</c:v>
                </c:pt>
                <c:pt idx="6">
                  <c:v>7084.9063392254411</c:v>
                </c:pt>
                <c:pt idx="7">
                  <c:v>9123.2044032943159</c:v>
                </c:pt>
                <c:pt idx="8">
                  <c:v>7054.3156164025404</c:v>
                </c:pt>
                <c:pt idx="9">
                  <c:v>9451.4036474529166</c:v>
                </c:pt>
                <c:pt idx="10">
                  <c:v>16216.445896090258</c:v>
                </c:pt>
                <c:pt idx="11">
                  <c:v>8820.912730723081</c:v>
                </c:pt>
                <c:pt idx="12">
                  <c:v>10594.470819155009</c:v>
                </c:pt>
                <c:pt idx="13">
                  <c:v>11432.008772355892</c:v>
                </c:pt>
                <c:pt idx="14">
                  <c:v>14048.918638176565</c:v>
                </c:pt>
                <c:pt idx="15">
                  <c:v>15766.799257114304</c:v>
                </c:pt>
                <c:pt idx="16">
                  <c:v>16445.401669606108</c:v>
                </c:pt>
                <c:pt idx="17">
                  <c:v>22605.065662922541</c:v>
                </c:pt>
                <c:pt idx="18">
                  <c:v>19470.20343475249</c:v>
                </c:pt>
                <c:pt idx="19">
                  <c:v>21141.518353635885</c:v>
                </c:pt>
                <c:pt idx="20">
                  <c:v>31373.066871077182</c:v>
                </c:pt>
                <c:pt idx="21">
                  <c:v>28436.467670498958</c:v>
                </c:pt>
                <c:pt idx="22">
                  <c:v>15013.58393140593</c:v>
                </c:pt>
                <c:pt idx="23">
                  <c:v>30072.205736176547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2-4F60-94CF-BCF7AB5F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harvest'!$Y$3:$Y$26</c:f>
                <c:numCache>
                  <c:formatCode>General</c:formatCode>
                  <c:ptCount val="24"/>
                  <c:pt idx="0">
                    <c:v>106.09624004263033</c:v>
                  </c:pt>
                  <c:pt idx="1">
                    <c:v>110.20425551078743</c:v>
                  </c:pt>
                  <c:pt idx="2">
                    <c:v>318.55709331533529</c:v>
                  </c:pt>
                  <c:pt idx="3">
                    <c:v>132.79203225064177</c:v>
                  </c:pt>
                  <c:pt idx="4">
                    <c:v>67.209861296906965</c:v>
                  </c:pt>
                  <c:pt idx="5">
                    <c:v>127.95614237529271</c:v>
                  </c:pt>
                  <c:pt idx="6">
                    <c:v>110.50671507861874</c:v>
                  </c:pt>
                  <c:pt idx="7">
                    <c:v>341.43767843853988</c:v>
                  </c:pt>
                  <c:pt idx="8">
                    <c:v>224.34080982346103</c:v>
                  </c:pt>
                  <c:pt idx="9">
                    <c:v>699.95343205175891</c:v>
                  </c:pt>
                  <c:pt idx="10">
                    <c:v>568.11775686124065</c:v>
                  </c:pt>
                  <c:pt idx="11">
                    <c:v>710.97031411100136</c:v>
                  </c:pt>
                  <c:pt idx="12">
                    <c:v>706.97631766506618</c:v>
                  </c:pt>
                  <c:pt idx="13">
                    <c:v>651.35561150798571</c:v>
                  </c:pt>
                  <c:pt idx="14">
                    <c:v>769.70615677863941</c:v>
                  </c:pt>
                  <c:pt idx="15">
                    <c:v>476.58251864650651</c:v>
                  </c:pt>
                  <c:pt idx="16">
                    <c:v>800.71609250254107</c:v>
                  </c:pt>
                  <c:pt idx="17">
                    <c:v>1516.8233337448187</c:v>
                  </c:pt>
                  <c:pt idx="18">
                    <c:v>481.23047712914916</c:v>
                  </c:pt>
                  <c:pt idx="19">
                    <c:v>492.48554433735518</c:v>
                  </c:pt>
                  <c:pt idx="20">
                    <c:v>1103.2898249090269</c:v>
                  </c:pt>
                  <c:pt idx="21">
                    <c:v>2936.3772183875276</c:v>
                  </c:pt>
                  <c:pt idx="22">
                    <c:v>1183.6181750177702</c:v>
                  </c:pt>
                  <c:pt idx="23">
                    <c:v>1196.4432798418679</c:v>
                  </c:pt>
                </c:numCache>
              </c:numRef>
            </c:plus>
            <c:minus>
              <c:numRef>
                <c:f>'BRF harvest'!$Y$3:$Y$26</c:f>
                <c:numCache>
                  <c:formatCode>General</c:formatCode>
                  <c:ptCount val="24"/>
                  <c:pt idx="0">
                    <c:v>106.09624004263033</c:v>
                  </c:pt>
                  <c:pt idx="1">
                    <c:v>110.20425551078743</c:v>
                  </c:pt>
                  <c:pt idx="2">
                    <c:v>318.55709331533529</c:v>
                  </c:pt>
                  <c:pt idx="3">
                    <c:v>132.79203225064177</c:v>
                  </c:pt>
                  <c:pt idx="4">
                    <c:v>67.209861296906965</c:v>
                  </c:pt>
                  <c:pt idx="5">
                    <c:v>127.95614237529271</c:v>
                  </c:pt>
                  <c:pt idx="6">
                    <c:v>110.50671507861874</c:v>
                  </c:pt>
                  <c:pt idx="7">
                    <c:v>341.43767843853988</c:v>
                  </c:pt>
                  <c:pt idx="8">
                    <c:v>224.34080982346103</c:v>
                  </c:pt>
                  <c:pt idx="9">
                    <c:v>699.95343205175891</c:v>
                  </c:pt>
                  <c:pt idx="10">
                    <c:v>568.11775686124065</c:v>
                  </c:pt>
                  <c:pt idx="11">
                    <c:v>710.97031411100136</c:v>
                  </c:pt>
                  <c:pt idx="12">
                    <c:v>706.97631766506618</c:v>
                  </c:pt>
                  <c:pt idx="13">
                    <c:v>651.35561150798571</c:v>
                  </c:pt>
                  <c:pt idx="14">
                    <c:v>769.70615677863941</c:v>
                  </c:pt>
                  <c:pt idx="15">
                    <c:v>476.58251864650651</c:v>
                  </c:pt>
                  <c:pt idx="16">
                    <c:v>800.71609250254107</c:v>
                  </c:pt>
                  <c:pt idx="17">
                    <c:v>1516.8233337448187</c:v>
                  </c:pt>
                  <c:pt idx="18">
                    <c:v>481.23047712914916</c:v>
                  </c:pt>
                  <c:pt idx="19">
                    <c:v>492.48554433735518</c:v>
                  </c:pt>
                  <c:pt idx="20">
                    <c:v>1103.2898249090269</c:v>
                  </c:pt>
                  <c:pt idx="21">
                    <c:v>2936.3772183875276</c:v>
                  </c:pt>
                  <c:pt idx="22">
                    <c:v>1183.6181750177702</c:v>
                  </c:pt>
                  <c:pt idx="23">
                    <c:v>1196.4432798418679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harvest'!$V$3:$V$26</c:f>
              <c:numCache>
                <c:formatCode>_(* #,##0_);_(* \(#,##0\);_(* "-"??_);_(@_)</c:formatCode>
                <c:ptCount val="24"/>
                <c:pt idx="0">
                  <c:v>359.1413642850506</c:v>
                </c:pt>
                <c:pt idx="1">
                  <c:v>465.55923337779177</c:v>
                </c:pt>
                <c:pt idx="2">
                  <c:v>1402.4684024516273</c:v>
                </c:pt>
                <c:pt idx="3">
                  <c:v>573.26885828848845</c:v>
                </c:pt>
                <c:pt idx="4">
                  <c:v>312.5349823096368</c:v>
                </c:pt>
                <c:pt idx="5">
                  <c:v>528.9454202183241</c:v>
                </c:pt>
                <c:pt idx="6">
                  <c:v>361.72103285180168</c:v>
                </c:pt>
                <c:pt idx="7">
                  <c:v>1410.2992683885925</c:v>
                </c:pt>
                <c:pt idx="8">
                  <c:v>864.82725119314125</c:v>
                </c:pt>
                <c:pt idx="9">
                  <c:v>1961.5839813375032</c:v>
                </c:pt>
                <c:pt idx="10">
                  <c:v>2215.6726544599155</c:v>
                </c:pt>
                <c:pt idx="11">
                  <c:v>2933.7154069116409</c:v>
                </c:pt>
                <c:pt idx="12">
                  <c:v>1674.0195892837091</c:v>
                </c:pt>
                <c:pt idx="13">
                  <c:v>2824.379965044564</c:v>
                </c:pt>
                <c:pt idx="14">
                  <c:v>2686.2781107934079</c:v>
                </c:pt>
                <c:pt idx="15">
                  <c:v>1576.1179956627866</c:v>
                </c:pt>
                <c:pt idx="16">
                  <c:v>2804.100842514702</c:v>
                </c:pt>
                <c:pt idx="17">
                  <c:v>3569.4906353961287</c:v>
                </c:pt>
                <c:pt idx="18">
                  <c:v>2858.1331790138988</c:v>
                </c:pt>
                <c:pt idx="19">
                  <c:v>3011.9498269146825</c:v>
                </c:pt>
                <c:pt idx="20">
                  <c:v>3958.1363902099833</c:v>
                </c:pt>
                <c:pt idx="21">
                  <c:v>8059.9741420972177</c:v>
                </c:pt>
                <c:pt idx="22">
                  <c:v>4984.8258412868308</c:v>
                </c:pt>
                <c:pt idx="23">
                  <c:v>2748.7521419600089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4-48F1-9840-42AB9BDDF56D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harvest'!$Y$28:$Y$51</c:f>
                <c:numCache>
                  <c:formatCode>General</c:formatCode>
                  <c:ptCount val="24"/>
                  <c:pt idx="0">
                    <c:v>43.704916199060271</c:v>
                  </c:pt>
                  <c:pt idx="1">
                    <c:v>58.014334154542397</c:v>
                  </c:pt>
                  <c:pt idx="2">
                    <c:v>100.79923028219473</c:v>
                  </c:pt>
                  <c:pt idx="3">
                    <c:v>341.70335496897604</c:v>
                  </c:pt>
                  <c:pt idx="4">
                    <c:v>198.31381820539568</c:v>
                  </c:pt>
                  <c:pt idx="5">
                    <c:v>289.01125408506488</c:v>
                  </c:pt>
                  <c:pt idx="6">
                    <c:v>223.70575891790224</c:v>
                  </c:pt>
                  <c:pt idx="7">
                    <c:v>363.59703303798005</c:v>
                  </c:pt>
                  <c:pt idx="8">
                    <c:v>207.01523548612687</c:v>
                  </c:pt>
                  <c:pt idx="9">
                    <c:v>528.08192023223285</c:v>
                  </c:pt>
                  <c:pt idx="10">
                    <c:v>294.10317263537928</c:v>
                  </c:pt>
                  <c:pt idx="11">
                    <c:v>392.72920924801042</c:v>
                  </c:pt>
                  <c:pt idx="12">
                    <c:v>339.56630959211429</c:v>
                  </c:pt>
                  <c:pt idx="13">
                    <c:v>326.72223276323251</c:v>
                  </c:pt>
                  <c:pt idx="14">
                    <c:v>944.97758493667561</c:v>
                  </c:pt>
                  <c:pt idx="15">
                    <c:v>354.0876000717775</c:v>
                  </c:pt>
                  <c:pt idx="16">
                    <c:v>759.4057356331582</c:v>
                  </c:pt>
                  <c:pt idx="17">
                    <c:v>1182.9453200935516</c:v>
                  </c:pt>
                  <c:pt idx="18">
                    <c:v>297.93283013790887</c:v>
                  </c:pt>
                  <c:pt idx="19">
                    <c:v>828.66044650672609</c:v>
                  </c:pt>
                  <c:pt idx="20">
                    <c:v>735.52686566109173</c:v>
                  </c:pt>
                  <c:pt idx="21">
                    <c:v>3009.3657506873769</c:v>
                  </c:pt>
                  <c:pt idx="22">
                    <c:v>644.45289127501724</c:v>
                  </c:pt>
                  <c:pt idx="23">
                    <c:v>1049.1887416214888</c:v>
                  </c:pt>
                </c:numCache>
              </c:numRef>
            </c:plus>
            <c:minus>
              <c:numRef>
                <c:f>'BRF harvest'!$Y$28:$Y$51</c:f>
                <c:numCache>
                  <c:formatCode>General</c:formatCode>
                  <c:ptCount val="24"/>
                  <c:pt idx="0">
                    <c:v>43.704916199060271</c:v>
                  </c:pt>
                  <c:pt idx="1">
                    <c:v>58.014334154542397</c:v>
                  </c:pt>
                  <c:pt idx="2">
                    <c:v>100.79923028219473</c:v>
                  </c:pt>
                  <c:pt idx="3">
                    <c:v>341.70335496897604</c:v>
                  </c:pt>
                  <c:pt idx="4">
                    <c:v>198.31381820539568</c:v>
                  </c:pt>
                  <c:pt idx="5">
                    <c:v>289.01125408506488</c:v>
                  </c:pt>
                  <c:pt idx="6">
                    <c:v>223.70575891790224</c:v>
                  </c:pt>
                  <c:pt idx="7">
                    <c:v>363.59703303798005</c:v>
                  </c:pt>
                  <c:pt idx="8">
                    <c:v>207.01523548612687</c:v>
                  </c:pt>
                  <c:pt idx="9">
                    <c:v>528.08192023223285</c:v>
                  </c:pt>
                  <c:pt idx="10">
                    <c:v>294.10317263537928</c:v>
                  </c:pt>
                  <c:pt idx="11">
                    <c:v>392.72920924801042</c:v>
                  </c:pt>
                  <c:pt idx="12">
                    <c:v>339.56630959211429</c:v>
                  </c:pt>
                  <c:pt idx="13">
                    <c:v>326.72223276323251</c:v>
                  </c:pt>
                  <c:pt idx="14">
                    <c:v>944.97758493667561</c:v>
                  </c:pt>
                  <c:pt idx="15">
                    <c:v>354.0876000717775</c:v>
                  </c:pt>
                  <c:pt idx="16">
                    <c:v>759.4057356331582</c:v>
                  </c:pt>
                  <c:pt idx="17">
                    <c:v>1182.9453200935516</c:v>
                  </c:pt>
                  <c:pt idx="18">
                    <c:v>297.93283013790887</c:v>
                  </c:pt>
                  <c:pt idx="19">
                    <c:v>828.66044650672609</c:v>
                  </c:pt>
                  <c:pt idx="20">
                    <c:v>735.52686566109173</c:v>
                  </c:pt>
                  <c:pt idx="21">
                    <c:v>3009.3657506873769</c:v>
                  </c:pt>
                  <c:pt idx="22">
                    <c:v>644.45289127501724</c:v>
                  </c:pt>
                  <c:pt idx="23">
                    <c:v>1049.1887416214888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harvest'!$V$28:$V$51</c:f>
              <c:numCache>
                <c:formatCode>_(* #,##0_);_(* \(#,##0\);_(* "-"??_);_(@_)</c:formatCode>
                <c:ptCount val="24"/>
                <c:pt idx="0">
                  <c:v>129.65464430819756</c:v>
                </c:pt>
                <c:pt idx="1">
                  <c:v>242.27796776833577</c:v>
                </c:pt>
                <c:pt idx="2">
                  <c:v>363.60832627038195</c:v>
                </c:pt>
                <c:pt idx="3">
                  <c:v>1380.6769000600257</c:v>
                </c:pt>
                <c:pt idx="4">
                  <c:v>865.83143816183724</c:v>
                </c:pt>
                <c:pt idx="5">
                  <c:v>1056.5445732905998</c:v>
                </c:pt>
                <c:pt idx="6">
                  <c:v>737.50543260946256</c:v>
                </c:pt>
                <c:pt idx="7">
                  <c:v>1356.9211465405499</c:v>
                </c:pt>
                <c:pt idx="8">
                  <c:v>673.6989889709655</c:v>
                </c:pt>
                <c:pt idx="9">
                  <c:v>1235.5104762306612</c:v>
                </c:pt>
                <c:pt idx="10">
                  <c:v>983.26253227554935</c:v>
                </c:pt>
                <c:pt idx="11">
                  <c:v>1414.6978625666927</c:v>
                </c:pt>
                <c:pt idx="12">
                  <c:v>697.68621552431614</c:v>
                </c:pt>
                <c:pt idx="13">
                  <c:v>1193.9086573069919</c:v>
                </c:pt>
                <c:pt idx="14">
                  <c:v>1836.4472785420294</c:v>
                </c:pt>
                <c:pt idx="15">
                  <c:v>1146.5471884139997</c:v>
                </c:pt>
                <c:pt idx="16">
                  <c:v>2059.4071840108741</c:v>
                </c:pt>
                <c:pt idx="17">
                  <c:v>1839.5665531727768</c:v>
                </c:pt>
                <c:pt idx="18">
                  <c:v>1687.6795897647514</c:v>
                </c:pt>
                <c:pt idx="19">
                  <c:v>2145.1285766160786</c:v>
                </c:pt>
                <c:pt idx="20">
                  <c:v>2508.3648669308409</c:v>
                </c:pt>
                <c:pt idx="21">
                  <c:v>8055.0274581551948</c:v>
                </c:pt>
                <c:pt idx="22">
                  <c:v>3119.9086592883014</c:v>
                </c:pt>
                <c:pt idx="23">
                  <c:v>2402.5867697780732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4-48F1-9840-42AB9BDDF56D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harvest'!$Y$53:$Y$76</c:f>
                <c:numCache>
                  <c:formatCode>General</c:formatCode>
                  <c:ptCount val="24"/>
                  <c:pt idx="0">
                    <c:v>8.1681889643452834</c:v>
                  </c:pt>
                  <c:pt idx="1">
                    <c:v>23.127556923936631</c:v>
                  </c:pt>
                  <c:pt idx="2">
                    <c:v>16.867470590483347</c:v>
                  </c:pt>
                  <c:pt idx="3">
                    <c:v>7.7730143875362296</c:v>
                  </c:pt>
                  <c:pt idx="4">
                    <c:v>22.895812960360118</c:v>
                  </c:pt>
                  <c:pt idx="5">
                    <c:v>38.314086673657584</c:v>
                  </c:pt>
                  <c:pt idx="6">
                    <c:v>56.803691620800898</c:v>
                  </c:pt>
                  <c:pt idx="7">
                    <c:v>83.275726846996889</c:v>
                  </c:pt>
                  <c:pt idx="8">
                    <c:v>86.635007443240582</c:v>
                  </c:pt>
                  <c:pt idx="9">
                    <c:v>371.42134550233993</c:v>
                  </c:pt>
                  <c:pt idx="10">
                    <c:v>294.28322798839025</c:v>
                  </c:pt>
                  <c:pt idx="11">
                    <c:v>159.24642962119913</c:v>
                  </c:pt>
                  <c:pt idx="12">
                    <c:v>174.30064503329862</c:v>
                  </c:pt>
                  <c:pt idx="13">
                    <c:v>171.15311951916058</c:v>
                  </c:pt>
                  <c:pt idx="14">
                    <c:v>497.53207255177881</c:v>
                  </c:pt>
                  <c:pt idx="15">
                    <c:v>201.30760214471943</c:v>
                  </c:pt>
                  <c:pt idx="16">
                    <c:v>213.66538263282311</c:v>
                  </c:pt>
                  <c:pt idx="17">
                    <c:v>362.05121170656128</c:v>
                  </c:pt>
                  <c:pt idx="18">
                    <c:v>122.72984782089209</c:v>
                  </c:pt>
                  <c:pt idx="19">
                    <c:v>189.8655895752029</c:v>
                  </c:pt>
                  <c:pt idx="20">
                    <c:v>115.56206392187735</c:v>
                  </c:pt>
                  <c:pt idx="21">
                    <c:v>277.66960500892606</c:v>
                  </c:pt>
                  <c:pt idx="22">
                    <c:v>48.330910214743469</c:v>
                  </c:pt>
                  <c:pt idx="23">
                    <c:v>234.99651355105485</c:v>
                  </c:pt>
                </c:numCache>
              </c:numRef>
            </c:plus>
            <c:minus>
              <c:numRef>
                <c:f>'BRF harvest'!$Y$53:$Y$76</c:f>
                <c:numCache>
                  <c:formatCode>General</c:formatCode>
                  <c:ptCount val="24"/>
                  <c:pt idx="0">
                    <c:v>8.1681889643452834</c:v>
                  </c:pt>
                  <c:pt idx="1">
                    <c:v>23.127556923936631</c:v>
                  </c:pt>
                  <c:pt idx="2">
                    <c:v>16.867470590483347</c:v>
                  </c:pt>
                  <c:pt idx="3">
                    <c:v>7.7730143875362296</c:v>
                  </c:pt>
                  <c:pt idx="4">
                    <c:v>22.895812960360118</c:v>
                  </c:pt>
                  <c:pt idx="5">
                    <c:v>38.314086673657584</c:v>
                  </c:pt>
                  <c:pt idx="6">
                    <c:v>56.803691620800898</c:v>
                  </c:pt>
                  <c:pt idx="7">
                    <c:v>83.275726846996889</c:v>
                  </c:pt>
                  <c:pt idx="8">
                    <c:v>86.635007443240582</c:v>
                  </c:pt>
                  <c:pt idx="9">
                    <c:v>371.42134550233993</c:v>
                  </c:pt>
                  <c:pt idx="10">
                    <c:v>294.28322798839025</c:v>
                  </c:pt>
                  <c:pt idx="11">
                    <c:v>159.24642962119913</c:v>
                  </c:pt>
                  <c:pt idx="12">
                    <c:v>174.30064503329862</c:v>
                  </c:pt>
                  <c:pt idx="13">
                    <c:v>171.15311951916058</c:v>
                  </c:pt>
                  <c:pt idx="14">
                    <c:v>497.53207255177881</c:v>
                  </c:pt>
                  <c:pt idx="15">
                    <c:v>201.30760214471943</c:v>
                  </c:pt>
                  <c:pt idx="16">
                    <c:v>213.66538263282311</c:v>
                  </c:pt>
                  <c:pt idx="17">
                    <c:v>362.05121170656128</c:v>
                  </c:pt>
                  <c:pt idx="18">
                    <c:v>122.72984782089209</c:v>
                  </c:pt>
                  <c:pt idx="19">
                    <c:v>189.8655895752029</c:v>
                  </c:pt>
                  <c:pt idx="20">
                    <c:v>115.56206392187735</c:v>
                  </c:pt>
                  <c:pt idx="21">
                    <c:v>277.66960500892606</c:v>
                  </c:pt>
                  <c:pt idx="22">
                    <c:v>48.330910214743469</c:v>
                  </c:pt>
                  <c:pt idx="23">
                    <c:v>234.99651355105485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harvest'!$V$53:$V$76</c:f>
              <c:numCache>
                <c:formatCode>_(* #,##0_);_(* \(#,##0\);_(* "-"??_);_(@_)</c:formatCode>
                <c:ptCount val="24"/>
                <c:pt idx="0">
                  <c:v>27.332020177697281</c:v>
                </c:pt>
                <c:pt idx="1">
                  <c:v>87.196972396234457</c:v>
                </c:pt>
                <c:pt idx="2">
                  <c:v>18.892003485141906</c:v>
                </c:pt>
                <c:pt idx="3">
                  <c:v>14.035872588852769</c:v>
                </c:pt>
                <c:pt idx="4">
                  <c:v>100.59534150616244</c:v>
                </c:pt>
                <c:pt idx="5">
                  <c:v>128.95174777365597</c:v>
                </c:pt>
                <c:pt idx="6">
                  <c:v>195.57570555324924</c:v>
                </c:pt>
                <c:pt idx="7">
                  <c:v>189.81639105045576</c:v>
                </c:pt>
                <c:pt idx="8">
                  <c:v>250.92729066128953</c:v>
                </c:pt>
                <c:pt idx="9">
                  <c:v>1214.2443592476957</c:v>
                </c:pt>
                <c:pt idx="10">
                  <c:v>1211.7450630686949</c:v>
                </c:pt>
                <c:pt idx="11">
                  <c:v>853.801636788471</c:v>
                </c:pt>
                <c:pt idx="12">
                  <c:v>518.26421078013175</c:v>
                </c:pt>
                <c:pt idx="13">
                  <c:v>636.51641897520381</c:v>
                </c:pt>
                <c:pt idx="14">
                  <c:v>975.58371010500002</c:v>
                </c:pt>
                <c:pt idx="15">
                  <c:v>958.2169747559999</c:v>
                </c:pt>
                <c:pt idx="16">
                  <c:v>695.90076735227876</c:v>
                </c:pt>
                <c:pt idx="17">
                  <c:v>721.58731597694577</c:v>
                </c:pt>
                <c:pt idx="18">
                  <c:v>723.22298554881536</c:v>
                </c:pt>
                <c:pt idx="19">
                  <c:v>723.56015152764917</c:v>
                </c:pt>
                <c:pt idx="20">
                  <c:v>646.16417038081829</c:v>
                </c:pt>
                <c:pt idx="21">
                  <c:v>735.4573980461912</c:v>
                </c:pt>
                <c:pt idx="22">
                  <c:v>281.54757508256534</c:v>
                </c:pt>
                <c:pt idx="23">
                  <c:v>1572.856943436479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4-48F1-9840-42AB9BDDF56D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harvest'!$Y$103:$Y$126</c:f>
                <c:numCache>
                  <c:formatCode>General</c:formatCode>
                  <c:ptCount val="24"/>
                  <c:pt idx="0">
                    <c:v>31.55090213751582</c:v>
                  </c:pt>
                  <c:pt idx="1">
                    <c:v>22.533571082905418</c:v>
                  </c:pt>
                  <c:pt idx="2">
                    <c:v>82.881856600703614</c:v>
                  </c:pt>
                  <c:pt idx="3">
                    <c:v>61.600089837384211</c:v>
                  </c:pt>
                  <c:pt idx="4">
                    <c:v>52.907782581725314</c:v>
                  </c:pt>
                  <c:pt idx="5">
                    <c:v>198.74512222031717</c:v>
                  </c:pt>
                  <c:pt idx="6">
                    <c:v>149.24369523346186</c:v>
                  </c:pt>
                  <c:pt idx="7">
                    <c:v>261.69474268083081</c:v>
                  </c:pt>
                  <c:pt idx="8">
                    <c:v>313.90715027478888</c:v>
                  </c:pt>
                  <c:pt idx="9">
                    <c:v>799.50266801664782</c:v>
                  </c:pt>
                  <c:pt idx="10">
                    <c:v>430.48977693016207</c:v>
                  </c:pt>
                  <c:pt idx="11">
                    <c:v>299.07082290123122</c:v>
                  </c:pt>
                  <c:pt idx="12">
                    <c:v>476.88939015158616</c:v>
                  </c:pt>
                  <c:pt idx="13">
                    <c:v>198.12934077320114</c:v>
                  </c:pt>
                  <c:pt idx="14">
                    <c:v>402.20858638403615</c:v>
                  </c:pt>
                  <c:pt idx="15">
                    <c:v>454.86015612622208</c:v>
                  </c:pt>
                  <c:pt idx="16">
                    <c:v>418.76767835062282</c:v>
                  </c:pt>
                  <c:pt idx="17">
                    <c:v>902.63735150948014</c:v>
                  </c:pt>
                  <c:pt idx="18">
                    <c:v>552.73728933448103</c:v>
                  </c:pt>
                  <c:pt idx="19">
                    <c:v>1123.5189652906204</c:v>
                  </c:pt>
                  <c:pt idx="20">
                    <c:v>475.42467093537158</c:v>
                  </c:pt>
                  <c:pt idx="21">
                    <c:v>2224.5464499292925</c:v>
                  </c:pt>
                  <c:pt idx="22">
                    <c:v>250.61044678174537</c:v>
                  </c:pt>
                  <c:pt idx="23">
                    <c:v>428.23127327013793</c:v>
                  </c:pt>
                </c:numCache>
              </c:numRef>
            </c:plus>
            <c:minus>
              <c:numRef>
                <c:f>'BRF harvest'!$Y$103:$Y$126</c:f>
                <c:numCache>
                  <c:formatCode>General</c:formatCode>
                  <c:ptCount val="24"/>
                  <c:pt idx="0">
                    <c:v>31.55090213751582</c:v>
                  </c:pt>
                  <c:pt idx="1">
                    <c:v>22.533571082905418</c:v>
                  </c:pt>
                  <c:pt idx="2">
                    <c:v>82.881856600703614</c:v>
                  </c:pt>
                  <c:pt idx="3">
                    <c:v>61.600089837384211</c:v>
                  </c:pt>
                  <c:pt idx="4">
                    <c:v>52.907782581725314</c:v>
                  </c:pt>
                  <c:pt idx="5">
                    <c:v>198.74512222031717</c:v>
                  </c:pt>
                  <c:pt idx="6">
                    <c:v>149.24369523346186</c:v>
                  </c:pt>
                  <c:pt idx="7">
                    <c:v>261.69474268083081</c:v>
                  </c:pt>
                  <c:pt idx="8">
                    <c:v>313.90715027478888</c:v>
                  </c:pt>
                  <c:pt idx="9">
                    <c:v>799.50266801664782</c:v>
                  </c:pt>
                  <c:pt idx="10">
                    <c:v>430.48977693016207</c:v>
                  </c:pt>
                  <c:pt idx="11">
                    <c:v>299.07082290123122</c:v>
                  </c:pt>
                  <c:pt idx="12">
                    <c:v>476.88939015158616</c:v>
                  </c:pt>
                  <c:pt idx="13">
                    <c:v>198.12934077320114</c:v>
                  </c:pt>
                  <c:pt idx="14">
                    <c:v>402.20858638403615</c:v>
                  </c:pt>
                  <c:pt idx="15">
                    <c:v>454.86015612622208</c:v>
                  </c:pt>
                  <c:pt idx="16">
                    <c:v>418.76767835062282</c:v>
                  </c:pt>
                  <c:pt idx="17">
                    <c:v>902.63735150948014</c:v>
                  </c:pt>
                  <c:pt idx="18">
                    <c:v>552.73728933448103</c:v>
                  </c:pt>
                  <c:pt idx="19">
                    <c:v>1123.5189652906204</c:v>
                  </c:pt>
                  <c:pt idx="20">
                    <c:v>475.42467093537158</c:v>
                  </c:pt>
                  <c:pt idx="21">
                    <c:v>2224.5464499292925</c:v>
                  </c:pt>
                  <c:pt idx="22">
                    <c:v>250.61044678174537</c:v>
                  </c:pt>
                  <c:pt idx="23">
                    <c:v>428.23127327013793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harvest'!$V$103:$V$126</c:f>
              <c:numCache>
                <c:formatCode>_(* #,##0_);_(* \(#,##0\);_(* "-"??_);_(@_)</c:formatCode>
                <c:ptCount val="24"/>
                <c:pt idx="0">
                  <c:v>89.096673170685818</c:v>
                </c:pt>
                <c:pt idx="1">
                  <c:v>106.12871191893431</c:v>
                </c:pt>
                <c:pt idx="2">
                  <c:v>401.45477078136321</c:v>
                </c:pt>
                <c:pt idx="3">
                  <c:v>251.38188209076492</c:v>
                </c:pt>
                <c:pt idx="4">
                  <c:v>280.24767745357633</c:v>
                </c:pt>
                <c:pt idx="5">
                  <c:v>1010.6323546288824</c:v>
                </c:pt>
                <c:pt idx="6">
                  <c:v>711.72232213144957</c:v>
                </c:pt>
                <c:pt idx="7">
                  <c:v>1152.806035567588</c:v>
                </c:pt>
                <c:pt idx="8">
                  <c:v>1444.6238351492921</c:v>
                </c:pt>
                <c:pt idx="9">
                  <c:v>3548.2712909685397</c:v>
                </c:pt>
                <c:pt idx="10">
                  <c:v>2197.93303989177</c:v>
                </c:pt>
                <c:pt idx="11">
                  <c:v>2423.9460244987995</c:v>
                </c:pt>
                <c:pt idx="12">
                  <c:v>1830.6447757075803</c:v>
                </c:pt>
                <c:pt idx="13">
                  <c:v>1783.061243623943</c:v>
                </c:pt>
                <c:pt idx="14">
                  <c:v>3230.7519712596668</c:v>
                </c:pt>
                <c:pt idx="15">
                  <c:v>2196.1816172655258</c:v>
                </c:pt>
                <c:pt idx="16">
                  <c:v>3384.8400360634764</c:v>
                </c:pt>
                <c:pt idx="17">
                  <c:v>3164.9577271984163</c:v>
                </c:pt>
                <c:pt idx="18">
                  <c:v>3414.7740069257229</c:v>
                </c:pt>
                <c:pt idx="19">
                  <c:v>4542.8411858699965</c:v>
                </c:pt>
                <c:pt idx="20">
                  <c:v>3706.6052675224605</c:v>
                </c:pt>
                <c:pt idx="21">
                  <c:v>6681.8842145632589</c:v>
                </c:pt>
                <c:pt idx="22">
                  <c:v>1559.0395550802314</c:v>
                </c:pt>
                <c:pt idx="23">
                  <c:v>2946.5335133529184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4-48F1-9840-42AB9BDDF56D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harvest'!$Y$153:$Y$176</c:f>
                <c:numCache>
                  <c:formatCode>General</c:formatCode>
                  <c:ptCount val="24"/>
                  <c:pt idx="0">
                    <c:v>601.67997174255686</c:v>
                  </c:pt>
                  <c:pt idx="1">
                    <c:v>647.81042750555048</c:v>
                  </c:pt>
                  <c:pt idx="2">
                    <c:v>762.14203653807169</c:v>
                  </c:pt>
                  <c:pt idx="3">
                    <c:v>828.45707944475646</c:v>
                  </c:pt>
                  <c:pt idx="4">
                    <c:v>690.11157182070826</c:v>
                  </c:pt>
                  <c:pt idx="5">
                    <c:v>981.84712902941578</c:v>
                  </c:pt>
                  <c:pt idx="6">
                    <c:v>1251.898404821646</c:v>
                  </c:pt>
                  <c:pt idx="7">
                    <c:v>1837.4007788015301</c:v>
                  </c:pt>
                  <c:pt idx="8">
                    <c:v>1436.9218900967301</c:v>
                  </c:pt>
                  <c:pt idx="9">
                    <c:v>2234.1446534881165</c:v>
                  </c:pt>
                  <c:pt idx="10">
                    <c:v>2158.4506450221602</c:v>
                  </c:pt>
                  <c:pt idx="11">
                    <c:v>1891.1293124955496</c:v>
                  </c:pt>
                  <c:pt idx="12">
                    <c:v>3120.1649601071072</c:v>
                  </c:pt>
                  <c:pt idx="13">
                    <c:v>2174.773130231546</c:v>
                  </c:pt>
                  <c:pt idx="14">
                    <c:v>2148.9632078213886</c:v>
                  </c:pt>
                  <c:pt idx="15">
                    <c:v>2954.4829738973344</c:v>
                  </c:pt>
                  <c:pt idx="16">
                    <c:v>2035.8579629052206</c:v>
                  </c:pt>
                  <c:pt idx="17">
                    <c:v>4701.241030033736</c:v>
                  </c:pt>
                  <c:pt idx="18">
                    <c:v>7823.3988915803702</c:v>
                  </c:pt>
                  <c:pt idx="19">
                    <c:v>1486.0272621310098</c:v>
                  </c:pt>
                  <c:pt idx="20">
                    <c:v>3714.0914142619476</c:v>
                  </c:pt>
                  <c:pt idx="21">
                    <c:v>3537.8444253413877</c:v>
                  </c:pt>
                  <c:pt idx="22">
                    <c:v>2379.9486630129604</c:v>
                  </c:pt>
                  <c:pt idx="23">
                    <c:v>2899.7368437023429</c:v>
                  </c:pt>
                </c:numCache>
              </c:numRef>
            </c:plus>
            <c:minus>
              <c:numRef>
                <c:f>'BRF harvest'!$Y$153:$Y$176</c:f>
                <c:numCache>
                  <c:formatCode>General</c:formatCode>
                  <c:ptCount val="24"/>
                  <c:pt idx="0">
                    <c:v>601.67997174255686</c:v>
                  </c:pt>
                  <c:pt idx="1">
                    <c:v>647.81042750555048</c:v>
                  </c:pt>
                  <c:pt idx="2">
                    <c:v>762.14203653807169</c:v>
                  </c:pt>
                  <c:pt idx="3">
                    <c:v>828.45707944475646</c:v>
                  </c:pt>
                  <c:pt idx="4">
                    <c:v>690.11157182070826</c:v>
                  </c:pt>
                  <c:pt idx="5">
                    <c:v>981.84712902941578</c:v>
                  </c:pt>
                  <c:pt idx="6">
                    <c:v>1251.898404821646</c:v>
                  </c:pt>
                  <c:pt idx="7">
                    <c:v>1837.4007788015301</c:v>
                  </c:pt>
                  <c:pt idx="8">
                    <c:v>1436.9218900967301</c:v>
                  </c:pt>
                  <c:pt idx="9">
                    <c:v>2234.1446534881165</c:v>
                  </c:pt>
                  <c:pt idx="10">
                    <c:v>2158.4506450221602</c:v>
                  </c:pt>
                  <c:pt idx="11">
                    <c:v>1891.1293124955496</c:v>
                  </c:pt>
                  <c:pt idx="12">
                    <c:v>3120.1649601071072</c:v>
                  </c:pt>
                  <c:pt idx="13">
                    <c:v>2174.773130231546</c:v>
                  </c:pt>
                  <c:pt idx="14">
                    <c:v>2148.9632078213886</c:v>
                  </c:pt>
                  <c:pt idx="15">
                    <c:v>2954.4829738973344</c:v>
                  </c:pt>
                  <c:pt idx="16">
                    <c:v>2035.8579629052206</c:v>
                  </c:pt>
                  <c:pt idx="17">
                    <c:v>4701.241030033736</c:v>
                  </c:pt>
                  <c:pt idx="18">
                    <c:v>7823.3988915803702</c:v>
                  </c:pt>
                  <c:pt idx="19">
                    <c:v>1486.0272621310098</c:v>
                  </c:pt>
                  <c:pt idx="20">
                    <c:v>3714.0914142619476</c:v>
                  </c:pt>
                  <c:pt idx="21">
                    <c:v>3537.8444253413877</c:v>
                  </c:pt>
                  <c:pt idx="22">
                    <c:v>2379.9486630129604</c:v>
                  </c:pt>
                  <c:pt idx="23">
                    <c:v>2899.7368437023429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harvest'!$V$153:$V$176</c:f>
              <c:numCache>
                <c:formatCode>_(* #,##0_);_(* \(#,##0\);_(* "-"??_);_(@_)</c:formatCode>
                <c:ptCount val="24"/>
                <c:pt idx="0">
                  <c:v>1751.2551217634721</c:v>
                </c:pt>
                <c:pt idx="1">
                  <c:v>2515.9609216317722</c:v>
                </c:pt>
                <c:pt idx="2">
                  <c:v>2925.1451980975949</c:v>
                </c:pt>
                <c:pt idx="3">
                  <c:v>3092.0257382708642</c:v>
                </c:pt>
                <c:pt idx="4">
                  <c:v>2871.7494444340323</c:v>
                </c:pt>
                <c:pt idx="5">
                  <c:v>3691.9091603167899</c:v>
                </c:pt>
                <c:pt idx="6">
                  <c:v>4377.7844435533307</c:v>
                </c:pt>
                <c:pt idx="7">
                  <c:v>7004.4440019072426</c:v>
                </c:pt>
                <c:pt idx="8">
                  <c:v>5342.857301024058</c:v>
                </c:pt>
                <c:pt idx="9">
                  <c:v>6422.504868608883</c:v>
                </c:pt>
                <c:pt idx="10">
                  <c:v>8218.9940485571151</c:v>
                </c:pt>
                <c:pt idx="11">
                  <c:v>7252.3259521909167</c:v>
                </c:pt>
                <c:pt idx="12">
                  <c:v>8333.6162949861937</c:v>
                </c:pt>
                <c:pt idx="13">
                  <c:v>10011.024497849619</c:v>
                </c:pt>
                <c:pt idx="14">
                  <c:v>8405.2176992501281</c:v>
                </c:pt>
                <c:pt idx="15">
                  <c:v>10803.122295048772</c:v>
                </c:pt>
                <c:pt idx="16">
                  <c:v>12651.288585790298</c:v>
                </c:pt>
                <c:pt idx="17">
                  <c:v>16131.688651385251</c:v>
                </c:pt>
                <c:pt idx="18">
                  <c:v>18815.657376733012</c:v>
                </c:pt>
                <c:pt idx="19">
                  <c:v>6714.9385112867531</c:v>
                </c:pt>
                <c:pt idx="20">
                  <c:v>12726.394471159685</c:v>
                </c:pt>
                <c:pt idx="21">
                  <c:v>15601.284379532004</c:v>
                </c:pt>
                <c:pt idx="22">
                  <c:v>7027.7422953413698</c:v>
                </c:pt>
                <c:pt idx="23">
                  <c:v>14272.336621144985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4-48F1-9840-42AB9BDD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harvest'!$Y$78:$Y$101</c:f>
                <c:numCache>
                  <c:formatCode>General</c:formatCode>
                  <c:ptCount val="24"/>
                  <c:pt idx="0">
                    <c:v>306.49559335212905</c:v>
                  </c:pt>
                  <c:pt idx="1">
                    <c:v>320.66974525594486</c:v>
                  </c:pt>
                  <c:pt idx="2">
                    <c:v>461.12247252964625</c:v>
                  </c:pt>
                  <c:pt idx="3">
                    <c:v>245.95931875627616</c:v>
                  </c:pt>
                  <c:pt idx="4">
                    <c:v>787.21722099851479</c:v>
                  </c:pt>
                  <c:pt idx="5">
                    <c:v>1310.786406121252</c:v>
                  </c:pt>
                  <c:pt idx="6">
                    <c:v>1610.125204643854</c:v>
                  </c:pt>
                  <c:pt idx="7">
                    <c:v>1018.9597815583799</c:v>
                  </c:pt>
                  <c:pt idx="8">
                    <c:v>825.71840179890398</c:v>
                  </c:pt>
                  <c:pt idx="9">
                    <c:v>862.13356992097977</c:v>
                  </c:pt>
                  <c:pt idx="10">
                    <c:v>729.80644879011948</c:v>
                  </c:pt>
                  <c:pt idx="11">
                    <c:v>569.53680298401605</c:v>
                  </c:pt>
                  <c:pt idx="12">
                    <c:v>511.37500625048318</c:v>
                  </c:pt>
                  <c:pt idx="13">
                    <c:v>505.97116646540269</c:v>
                  </c:pt>
                  <c:pt idx="14">
                    <c:v>592.96328682613921</c:v>
                  </c:pt>
                  <c:pt idx="15">
                    <c:v>897.66614714405864</c:v>
                  </c:pt>
                  <c:pt idx="16">
                    <c:v>762.53675916120233</c:v>
                  </c:pt>
                  <c:pt idx="17">
                    <c:v>1075.7386665934835</c:v>
                  </c:pt>
                  <c:pt idx="18">
                    <c:v>1252.3658269757334</c:v>
                  </c:pt>
                  <c:pt idx="19">
                    <c:v>1230.7276913976154</c:v>
                  </c:pt>
                  <c:pt idx="20">
                    <c:v>2239.6355947535267</c:v>
                  </c:pt>
                  <c:pt idx="21">
                    <c:v>4198.2428374679212</c:v>
                  </c:pt>
                  <c:pt idx="22">
                    <c:v>4063.4604838517844</c:v>
                  </c:pt>
                  <c:pt idx="23">
                    <c:v>2973.4729647903696</c:v>
                  </c:pt>
                </c:numCache>
              </c:numRef>
            </c:plus>
            <c:minus>
              <c:numRef>
                <c:f>'BRF harvest'!$Y$78:$Y$101</c:f>
                <c:numCache>
                  <c:formatCode>General</c:formatCode>
                  <c:ptCount val="24"/>
                  <c:pt idx="0">
                    <c:v>306.49559335212905</c:v>
                  </c:pt>
                  <c:pt idx="1">
                    <c:v>320.66974525594486</c:v>
                  </c:pt>
                  <c:pt idx="2">
                    <c:v>461.12247252964625</c:v>
                  </c:pt>
                  <c:pt idx="3">
                    <c:v>245.95931875627616</c:v>
                  </c:pt>
                  <c:pt idx="4">
                    <c:v>787.21722099851479</c:v>
                  </c:pt>
                  <c:pt idx="5">
                    <c:v>1310.786406121252</c:v>
                  </c:pt>
                  <c:pt idx="6">
                    <c:v>1610.125204643854</c:v>
                  </c:pt>
                  <c:pt idx="7">
                    <c:v>1018.9597815583799</c:v>
                  </c:pt>
                  <c:pt idx="8">
                    <c:v>825.71840179890398</c:v>
                  </c:pt>
                  <c:pt idx="9">
                    <c:v>862.13356992097977</c:v>
                  </c:pt>
                  <c:pt idx="10">
                    <c:v>729.80644879011948</c:v>
                  </c:pt>
                  <c:pt idx="11">
                    <c:v>569.53680298401605</c:v>
                  </c:pt>
                  <c:pt idx="12">
                    <c:v>511.37500625048318</c:v>
                  </c:pt>
                  <c:pt idx="13">
                    <c:v>505.97116646540269</c:v>
                  </c:pt>
                  <c:pt idx="14">
                    <c:v>592.96328682613921</c:v>
                  </c:pt>
                  <c:pt idx="15">
                    <c:v>897.66614714405864</c:v>
                  </c:pt>
                  <c:pt idx="16">
                    <c:v>762.53675916120233</c:v>
                  </c:pt>
                  <c:pt idx="17">
                    <c:v>1075.7386665934835</c:v>
                  </c:pt>
                  <c:pt idx="18">
                    <c:v>1252.3658269757334</c:v>
                  </c:pt>
                  <c:pt idx="19">
                    <c:v>1230.7276913976154</c:v>
                  </c:pt>
                  <c:pt idx="20">
                    <c:v>2239.6355947535267</c:v>
                  </c:pt>
                  <c:pt idx="21">
                    <c:v>4198.2428374679212</c:v>
                  </c:pt>
                  <c:pt idx="22">
                    <c:v>4063.4604838517844</c:v>
                  </c:pt>
                  <c:pt idx="23">
                    <c:v>2973.4729647903696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harvest'!$V$78:$V$101</c:f>
              <c:numCache>
                <c:formatCode>_(* #,##0_);_(* \(#,##0\);_(* "-"??_);_(@_)</c:formatCode>
                <c:ptCount val="24"/>
                <c:pt idx="0">
                  <c:v>578.53455141688505</c:v>
                </c:pt>
                <c:pt idx="1">
                  <c:v>751.39027159133684</c:v>
                </c:pt>
                <c:pt idx="2">
                  <c:v>901.41361690864096</c:v>
                </c:pt>
                <c:pt idx="3">
                  <c:v>575.45358630962255</c:v>
                </c:pt>
                <c:pt idx="4">
                  <c:v>1542.1107425049988</c:v>
                </c:pt>
                <c:pt idx="5">
                  <c:v>3814.0819528108018</c:v>
                </c:pt>
                <c:pt idx="6">
                  <c:v>3185.9049884220885</c:v>
                </c:pt>
                <c:pt idx="7">
                  <c:v>2621.0288637325798</c:v>
                </c:pt>
                <c:pt idx="8">
                  <c:v>1625.5843539926127</c:v>
                </c:pt>
                <c:pt idx="9">
                  <c:v>1700.3805316267767</c:v>
                </c:pt>
                <c:pt idx="10">
                  <c:v>1440.1733811779754</c:v>
                </c:pt>
                <c:pt idx="11">
                  <c:v>1792.3410035812167</c:v>
                </c:pt>
                <c:pt idx="12">
                  <c:v>1634.3614113184426</c:v>
                </c:pt>
                <c:pt idx="13">
                  <c:v>1656.0989067905161</c:v>
                </c:pt>
                <c:pt idx="14">
                  <c:v>1745.7990518365464</c:v>
                </c:pt>
                <c:pt idx="15">
                  <c:v>3000.9497101971401</c:v>
                </c:pt>
                <c:pt idx="16">
                  <c:v>3207.5013932866418</c:v>
                </c:pt>
                <c:pt idx="17">
                  <c:v>4097.416587712285</c:v>
                </c:pt>
                <c:pt idx="18">
                  <c:v>5660.4828550359216</c:v>
                </c:pt>
                <c:pt idx="19">
                  <c:v>6473.9448151017532</c:v>
                </c:pt>
                <c:pt idx="20">
                  <c:v>10351.34650619547</c:v>
                </c:pt>
                <c:pt idx="21">
                  <c:v>20951.001437090013</c:v>
                </c:pt>
                <c:pt idx="22">
                  <c:v>15439.775004553248</c:v>
                </c:pt>
                <c:pt idx="23">
                  <c:v>16783.41620100525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9-4ECE-A7DB-D0D0A02B9F7D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harvest'!$Y$128:$Y$151</c:f>
                <c:numCache>
                  <c:formatCode>General</c:formatCode>
                  <c:ptCount val="24"/>
                  <c:pt idx="0">
                    <c:v>981.30919414365769</c:v>
                  </c:pt>
                  <c:pt idx="1">
                    <c:v>1332.167818837187</c:v>
                  </c:pt>
                  <c:pt idx="2">
                    <c:v>2424.9096858663424</c:v>
                  </c:pt>
                  <c:pt idx="3">
                    <c:v>3747.5741717713126</c:v>
                  </c:pt>
                  <c:pt idx="4">
                    <c:v>3160.5315345876702</c:v>
                  </c:pt>
                  <c:pt idx="5">
                    <c:v>3228.4865929612338</c:v>
                  </c:pt>
                  <c:pt idx="6">
                    <c:v>3319.770050938555</c:v>
                  </c:pt>
                  <c:pt idx="7">
                    <c:v>3607.4752478540158</c:v>
                  </c:pt>
                  <c:pt idx="8">
                    <c:v>2875.7910268331252</c:v>
                  </c:pt>
                  <c:pt idx="9">
                    <c:v>3949.4346554056065</c:v>
                  </c:pt>
                  <c:pt idx="10">
                    <c:v>4239.6081355313299</c:v>
                  </c:pt>
                  <c:pt idx="11">
                    <c:v>3513.939561648408</c:v>
                  </c:pt>
                  <c:pt idx="12">
                    <c:v>4334.3432483850402</c:v>
                  </c:pt>
                  <c:pt idx="13">
                    <c:v>3063.8809869736283</c:v>
                  </c:pt>
                  <c:pt idx="14">
                    <c:v>2079.5754873497685</c:v>
                  </c:pt>
                  <c:pt idx="15">
                    <c:v>3178.6172532160631</c:v>
                  </c:pt>
                  <c:pt idx="16">
                    <c:v>3645.5545703931698</c:v>
                  </c:pt>
                  <c:pt idx="17">
                    <c:v>4184.6395204576838</c:v>
                  </c:pt>
                  <c:pt idx="18">
                    <c:v>3325.7693805826843</c:v>
                  </c:pt>
                  <c:pt idx="19">
                    <c:v>2961.9673713990446</c:v>
                  </c:pt>
                  <c:pt idx="20">
                    <c:v>3028.6846914329208</c:v>
                  </c:pt>
                  <c:pt idx="21">
                    <c:v>4399.5252019971904</c:v>
                  </c:pt>
                  <c:pt idx="22">
                    <c:v>2553.6735061912777</c:v>
                  </c:pt>
                  <c:pt idx="23">
                    <c:v>4893.7628556725203</c:v>
                  </c:pt>
                </c:numCache>
              </c:numRef>
            </c:plus>
            <c:minus>
              <c:numRef>
                <c:f>'BRF harvest'!$Y$128:$Y$151</c:f>
                <c:numCache>
                  <c:formatCode>General</c:formatCode>
                  <c:ptCount val="24"/>
                  <c:pt idx="0">
                    <c:v>981.30919414365769</c:v>
                  </c:pt>
                  <c:pt idx="1">
                    <c:v>1332.167818837187</c:v>
                  </c:pt>
                  <c:pt idx="2">
                    <c:v>2424.9096858663424</c:v>
                  </c:pt>
                  <c:pt idx="3">
                    <c:v>3747.5741717713126</c:v>
                  </c:pt>
                  <c:pt idx="4">
                    <c:v>3160.5315345876702</c:v>
                  </c:pt>
                  <c:pt idx="5">
                    <c:v>3228.4865929612338</c:v>
                  </c:pt>
                  <c:pt idx="6">
                    <c:v>3319.770050938555</c:v>
                  </c:pt>
                  <c:pt idx="7">
                    <c:v>3607.4752478540158</c:v>
                  </c:pt>
                  <c:pt idx="8">
                    <c:v>2875.7910268331252</c:v>
                  </c:pt>
                  <c:pt idx="9">
                    <c:v>3949.4346554056065</c:v>
                  </c:pt>
                  <c:pt idx="10">
                    <c:v>4239.6081355313299</c:v>
                  </c:pt>
                  <c:pt idx="11">
                    <c:v>3513.939561648408</c:v>
                  </c:pt>
                  <c:pt idx="12">
                    <c:v>4334.3432483850402</c:v>
                  </c:pt>
                  <c:pt idx="13">
                    <c:v>3063.8809869736283</c:v>
                  </c:pt>
                  <c:pt idx="14">
                    <c:v>2079.5754873497685</c:v>
                  </c:pt>
                  <c:pt idx="15">
                    <c:v>3178.6172532160631</c:v>
                  </c:pt>
                  <c:pt idx="16">
                    <c:v>3645.5545703931698</c:v>
                  </c:pt>
                  <c:pt idx="17">
                    <c:v>4184.6395204576838</c:v>
                  </c:pt>
                  <c:pt idx="18">
                    <c:v>3325.7693805826843</c:v>
                  </c:pt>
                  <c:pt idx="19">
                    <c:v>2961.9673713990446</c:v>
                  </c:pt>
                  <c:pt idx="20">
                    <c:v>3028.6846914329208</c:v>
                  </c:pt>
                  <c:pt idx="21">
                    <c:v>4399.5252019971904</c:v>
                  </c:pt>
                  <c:pt idx="22">
                    <c:v>2553.6735061912777</c:v>
                  </c:pt>
                  <c:pt idx="23">
                    <c:v>4893.7628556725203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harvest'!$V$128:$V$151</c:f>
              <c:numCache>
                <c:formatCode>_(* #,##0_);_(* \(#,##0\);_(* "-"??_);_(@_)</c:formatCode>
                <c:ptCount val="24"/>
                <c:pt idx="0">
                  <c:v>5466.6655263115563</c:v>
                </c:pt>
                <c:pt idx="1">
                  <c:v>10242.860908993258</c:v>
                </c:pt>
                <c:pt idx="2">
                  <c:v>14224.29644185862</c:v>
                </c:pt>
                <c:pt idx="3">
                  <c:v>24400.137754369596</c:v>
                </c:pt>
                <c:pt idx="4">
                  <c:v>19832.929397123138</c:v>
                </c:pt>
                <c:pt idx="5">
                  <c:v>18852.364102736181</c:v>
                </c:pt>
                <c:pt idx="6">
                  <c:v>21306.208786153475</c:v>
                </c:pt>
                <c:pt idx="7">
                  <c:v>24400.436306365173</c:v>
                </c:pt>
                <c:pt idx="8">
                  <c:v>20495.339205870332</c:v>
                </c:pt>
                <c:pt idx="9">
                  <c:v>27234.791138684028</c:v>
                </c:pt>
                <c:pt idx="10">
                  <c:v>28695.453459364187</c:v>
                </c:pt>
                <c:pt idx="11">
                  <c:v>22601.944564891164</c:v>
                </c:pt>
                <c:pt idx="12">
                  <c:v>26879.228808182947</c:v>
                </c:pt>
                <c:pt idx="13">
                  <c:v>30410.518880792781</c:v>
                </c:pt>
                <c:pt idx="14">
                  <c:v>27781.014813581882</c:v>
                </c:pt>
                <c:pt idx="15">
                  <c:v>34083.147174723796</c:v>
                </c:pt>
                <c:pt idx="16">
                  <c:v>41651.075389744306</c:v>
                </c:pt>
                <c:pt idx="17">
                  <c:v>50441.674194269071</c:v>
                </c:pt>
                <c:pt idx="18">
                  <c:v>55044.008117348872</c:v>
                </c:pt>
                <c:pt idx="19">
                  <c:v>36998.861344014433</c:v>
                </c:pt>
                <c:pt idx="20">
                  <c:v>45070.801381422149</c:v>
                </c:pt>
                <c:pt idx="21">
                  <c:v>58554.617143937008</c:v>
                </c:pt>
                <c:pt idx="22">
                  <c:v>38757.512733722113</c:v>
                </c:pt>
                <c:pt idx="23">
                  <c:v>81589.802407130323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9-4ECE-A7DB-D0D0A02B9F7D}"/>
            </c:ext>
          </c:extLst>
        </c:ser>
        <c:ser>
          <c:idx val="0"/>
          <c:order val="2"/>
          <c:tx>
            <c:v>PWSI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harvest'!$Y$178:$Y$201</c:f>
                <c:numCache>
                  <c:formatCode>General</c:formatCode>
                  <c:ptCount val="24"/>
                  <c:pt idx="0">
                    <c:v>4260.1320748202043</c:v>
                  </c:pt>
                  <c:pt idx="1">
                    <c:v>3219.7628143656038</c:v>
                  </c:pt>
                  <c:pt idx="2">
                    <c:v>5939.3447015701768</c:v>
                  </c:pt>
                  <c:pt idx="3">
                    <c:v>921.42898947936385</c:v>
                  </c:pt>
                  <c:pt idx="4">
                    <c:v>3190.3381887608116</c:v>
                  </c:pt>
                  <c:pt idx="5">
                    <c:v>10563.256027993262</c:v>
                  </c:pt>
                  <c:pt idx="6">
                    <c:v>7396.7446248880124</c:v>
                  </c:pt>
                  <c:pt idx="7">
                    <c:v>371.7322270437777</c:v>
                  </c:pt>
                  <c:pt idx="8">
                    <c:v>5821.6731583403271</c:v>
                  </c:pt>
                  <c:pt idx="9">
                    <c:v>12016.545005186277</c:v>
                  </c:pt>
                  <c:pt idx="10">
                    <c:v>8309.8053531256937</c:v>
                  </c:pt>
                  <c:pt idx="11">
                    <c:v>4312.9663264432902</c:v>
                  </c:pt>
                  <c:pt idx="12">
                    <c:v>10423.905496276899</c:v>
                  </c:pt>
                  <c:pt idx="13">
                    <c:v>11860.248525080826</c:v>
                  </c:pt>
                  <c:pt idx="14">
                    <c:v>3712.8464919142098</c:v>
                  </c:pt>
                  <c:pt idx="15">
                    <c:v>4108.3029573900749</c:v>
                  </c:pt>
                  <c:pt idx="16">
                    <c:v>2367.4260875473628</c:v>
                  </c:pt>
                  <c:pt idx="17">
                    <c:v>1962.299604847628</c:v>
                  </c:pt>
                  <c:pt idx="18">
                    <c:v>8884.6186627041861</c:v>
                  </c:pt>
                  <c:pt idx="19">
                    <c:v>6558.8585487822029</c:v>
                  </c:pt>
                  <c:pt idx="20">
                    <c:v>3098.8491686382695</c:v>
                  </c:pt>
                  <c:pt idx="21">
                    <c:v>3521.7146643023007</c:v>
                  </c:pt>
                  <c:pt idx="22">
                    <c:v>2456.9449055572554</c:v>
                  </c:pt>
                  <c:pt idx="23">
                    <c:v>4661.2741637168083</c:v>
                  </c:pt>
                </c:numCache>
              </c:numRef>
            </c:plus>
            <c:minus>
              <c:numRef>
                <c:f>'BRF harvest'!$Y$178:$Y$201</c:f>
                <c:numCache>
                  <c:formatCode>General</c:formatCode>
                  <c:ptCount val="24"/>
                  <c:pt idx="0">
                    <c:v>4260.1320748202043</c:v>
                  </c:pt>
                  <c:pt idx="1">
                    <c:v>3219.7628143656038</c:v>
                  </c:pt>
                  <c:pt idx="2">
                    <c:v>5939.3447015701768</c:v>
                  </c:pt>
                  <c:pt idx="3">
                    <c:v>921.42898947936385</c:v>
                  </c:pt>
                  <c:pt idx="4">
                    <c:v>3190.3381887608116</c:v>
                  </c:pt>
                  <c:pt idx="5">
                    <c:v>10563.256027993262</c:v>
                  </c:pt>
                  <c:pt idx="6">
                    <c:v>7396.7446248880124</c:v>
                  </c:pt>
                  <c:pt idx="7">
                    <c:v>371.7322270437777</c:v>
                  </c:pt>
                  <c:pt idx="8">
                    <c:v>5821.6731583403271</c:v>
                  </c:pt>
                  <c:pt idx="9">
                    <c:v>12016.545005186277</c:v>
                  </c:pt>
                  <c:pt idx="10">
                    <c:v>8309.8053531256937</c:v>
                  </c:pt>
                  <c:pt idx="11">
                    <c:v>4312.9663264432902</c:v>
                  </c:pt>
                  <c:pt idx="12">
                    <c:v>10423.905496276899</c:v>
                  </c:pt>
                  <c:pt idx="13">
                    <c:v>11860.248525080826</c:v>
                  </c:pt>
                  <c:pt idx="14">
                    <c:v>3712.8464919142098</c:v>
                  </c:pt>
                  <c:pt idx="15">
                    <c:v>4108.3029573900749</c:v>
                  </c:pt>
                  <c:pt idx="16">
                    <c:v>2367.4260875473628</c:v>
                  </c:pt>
                  <c:pt idx="17">
                    <c:v>1962.299604847628</c:v>
                  </c:pt>
                  <c:pt idx="18">
                    <c:v>8884.6186627041861</c:v>
                  </c:pt>
                  <c:pt idx="19">
                    <c:v>6558.8585487822029</c:v>
                  </c:pt>
                  <c:pt idx="20">
                    <c:v>3098.8491686382695</c:v>
                  </c:pt>
                  <c:pt idx="21">
                    <c:v>3521.7146643023007</c:v>
                  </c:pt>
                  <c:pt idx="22">
                    <c:v>2456.9449055572554</c:v>
                  </c:pt>
                  <c:pt idx="23">
                    <c:v>4661.2741637168083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harvest'!$V$178:$V$201</c:f>
              <c:numCache>
                <c:formatCode>_(* #,##0_);_(* \(#,##0\);_(* "-"??_);_(@_)</c:formatCode>
                <c:ptCount val="24"/>
                <c:pt idx="0">
                  <c:v>5782.7947797130391</c:v>
                </c:pt>
                <c:pt idx="1">
                  <c:v>7706.5327486835577</c:v>
                </c:pt>
                <c:pt idx="2">
                  <c:v>12191.407787586344</c:v>
                </c:pt>
                <c:pt idx="3">
                  <c:v>4739.1301098851554</c:v>
                </c:pt>
                <c:pt idx="4">
                  <c:v>9001.1135507301042</c:v>
                </c:pt>
                <c:pt idx="5">
                  <c:v>25435.09213030486</c:v>
                </c:pt>
                <c:pt idx="6">
                  <c:v>18585.405126219623</c:v>
                </c:pt>
                <c:pt idx="7">
                  <c:v>8129.0396975295071</c:v>
                </c:pt>
                <c:pt idx="8">
                  <c:v>13912.932844945317</c:v>
                </c:pt>
                <c:pt idx="9">
                  <c:v>28589.142924192056</c:v>
                </c:pt>
                <c:pt idx="10">
                  <c:v>19587.431284498049</c:v>
                </c:pt>
                <c:pt idx="11">
                  <c:v>12253.156390852704</c:v>
                </c:pt>
                <c:pt idx="12">
                  <c:v>24433.26566697465</c:v>
                </c:pt>
                <c:pt idx="13">
                  <c:v>41153.662942912924</c:v>
                </c:pt>
                <c:pt idx="14">
                  <c:v>17987.532233085069</c:v>
                </c:pt>
                <c:pt idx="15">
                  <c:v>21249.481628977708</c:v>
                </c:pt>
                <c:pt idx="16">
                  <c:v>14155.101665283793</c:v>
                </c:pt>
                <c:pt idx="17">
                  <c:v>17208.175891250874</c:v>
                </c:pt>
                <c:pt idx="18">
                  <c:v>35768.927236487783</c:v>
                </c:pt>
                <c:pt idx="19">
                  <c:v>26515.434331874218</c:v>
                </c:pt>
                <c:pt idx="20">
                  <c:v>15299.694485694679</c:v>
                </c:pt>
                <c:pt idx="21">
                  <c:v>18830.028999863069</c:v>
                </c:pt>
                <c:pt idx="22">
                  <c:v>11747.352584602875</c:v>
                </c:pt>
                <c:pt idx="23">
                  <c:v>23129.416589528293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9-4ECE-A7DB-D0D0A02B9F7D}"/>
            </c:ext>
          </c:extLst>
        </c:ser>
        <c:ser>
          <c:idx val="2"/>
          <c:order val="3"/>
          <c:tx>
            <c:v>PWSO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harvest'!$Y$203:$Y$226</c:f>
                <c:numCache>
                  <c:formatCode>General</c:formatCode>
                  <c:ptCount val="24"/>
                  <c:pt idx="0">
                    <c:v>1042.4485993510013</c:v>
                  </c:pt>
                  <c:pt idx="1">
                    <c:v>657.45359551958688</c:v>
                  </c:pt>
                  <c:pt idx="2">
                    <c:v>1336.9276425018595</c:v>
                  </c:pt>
                  <c:pt idx="3">
                    <c:v>1480.8702358035312</c:v>
                  </c:pt>
                  <c:pt idx="4">
                    <c:v>1308.4192320628927</c:v>
                  </c:pt>
                  <c:pt idx="5">
                    <c:v>1690.0975617132931</c:v>
                  </c:pt>
                  <c:pt idx="6">
                    <c:v>1710.152415329761</c:v>
                  </c:pt>
                  <c:pt idx="7">
                    <c:v>1647.994820866659</c:v>
                  </c:pt>
                  <c:pt idx="8">
                    <c:v>1308.0812403411931</c:v>
                  </c:pt>
                  <c:pt idx="9">
                    <c:v>1742.6391163958072</c:v>
                  </c:pt>
                  <c:pt idx="10">
                    <c:v>1926.5401454874559</c:v>
                  </c:pt>
                  <c:pt idx="11">
                    <c:v>1784.8277911611242</c:v>
                  </c:pt>
                  <c:pt idx="12">
                    <c:v>1828.1489242163939</c:v>
                  </c:pt>
                  <c:pt idx="13">
                    <c:v>1892.7984160670264</c:v>
                  </c:pt>
                  <c:pt idx="14">
                    <c:v>938.28925865196538</c:v>
                  </c:pt>
                  <c:pt idx="15">
                    <c:v>2520.1664756096466</c:v>
                  </c:pt>
                  <c:pt idx="16">
                    <c:v>2925.2598279520853</c:v>
                  </c:pt>
                  <c:pt idx="17">
                    <c:v>1164.7498897742673</c:v>
                  </c:pt>
                  <c:pt idx="18">
                    <c:v>1021.2189337539821</c:v>
                  </c:pt>
                  <c:pt idx="19">
                    <c:v>3376.338477147975</c:v>
                  </c:pt>
                  <c:pt idx="20">
                    <c:v>1981.323790338763</c:v>
                  </c:pt>
                  <c:pt idx="21">
                    <c:v>2699.8098458494965</c:v>
                  </c:pt>
                  <c:pt idx="22">
                    <c:v>1962.1509566771845</c:v>
                  </c:pt>
                  <c:pt idx="23">
                    <c:v>3021.0830241803669</c:v>
                  </c:pt>
                </c:numCache>
              </c:numRef>
            </c:plus>
            <c:minus>
              <c:numRef>
                <c:f>'BRF harvest'!$Y$203:$Y$226</c:f>
                <c:numCache>
                  <c:formatCode>General</c:formatCode>
                  <c:ptCount val="24"/>
                  <c:pt idx="0">
                    <c:v>1042.4485993510013</c:v>
                  </c:pt>
                  <c:pt idx="1">
                    <c:v>657.45359551958688</c:v>
                  </c:pt>
                  <c:pt idx="2">
                    <c:v>1336.9276425018595</c:v>
                  </c:pt>
                  <c:pt idx="3">
                    <c:v>1480.8702358035312</c:v>
                  </c:pt>
                  <c:pt idx="4">
                    <c:v>1308.4192320628927</c:v>
                  </c:pt>
                  <c:pt idx="5">
                    <c:v>1690.0975617132931</c:v>
                  </c:pt>
                  <c:pt idx="6">
                    <c:v>1710.152415329761</c:v>
                  </c:pt>
                  <c:pt idx="7">
                    <c:v>1647.994820866659</c:v>
                  </c:pt>
                  <c:pt idx="8">
                    <c:v>1308.0812403411931</c:v>
                  </c:pt>
                  <c:pt idx="9">
                    <c:v>1742.6391163958072</c:v>
                  </c:pt>
                  <c:pt idx="10">
                    <c:v>1926.5401454874559</c:v>
                  </c:pt>
                  <c:pt idx="11">
                    <c:v>1784.8277911611242</c:v>
                  </c:pt>
                  <c:pt idx="12">
                    <c:v>1828.1489242163939</c:v>
                  </c:pt>
                  <c:pt idx="13">
                    <c:v>1892.7984160670264</c:v>
                  </c:pt>
                  <c:pt idx="14">
                    <c:v>938.28925865196538</c:v>
                  </c:pt>
                  <c:pt idx="15">
                    <c:v>2520.1664756096466</c:v>
                  </c:pt>
                  <c:pt idx="16">
                    <c:v>2925.2598279520853</c:v>
                  </c:pt>
                  <c:pt idx="17">
                    <c:v>1164.7498897742673</c:v>
                  </c:pt>
                  <c:pt idx="18">
                    <c:v>1021.2189337539821</c:v>
                  </c:pt>
                  <c:pt idx="19">
                    <c:v>3376.338477147975</c:v>
                  </c:pt>
                  <c:pt idx="20">
                    <c:v>1981.323790338763</c:v>
                  </c:pt>
                  <c:pt idx="21">
                    <c:v>2699.8098458494965</c:v>
                  </c:pt>
                  <c:pt idx="22">
                    <c:v>1962.1509566771845</c:v>
                  </c:pt>
                  <c:pt idx="23">
                    <c:v>3021.0830241803669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harvest'!$V$203:$V$226</c:f>
              <c:numCache>
                <c:formatCode>_(* #,##0_);_(* \(#,##0\);_(* "-"??_);_(@_)</c:formatCode>
                <c:ptCount val="24"/>
                <c:pt idx="0">
                  <c:v>6210.8484296374581</c:v>
                </c:pt>
                <c:pt idx="1">
                  <c:v>3885.9375357170275</c:v>
                </c:pt>
                <c:pt idx="2">
                  <c:v>8257.8405477728738</c:v>
                </c:pt>
                <c:pt idx="3">
                  <c:v>8998.1267014057557</c:v>
                </c:pt>
                <c:pt idx="4">
                  <c:v>7467.0971839415743</c:v>
                </c:pt>
                <c:pt idx="5">
                  <c:v>8752.0048103287118</c:v>
                </c:pt>
                <c:pt idx="6">
                  <c:v>10314.910298495874</c:v>
                </c:pt>
                <c:pt idx="7">
                  <c:v>8700.3739169732762</c:v>
                </c:pt>
                <c:pt idx="8">
                  <c:v>7293.5996667101936</c:v>
                </c:pt>
                <c:pt idx="9">
                  <c:v>9945.281928068971</c:v>
                </c:pt>
                <c:pt idx="10">
                  <c:v>11067.568207848319</c:v>
                </c:pt>
                <c:pt idx="11">
                  <c:v>10351.784157265687</c:v>
                </c:pt>
                <c:pt idx="12">
                  <c:v>9550.0066139790742</c:v>
                </c:pt>
                <c:pt idx="13">
                  <c:v>13511.389229897632</c:v>
                </c:pt>
                <c:pt idx="14">
                  <c:v>10965.405775255005</c:v>
                </c:pt>
                <c:pt idx="15">
                  <c:v>14211.254064056518</c:v>
                </c:pt>
                <c:pt idx="16">
                  <c:v>17414.864695871405</c:v>
                </c:pt>
                <c:pt idx="17">
                  <c:v>14750.918130976226</c:v>
                </c:pt>
                <c:pt idx="18">
                  <c:v>20499.475462710096</c:v>
                </c:pt>
                <c:pt idx="19">
                  <c:v>23211.677413459453</c:v>
                </c:pt>
                <c:pt idx="20">
                  <c:v>22024.818525746632</c:v>
                </c:pt>
                <c:pt idx="21">
                  <c:v>24580.990618561074</c:v>
                </c:pt>
                <c:pt idx="22">
                  <c:v>25049.538032354885</c:v>
                </c:pt>
                <c:pt idx="23">
                  <c:v>32867.033801571837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9-4ECE-A7DB-D0D0A02B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harvest'!$Y$228:$Y$251</c:f>
                <c:numCache>
                  <c:formatCode>General</c:formatCode>
                  <c:ptCount val="24"/>
                  <c:pt idx="0">
                    <c:v>560.69039611194637</c:v>
                  </c:pt>
                  <c:pt idx="1">
                    <c:v>567.79272781313796</c:v>
                  </c:pt>
                  <c:pt idx="2">
                    <c:v>983.58356485920581</c:v>
                  </c:pt>
                  <c:pt idx="3">
                    <c:v>870.49089573769334</c:v>
                  </c:pt>
                  <c:pt idx="4">
                    <c:v>821.24544918757124</c:v>
                  </c:pt>
                  <c:pt idx="5">
                    <c:v>907.15636853848628</c:v>
                  </c:pt>
                  <c:pt idx="6">
                    <c:v>1297.2474353936664</c:v>
                  </c:pt>
                  <c:pt idx="7">
                    <c:v>1632.8944684399316</c:v>
                  </c:pt>
                  <c:pt idx="8">
                    <c:v>1808.1600355273697</c:v>
                  </c:pt>
                  <c:pt idx="9">
                    <c:v>2181.8667722254372</c:v>
                  </c:pt>
                  <c:pt idx="10">
                    <c:v>3048.7873584114009</c:v>
                  </c:pt>
                  <c:pt idx="11">
                    <c:v>1857.6808983901385</c:v>
                  </c:pt>
                  <c:pt idx="12">
                    <c:v>2563.514609361825</c:v>
                  </c:pt>
                  <c:pt idx="13">
                    <c:v>2841.3994161079963</c:v>
                  </c:pt>
                  <c:pt idx="14">
                    <c:v>1202.186908581479</c:v>
                  </c:pt>
                  <c:pt idx="15">
                    <c:v>2334.0445125886167</c:v>
                  </c:pt>
                  <c:pt idx="16">
                    <c:v>3579.9411867227313</c:v>
                  </c:pt>
                  <c:pt idx="17">
                    <c:v>2039.3452150380065</c:v>
                  </c:pt>
                  <c:pt idx="18">
                    <c:v>1594.4034271482117</c:v>
                  </c:pt>
                  <c:pt idx="19">
                    <c:v>3638.9072427559677</c:v>
                  </c:pt>
                  <c:pt idx="20">
                    <c:v>1381.0003258482805</c:v>
                  </c:pt>
                  <c:pt idx="21">
                    <c:v>2303.9191523271529</c:v>
                  </c:pt>
                  <c:pt idx="22">
                    <c:v>3084.8130984199379</c:v>
                  </c:pt>
                  <c:pt idx="23">
                    <c:v>2147.2955469646558</c:v>
                  </c:pt>
                </c:numCache>
              </c:numRef>
            </c:plus>
            <c:minus>
              <c:numRef>
                <c:f>'BRF harvest'!$Y$228:$Y$251</c:f>
                <c:numCache>
                  <c:formatCode>General</c:formatCode>
                  <c:ptCount val="24"/>
                  <c:pt idx="0">
                    <c:v>560.69039611194637</c:v>
                  </c:pt>
                  <c:pt idx="1">
                    <c:v>567.79272781313796</c:v>
                  </c:pt>
                  <c:pt idx="2">
                    <c:v>983.58356485920581</c:v>
                  </c:pt>
                  <c:pt idx="3">
                    <c:v>870.49089573769334</c:v>
                  </c:pt>
                  <c:pt idx="4">
                    <c:v>821.24544918757124</c:v>
                  </c:pt>
                  <c:pt idx="5">
                    <c:v>907.15636853848628</c:v>
                  </c:pt>
                  <c:pt idx="6">
                    <c:v>1297.2474353936664</c:v>
                  </c:pt>
                  <c:pt idx="7">
                    <c:v>1632.8944684399316</c:v>
                  </c:pt>
                  <c:pt idx="8">
                    <c:v>1808.1600355273697</c:v>
                  </c:pt>
                  <c:pt idx="9">
                    <c:v>2181.8667722254372</c:v>
                  </c:pt>
                  <c:pt idx="10">
                    <c:v>3048.7873584114009</c:v>
                  </c:pt>
                  <c:pt idx="11">
                    <c:v>1857.6808983901385</c:v>
                  </c:pt>
                  <c:pt idx="12">
                    <c:v>2563.514609361825</c:v>
                  </c:pt>
                  <c:pt idx="13">
                    <c:v>2841.3994161079963</c:v>
                  </c:pt>
                  <c:pt idx="14">
                    <c:v>1202.186908581479</c:v>
                  </c:pt>
                  <c:pt idx="15">
                    <c:v>2334.0445125886167</c:v>
                  </c:pt>
                  <c:pt idx="16">
                    <c:v>3579.9411867227313</c:v>
                  </c:pt>
                  <c:pt idx="17">
                    <c:v>2039.3452150380065</c:v>
                  </c:pt>
                  <c:pt idx="18">
                    <c:v>1594.4034271482117</c:v>
                  </c:pt>
                  <c:pt idx="19">
                    <c:v>3638.9072427559677</c:v>
                  </c:pt>
                  <c:pt idx="20">
                    <c:v>1381.0003258482805</c:v>
                  </c:pt>
                  <c:pt idx="21">
                    <c:v>2303.9191523271529</c:v>
                  </c:pt>
                  <c:pt idx="22">
                    <c:v>3084.8130984199379</c:v>
                  </c:pt>
                  <c:pt idx="23">
                    <c:v>2147.2955469646558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harvest'!$V$228:$V$251</c:f>
              <c:numCache>
                <c:formatCode>_(* #,##0_);_(* \(#,##0\);_(* "-"??_);_(@_)</c:formatCode>
                <c:ptCount val="24"/>
                <c:pt idx="0">
                  <c:v>5109.2861107933395</c:v>
                </c:pt>
                <c:pt idx="1">
                  <c:v>4526.4484377305489</c:v>
                </c:pt>
                <c:pt idx="2">
                  <c:v>7017.4540045510321</c:v>
                </c:pt>
                <c:pt idx="3">
                  <c:v>5186.799467588633</c:v>
                </c:pt>
                <c:pt idx="4">
                  <c:v>6222.3760168044737</c:v>
                </c:pt>
                <c:pt idx="5">
                  <c:v>7783.1235787198812</c:v>
                </c:pt>
                <c:pt idx="6">
                  <c:v>11311.709402952769</c:v>
                </c:pt>
                <c:pt idx="7">
                  <c:v>14771.632028089245</c:v>
                </c:pt>
                <c:pt idx="8">
                  <c:v>22682.73202205935</c:v>
                </c:pt>
                <c:pt idx="9">
                  <c:v>27069.196654343843</c:v>
                </c:pt>
                <c:pt idx="10">
                  <c:v>41752.648530161903</c:v>
                </c:pt>
                <c:pt idx="11">
                  <c:v>24307.666775303973</c:v>
                </c:pt>
                <c:pt idx="12">
                  <c:v>33554.270625346166</c:v>
                </c:pt>
                <c:pt idx="13">
                  <c:v>50769.780446855933</c:v>
                </c:pt>
                <c:pt idx="14">
                  <c:v>45759.208903555111</c:v>
                </c:pt>
                <c:pt idx="15">
                  <c:v>53329.116116007412</c:v>
                </c:pt>
                <c:pt idx="16">
                  <c:v>65132.033713635894</c:v>
                </c:pt>
                <c:pt idx="17">
                  <c:v>66092.534663024664</c:v>
                </c:pt>
                <c:pt idx="18">
                  <c:v>44433.393824987477</c:v>
                </c:pt>
                <c:pt idx="19">
                  <c:v>50392.762800125296</c:v>
                </c:pt>
                <c:pt idx="20">
                  <c:v>45639.668896178824</c:v>
                </c:pt>
                <c:pt idx="21">
                  <c:v>53287.147799392013</c:v>
                </c:pt>
                <c:pt idx="22">
                  <c:v>27429.026898153828</c:v>
                </c:pt>
                <c:pt idx="23">
                  <c:v>57830.014973251484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3EA-AA0C-29C20D0B18A5}"/>
            </c:ext>
          </c:extLst>
        </c:ser>
        <c:ser>
          <c:idx val="1"/>
          <c:order val="1"/>
          <c:tx>
            <c:v>NSEI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harvest'!$Y$278:$Y$301</c:f>
                <c:numCache>
                  <c:formatCode>General</c:formatCode>
                  <c:ptCount val="24"/>
                  <c:pt idx="0">
                    <c:v>1416.8834453246934</c:v>
                  </c:pt>
                  <c:pt idx="1">
                    <c:v>2072.1978994532215</c:v>
                  </c:pt>
                  <c:pt idx="2">
                    <c:v>3021.8283958189841</c:v>
                  </c:pt>
                  <c:pt idx="3">
                    <c:v>2134.8003425451925</c:v>
                  </c:pt>
                  <c:pt idx="4">
                    <c:v>1668.5147900252639</c:v>
                  </c:pt>
                  <c:pt idx="5">
                    <c:v>1916.6851722428401</c:v>
                  </c:pt>
                  <c:pt idx="6">
                    <c:v>1812.3326231550618</c:v>
                  </c:pt>
                  <c:pt idx="7">
                    <c:v>2412.0374014951117</c:v>
                  </c:pt>
                  <c:pt idx="8">
                    <c:v>727.13185477163506</c:v>
                  </c:pt>
                  <c:pt idx="9">
                    <c:v>471.6413632458856</c:v>
                  </c:pt>
                  <c:pt idx="10">
                    <c:v>563.13763546905648</c:v>
                  </c:pt>
                  <c:pt idx="11">
                    <c:v>546.89287998518034</c:v>
                  </c:pt>
                  <c:pt idx="12">
                    <c:v>868.18410871961146</c:v>
                  </c:pt>
                  <c:pt idx="13">
                    <c:v>783.37220470425802</c:v>
                  </c:pt>
                  <c:pt idx="14">
                    <c:v>2357.1034919174313</c:v>
                  </c:pt>
                  <c:pt idx="15">
                    <c:v>1276.4754992833646</c:v>
                  </c:pt>
                  <c:pt idx="16">
                    <c:v>1885.1156757822719</c:v>
                  </c:pt>
                  <c:pt idx="17">
                    <c:v>1124.0266543942951</c:v>
                  </c:pt>
                  <c:pt idx="18">
                    <c:v>1014.9714460453404</c:v>
                  </c:pt>
                  <c:pt idx="19">
                    <c:v>2160.3220916477258</c:v>
                  </c:pt>
                  <c:pt idx="20">
                    <c:v>1204.9293332388002</c:v>
                  </c:pt>
                  <c:pt idx="21">
                    <c:v>2200.8970538753942</c:v>
                  </c:pt>
                  <c:pt idx="22">
                    <c:v>688.51067773746547</c:v>
                  </c:pt>
                  <c:pt idx="23">
                    <c:v>710.57123744969385</c:v>
                  </c:pt>
                </c:numCache>
              </c:numRef>
            </c:plus>
            <c:minus>
              <c:numRef>
                <c:f>'BRF harvest'!$Y$278:$Y$301</c:f>
                <c:numCache>
                  <c:formatCode>General</c:formatCode>
                  <c:ptCount val="24"/>
                  <c:pt idx="0">
                    <c:v>1416.8834453246934</c:v>
                  </c:pt>
                  <c:pt idx="1">
                    <c:v>2072.1978994532215</c:v>
                  </c:pt>
                  <c:pt idx="2">
                    <c:v>3021.8283958189841</c:v>
                  </c:pt>
                  <c:pt idx="3">
                    <c:v>2134.8003425451925</c:v>
                  </c:pt>
                  <c:pt idx="4">
                    <c:v>1668.5147900252639</c:v>
                  </c:pt>
                  <c:pt idx="5">
                    <c:v>1916.6851722428401</c:v>
                  </c:pt>
                  <c:pt idx="6">
                    <c:v>1812.3326231550618</c:v>
                  </c:pt>
                  <c:pt idx="7">
                    <c:v>2412.0374014951117</c:v>
                  </c:pt>
                  <c:pt idx="8">
                    <c:v>727.13185477163506</c:v>
                  </c:pt>
                  <c:pt idx="9">
                    <c:v>471.6413632458856</c:v>
                  </c:pt>
                  <c:pt idx="10">
                    <c:v>563.13763546905648</c:v>
                  </c:pt>
                  <c:pt idx="11">
                    <c:v>546.89287998518034</c:v>
                  </c:pt>
                  <c:pt idx="12">
                    <c:v>868.18410871961146</c:v>
                  </c:pt>
                  <c:pt idx="13">
                    <c:v>783.37220470425802</c:v>
                  </c:pt>
                  <c:pt idx="14">
                    <c:v>2357.1034919174313</c:v>
                  </c:pt>
                  <c:pt idx="15">
                    <c:v>1276.4754992833646</c:v>
                  </c:pt>
                  <c:pt idx="16">
                    <c:v>1885.1156757822719</c:v>
                  </c:pt>
                  <c:pt idx="17">
                    <c:v>1124.0266543942951</c:v>
                  </c:pt>
                  <c:pt idx="18">
                    <c:v>1014.9714460453404</c:v>
                  </c:pt>
                  <c:pt idx="19">
                    <c:v>2160.3220916477258</c:v>
                  </c:pt>
                  <c:pt idx="20">
                    <c:v>1204.9293332388002</c:v>
                  </c:pt>
                  <c:pt idx="21">
                    <c:v>2200.8970538753942</c:v>
                  </c:pt>
                  <c:pt idx="22">
                    <c:v>688.51067773746547</c:v>
                  </c:pt>
                  <c:pt idx="23">
                    <c:v>710.57123744969385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harvest'!$V$278:$V$301</c:f>
              <c:numCache>
                <c:formatCode>_(* #,##0_);_(* \(#,##0\);_(* "-"??_);_(@_)</c:formatCode>
                <c:ptCount val="24"/>
                <c:pt idx="0">
                  <c:v>2545.6840087219839</c:v>
                </c:pt>
                <c:pt idx="1">
                  <c:v>3630.5040680794018</c:v>
                </c:pt>
                <c:pt idx="2">
                  <c:v>5328.7965482081872</c:v>
                </c:pt>
                <c:pt idx="3">
                  <c:v>3789.5842596457151</c:v>
                </c:pt>
                <c:pt idx="4">
                  <c:v>2910.5205549053699</c:v>
                </c:pt>
                <c:pt idx="5">
                  <c:v>3371.7442514051063</c:v>
                </c:pt>
                <c:pt idx="6">
                  <c:v>3210.5587743028509</c:v>
                </c:pt>
                <c:pt idx="7">
                  <c:v>4246.1151225412013</c:v>
                </c:pt>
                <c:pt idx="8">
                  <c:v>4438.9726879623568</c:v>
                </c:pt>
                <c:pt idx="9">
                  <c:v>4775.7531153372838</c:v>
                </c:pt>
                <c:pt idx="10">
                  <c:v>7353.6442227897951</c:v>
                </c:pt>
                <c:pt idx="11">
                  <c:v>5802.7027354693046</c:v>
                </c:pt>
                <c:pt idx="12">
                  <c:v>7658.6840301610364</c:v>
                </c:pt>
                <c:pt idx="13">
                  <c:v>9376.7482891199343</c:v>
                </c:pt>
                <c:pt idx="14">
                  <c:v>13142.249323951939</c:v>
                </c:pt>
                <c:pt idx="15">
                  <c:v>10262.346287632536</c:v>
                </c:pt>
                <c:pt idx="16">
                  <c:v>13291.577311781086</c:v>
                </c:pt>
                <c:pt idx="17">
                  <c:v>13707.06742366379</c:v>
                </c:pt>
                <c:pt idx="18">
                  <c:v>10696.551293926825</c:v>
                </c:pt>
                <c:pt idx="19">
                  <c:v>12258.097150997084</c:v>
                </c:pt>
                <c:pt idx="20">
                  <c:v>10279.09612061026</c:v>
                </c:pt>
                <c:pt idx="21">
                  <c:v>12931.933964741216</c:v>
                </c:pt>
                <c:pt idx="22">
                  <c:v>9519.8411725382866</c:v>
                </c:pt>
                <c:pt idx="23">
                  <c:v>12379.102755669761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3EA-AA0C-29C20D0B18A5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harvest'!$Y$253:$Y$276</c:f>
                <c:numCache>
                  <c:formatCode>General</c:formatCode>
                  <c:ptCount val="24"/>
                  <c:pt idx="0">
                    <c:v>284.09508572170779</c:v>
                  </c:pt>
                  <c:pt idx="1">
                    <c:v>144.81574763882199</c:v>
                  </c:pt>
                  <c:pt idx="2">
                    <c:v>262.10480588133606</c:v>
                  </c:pt>
                  <c:pt idx="3">
                    <c:v>227.91164444485943</c:v>
                  </c:pt>
                  <c:pt idx="4">
                    <c:v>195.22458319942785</c:v>
                  </c:pt>
                  <c:pt idx="5">
                    <c:v>354.92361683931688</c:v>
                  </c:pt>
                  <c:pt idx="6">
                    <c:v>327.52086811771045</c:v>
                  </c:pt>
                  <c:pt idx="7">
                    <c:v>366.10843745771166</c:v>
                  </c:pt>
                  <c:pt idx="8">
                    <c:v>571.0576502521908</c:v>
                  </c:pt>
                  <c:pt idx="9">
                    <c:v>537.56600342883348</c:v>
                  </c:pt>
                  <c:pt idx="10">
                    <c:v>562.34901477057849</c:v>
                  </c:pt>
                  <c:pt idx="11">
                    <c:v>581.55110180836857</c:v>
                  </c:pt>
                  <c:pt idx="12">
                    <c:v>540.00039742186709</c:v>
                  </c:pt>
                  <c:pt idx="13">
                    <c:v>1031.7328349742074</c:v>
                  </c:pt>
                  <c:pt idx="14">
                    <c:v>343.69061047516288</c:v>
                  </c:pt>
                  <c:pt idx="15">
                    <c:v>507.56962697495595</c:v>
                  </c:pt>
                  <c:pt idx="16">
                    <c:v>833.5547811358083</c:v>
                  </c:pt>
                  <c:pt idx="17">
                    <c:v>2033.5507518341071</c:v>
                  </c:pt>
                  <c:pt idx="18">
                    <c:v>1213.5579266600671</c:v>
                  </c:pt>
                  <c:pt idx="19">
                    <c:v>777.97727507944001</c:v>
                  </c:pt>
                  <c:pt idx="20">
                    <c:v>1063.7281491115521</c:v>
                  </c:pt>
                  <c:pt idx="21">
                    <c:v>1867.0627076133023</c:v>
                  </c:pt>
                  <c:pt idx="22">
                    <c:v>642.63509552249468</c:v>
                  </c:pt>
                  <c:pt idx="23">
                    <c:v>1076.477068583883</c:v>
                  </c:pt>
                </c:numCache>
              </c:numRef>
            </c:plus>
            <c:minus>
              <c:numRef>
                <c:f>'BRF harvest'!$Y$253:$Y$276</c:f>
                <c:numCache>
                  <c:formatCode>General</c:formatCode>
                  <c:ptCount val="24"/>
                  <c:pt idx="0">
                    <c:v>284.09508572170779</c:v>
                  </c:pt>
                  <c:pt idx="1">
                    <c:v>144.81574763882199</c:v>
                  </c:pt>
                  <c:pt idx="2">
                    <c:v>262.10480588133606</c:v>
                  </c:pt>
                  <c:pt idx="3">
                    <c:v>227.91164444485943</c:v>
                  </c:pt>
                  <c:pt idx="4">
                    <c:v>195.22458319942785</c:v>
                  </c:pt>
                  <c:pt idx="5">
                    <c:v>354.92361683931688</c:v>
                  </c:pt>
                  <c:pt idx="6">
                    <c:v>327.52086811771045</c:v>
                  </c:pt>
                  <c:pt idx="7">
                    <c:v>366.10843745771166</c:v>
                  </c:pt>
                  <c:pt idx="8">
                    <c:v>571.0576502521908</c:v>
                  </c:pt>
                  <c:pt idx="9">
                    <c:v>537.56600342883348</c:v>
                  </c:pt>
                  <c:pt idx="10">
                    <c:v>562.34901477057849</c:v>
                  </c:pt>
                  <c:pt idx="11">
                    <c:v>581.55110180836857</c:v>
                  </c:pt>
                  <c:pt idx="12">
                    <c:v>540.00039742186709</c:v>
                  </c:pt>
                  <c:pt idx="13">
                    <c:v>1031.7328349742074</c:v>
                  </c:pt>
                  <c:pt idx="14">
                    <c:v>343.69061047516288</c:v>
                  </c:pt>
                  <c:pt idx="15">
                    <c:v>507.56962697495595</c:v>
                  </c:pt>
                  <c:pt idx="16">
                    <c:v>833.5547811358083</c:v>
                  </c:pt>
                  <c:pt idx="17">
                    <c:v>2033.5507518341071</c:v>
                  </c:pt>
                  <c:pt idx="18">
                    <c:v>1213.5579266600671</c:v>
                  </c:pt>
                  <c:pt idx="19">
                    <c:v>777.97727507944001</c:v>
                  </c:pt>
                  <c:pt idx="20">
                    <c:v>1063.7281491115521</c:v>
                  </c:pt>
                  <c:pt idx="21">
                    <c:v>1867.0627076133023</c:v>
                  </c:pt>
                  <c:pt idx="22">
                    <c:v>642.63509552249468</c:v>
                  </c:pt>
                  <c:pt idx="23">
                    <c:v>1076.477068583883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harvest'!$V$253:$V$276</c:f>
              <c:numCache>
                <c:formatCode>_(* #,##0_);_(* \(#,##0\);_(* "-"??_);_(@_)</c:formatCode>
                <c:ptCount val="24"/>
                <c:pt idx="0">
                  <c:v>985.83253862133824</c:v>
                </c:pt>
                <c:pt idx="1">
                  <c:v>690.38285707176499</c:v>
                </c:pt>
                <c:pt idx="2">
                  <c:v>1315.4731738538947</c:v>
                </c:pt>
                <c:pt idx="3">
                  <c:v>1116.1910920841854</c:v>
                </c:pt>
                <c:pt idx="4">
                  <c:v>983.46166626138779</c:v>
                </c:pt>
                <c:pt idx="5">
                  <c:v>1537.7931114266105</c:v>
                </c:pt>
                <c:pt idx="6">
                  <c:v>1449.0197488164604</c:v>
                </c:pt>
                <c:pt idx="7">
                  <c:v>1754.3453147693908</c:v>
                </c:pt>
                <c:pt idx="8">
                  <c:v>2688.8985904128322</c:v>
                </c:pt>
                <c:pt idx="9">
                  <c:v>2522.2917795093531</c:v>
                </c:pt>
                <c:pt idx="10">
                  <c:v>3043.2162623164641</c:v>
                </c:pt>
                <c:pt idx="11">
                  <c:v>2800.3494704252598</c:v>
                </c:pt>
                <c:pt idx="12">
                  <c:v>2457.5723339449796</c:v>
                </c:pt>
                <c:pt idx="13">
                  <c:v>3516.3919194144455</c:v>
                </c:pt>
                <c:pt idx="14">
                  <c:v>3087.2658493389422</c:v>
                </c:pt>
                <c:pt idx="15">
                  <c:v>3930.506975198984</c:v>
                </c:pt>
                <c:pt idx="16">
                  <c:v>4904.2041329687736</c:v>
                </c:pt>
                <c:pt idx="17">
                  <c:v>7054.4903416582492</c:v>
                </c:pt>
                <c:pt idx="18">
                  <c:v>8025.2509537542774</c:v>
                </c:pt>
                <c:pt idx="19">
                  <c:v>6490.8694410252392</c:v>
                </c:pt>
                <c:pt idx="20">
                  <c:v>9020.7627217825593</c:v>
                </c:pt>
                <c:pt idx="21">
                  <c:v>9465.8571552228022</c:v>
                </c:pt>
                <c:pt idx="22">
                  <c:v>4818.0518071193155</c:v>
                </c:pt>
                <c:pt idx="23">
                  <c:v>8662.3338727041883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4-43EA-AA0C-29C20D0B18A5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harvest'!$Y$303:$Y$326</c:f>
                <c:numCache>
                  <c:formatCode>General</c:formatCode>
                  <c:ptCount val="24"/>
                  <c:pt idx="0">
                    <c:v>394.24844248331749</c:v>
                  </c:pt>
                  <c:pt idx="1">
                    <c:v>375.48496741009541</c:v>
                  </c:pt>
                  <c:pt idx="2">
                    <c:v>1011.6110098759084</c:v>
                  </c:pt>
                  <c:pt idx="3">
                    <c:v>995.08735655932958</c:v>
                  </c:pt>
                  <c:pt idx="4">
                    <c:v>710.30245399804187</c:v>
                  </c:pt>
                  <c:pt idx="5">
                    <c:v>1081.0400883652735</c:v>
                  </c:pt>
                  <c:pt idx="6">
                    <c:v>1023.3062223576197</c:v>
                  </c:pt>
                  <c:pt idx="7">
                    <c:v>979.87502893542239</c:v>
                  </c:pt>
                  <c:pt idx="8">
                    <c:v>639.69588673842293</c:v>
                  </c:pt>
                  <c:pt idx="9">
                    <c:v>781.15867546437232</c:v>
                  </c:pt>
                  <c:pt idx="10">
                    <c:v>1706.6977957856195</c:v>
                  </c:pt>
                  <c:pt idx="11">
                    <c:v>557.08940053373908</c:v>
                  </c:pt>
                  <c:pt idx="12">
                    <c:v>1361.5425443480972</c:v>
                  </c:pt>
                  <c:pt idx="13">
                    <c:v>940.41786970758915</c:v>
                  </c:pt>
                  <c:pt idx="14">
                    <c:v>2090.3952174797159</c:v>
                  </c:pt>
                  <c:pt idx="15">
                    <c:v>1885.160064653144</c:v>
                  </c:pt>
                  <c:pt idx="16">
                    <c:v>4733.896320166994</c:v>
                  </c:pt>
                  <c:pt idx="17">
                    <c:v>2350.6553347733065</c:v>
                  </c:pt>
                  <c:pt idx="18">
                    <c:v>844.12509252382858</c:v>
                  </c:pt>
                  <c:pt idx="19">
                    <c:v>3162.2161979758553</c:v>
                  </c:pt>
                  <c:pt idx="20">
                    <c:v>3957.0903051535179</c:v>
                  </c:pt>
                  <c:pt idx="21">
                    <c:v>3361.0774935889522</c:v>
                  </c:pt>
                  <c:pt idx="22">
                    <c:v>579.94787449631804</c:v>
                  </c:pt>
                  <c:pt idx="23">
                    <c:v>3372.6581570619769</c:v>
                  </c:pt>
                </c:numCache>
              </c:numRef>
            </c:plus>
            <c:minus>
              <c:numRef>
                <c:f>'BRF harvest'!$Y$303:$Y$326</c:f>
                <c:numCache>
                  <c:formatCode>General</c:formatCode>
                  <c:ptCount val="24"/>
                  <c:pt idx="0">
                    <c:v>394.24844248331749</c:v>
                  </c:pt>
                  <c:pt idx="1">
                    <c:v>375.48496741009541</c:v>
                  </c:pt>
                  <c:pt idx="2">
                    <c:v>1011.6110098759084</c:v>
                  </c:pt>
                  <c:pt idx="3">
                    <c:v>995.08735655932958</c:v>
                  </c:pt>
                  <c:pt idx="4">
                    <c:v>710.30245399804187</c:v>
                  </c:pt>
                  <c:pt idx="5">
                    <c:v>1081.0400883652735</c:v>
                  </c:pt>
                  <c:pt idx="6">
                    <c:v>1023.3062223576197</c:v>
                  </c:pt>
                  <c:pt idx="7">
                    <c:v>979.87502893542239</c:v>
                  </c:pt>
                  <c:pt idx="8">
                    <c:v>639.69588673842293</c:v>
                  </c:pt>
                  <c:pt idx="9">
                    <c:v>781.15867546437232</c:v>
                  </c:pt>
                  <c:pt idx="10">
                    <c:v>1706.6977957856195</c:v>
                  </c:pt>
                  <c:pt idx="11">
                    <c:v>557.08940053373908</c:v>
                  </c:pt>
                  <c:pt idx="12">
                    <c:v>1361.5425443480972</c:v>
                  </c:pt>
                  <c:pt idx="13">
                    <c:v>940.41786970758915</c:v>
                  </c:pt>
                  <c:pt idx="14">
                    <c:v>2090.3952174797159</c:v>
                  </c:pt>
                  <c:pt idx="15">
                    <c:v>1885.160064653144</c:v>
                  </c:pt>
                  <c:pt idx="16">
                    <c:v>4733.896320166994</c:v>
                  </c:pt>
                  <c:pt idx="17">
                    <c:v>2350.6553347733065</c:v>
                  </c:pt>
                  <c:pt idx="18">
                    <c:v>844.12509252382858</c:v>
                  </c:pt>
                  <c:pt idx="19">
                    <c:v>3162.2161979758553</c:v>
                  </c:pt>
                  <c:pt idx="20">
                    <c:v>3957.0903051535179</c:v>
                  </c:pt>
                  <c:pt idx="21">
                    <c:v>3361.0774935889522</c:v>
                  </c:pt>
                  <c:pt idx="22">
                    <c:v>579.94787449631804</c:v>
                  </c:pt>
                  <c:pt idx="23">
                    <c:v>3372.6581570619769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harvest'!$V$303:$V$326</c:f>
              <c:numCache>
                <c:formatCode>_(* #,##0_);_(* \(#,##0\);_(* "-"??_);_(@_)</c:formatCode>
                <c:ptCount val="24"/>
                <c:pt idx="0">
                  <c:v>927.74164204660451</c:v>
                </c:pt>
                <c:pt idx="1">
                  <c:v>800.5190215331063</c:v>
                </c:pt>
                <c:pt idx="2">
                  <c:v>2300.548463697311</c:v>
                </c:pt>
                <c:pt idx="3">
                  <c:v>2076.6671376370437</c:v>
                </c:pt>
                <c:pt idx="4">
                  <c:v>1299.295531696207</c:v>
                </c:pt>
                <c:pt idx="5">
                  <c:v>2333.4453071080738</c:v>
                </c:pt>
                <c:pt idx="6">
                  <c:v>1880.5679839184638</c:v>
                </c:pt>
                <c:pt idx="7">
                  <c:v>2018.4761173615548</c:v>
                </c:pt>
                <c:pt idx="8">
                  <c:v>1962.5133875616009</c:v>
                </c:pt>
                <c:pt idx="9">
                  <c:v>3195.8458360784375</c:v>
                </c:pt>
                <c:pt idx="10">
                  <c:v>4710.1009184342602</c:v>
                </c:pt>
                <c:pt idx="11">
                  <c:v>2449.2800469054973</c:v>
                </c:pt>
                <c:pt idx="12">
                  <c:v>4214.0900257706062</c:v>
                </c:pt>
                <c:pt idx="13">
                  <c:v>7835.2318261751498</c:v>
                </c:pt>
                <c:pt idx="14">
                  <c:v>8951.0314088624382</c:v>
                </c:pt>
                <c:pt idx="15">
                  <c:v>7334.2180377142668</c:v>
                </c:pt>
                <c:pt idx="16">
                  <c:v>13519.430448069656</c:v>
                </c:pt>
                <c:pt idx="17">
                  <c:v>9065.0575213470729</c:v>
                </c:pt>
                <c:pt idx="18">
                  <c:v>5047.2935321359719</c:v>
                </c:pt>
                <c:pt idx="19">
                  <c:v>11868.906769601883</c:v>
                </c:pt>
                <c:pt idx="20">
                  <c:v>14177.892546843908</c:v>
                </c:pt>
                <c:pt idx="21">
                  <c:v>13947.828265085333</c:v>
                </c:pt>
                <c:pt idx="22">
                  <c:v>4008.9990910922984</c:v>
                </c:pt>
                <c:pt idx="23">
                  <c:v>13379.926961517056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4-43EA-AA0C-29C20D0B18A5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harvest'!$Y$328:$Y$351</c:f>
                <c:numCache>
                  <c:formatCode>General</c:formatCode>
                  <c:ptCount val="24"/>
                  <c:pt idx="0">
                    <c:v>763.55716213704613</c:v>
                  </c:pt>
                  <c:pt idx="1">
                    <c:v>936.29642817733111</c:v>
                  </c:pt>
                  <c:pt idx="2">
                    <c:v>1450.5840400325781</c:v>
                  </c:pt>
                  <c:pt idx="3">
                    <c:v>1164.1825595630607</c:v>
                  </c:pt>
                  <c:pt idx="4">
                    <c:v>1006.37869541517</c:v>
                  </c:pt>
                  <c:pt idx="5">
                    <c:v>1416.6189311306591</c:v>
                  </c:pt>
                  <c:pt idx="6">
                    <c:v>1575.5403953255302</c:v>
                  </c:pt>
                  <c:pt idx="7">
                    <c:v>1809.7696295230837</c:v>
                  </c:pt>
                  <c:pt idx="8">
                    <c:v>962.71385731081648</c:v>
                  </c:pt>
                  <c:pt idx="9">
                    <c:v>988.92215931896385</c:v>
                  </c:pt>
                  <c:pt idx="10">
                    <c:v>1276.5105521245921</c:v>
                  </c:pt>
                  <c:pt idx="11">
                    <c:v>767.94144503599728</c:v>
                  </c:pt>
                  <c:pt idx="12">
                    <c:v>1076.6060556702901</c:v>
                  </c:pt>
                  <c:pt idx="13">
                    <c:v>1015.5366179466128</c:v>
                  </c:pt>
                  <c:pt idx="14">
                    <c:v>520.77250843067588</c:v>
                  </c:pt>
                  <c:pt idx="15">
                    <c:v>1669.3612660476135</c:v>
                  </c:pt>
                  <c:pt idx="16">
                    <c:v>821.40998715728676</c:v>
                  </c:pt>
                  <c:pt idx="17">
                    <c:v>659.11944310091906</c:v>
                  </c:pt>
                  <c:pt idx="18">
                    <c:v>909.61616560698371</c:v>
                  </c:pt>
                  <c:pt idx="19">
                    <c:v>1181.0303057508138</c:v>
                  </c:pt>
                  <c:pt idx="20">
                    <c:v>1681.0516685669377</c:v>
                  </c:pt>
                  <c:pt idx="21">
                    <c:v>4771.8486048015302</c:v>
                  </c:pt>
                  <c:pt idx="22">
                    <c:v>3742.0888983734271</c:v>
                  </c:pt>
                  <c:pt idx="23">
                    <c:v>2734.535355567079</c:v>
                  </c:pt>
                </c:numCache>
              </c:numRef>
            </c:plus>
            <c:minus>
              <c:numRef>
                <c:f>'BRF harvest'!$Y$328:$Y$351</c:f>
                <c:numCache>
                  <c:formatCode>General</c:formatCode>
                  <c:ptCount val="24"/>
                  <c:pt idx="0">
                    <c:v>763.55716213704613</c:v>
                  </c:pt>
                  <c:pt idx="1">
                    <c:v>936.29642817733111</c:v>
                  </c:pt>
                  <c:pt idx="2">
                    <c:v>1450.5840400325781</c:v>
                  </c:pt>
                  <c:pt idx="3">
                    <c:v>1164.1825595630607</c:v>
                  </c:pt>
                  <c:pt idx="4">
                    <c:v>1006.37869541517</c:v>
                  </c:pt>
                  <c:pt idx="5">
                    <c:v>1416.6189311306591</c:v>
                  </c:pt>
                  <c:pt idx="6">
                    <c:v>1575.5403953255302</c:v>
                  </c:pt>
                  <c:pt idx="7">
                    <c:v>1809.7696295230837</c:v>
                  </c:pt>
                  <c:pt idx="8">
                    <c:v>962.71385731081648</c:v>
                  </c:pt>
                  <c:pt idx="9">
                    <c:v>988.92215931896385</c:v>
                  </c:pt>
                  <c:pt idx="10">
                    <c:v>1276.5105521245921</c:v>
                  </c:pt>
                  <c:pt idx="11">
                    <c:v>767.94144503599728</c:v>
                  </c:pt>
                  <c:pt idx="12">
                    <c:v>1076.6060556702901</c:v>
                  </c:pt>
                  <c:pt idx="13">
                    <c:v>1015.5366179466128</c:v>
                  </c:pt>
                  <c:pt idx="14">
                    <c:v>520.77250843067588</c:v>
                  </c:pt>
                  <c:pt idx="15">
                    <c:v>1669.3612660476135</c:v>
                  </c:pt>
                  <c:pt idx="16">
                    <c:v>821.40998715728676</c:v>
                  </c:pt>
                  <c:pt idx="17">
                    <c:v>659.11944310091906</c:v>
                  </c:pt>
                  <c:pt idx="18">
                    <c:v>909.61616560698371</c:v>
                  </c:pt>
                  <c:pt idx="19">
                    <c:v>1181.0303057508138</c:v>
                  </c:pt>
                  <c:pt idx="20">
                    <c:v>1681.0516685669377</c:v>
                  </c:pt>
                  <c:pt idx="21">
                    <c:v>4771.8486048015302</c:v>
                  </c:pt>
                  <c:pt idx="22">
                    <c:v>3742.0888983734271</c:v>
                  </c:pt>
                  <c:pt idx="23">
                    <c:v>2734.535355567079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harvest'!$V$328:$V$351</c:f>
              <c:numCache>
                <c:formatCode>_(* #,##0_);_(* \(#,##0\);_(* "-"??_);_(@_)</c:formatCode>
                <c:ptCount val="24"/>
                <c:pt idx="0">
                  <c:v>3052.2856988832837</c:v>
                </c:pt>
                <c:pt idx="1">
                  <c:v>4066.8585562044118</c:v>
                </c:pt>
                <c:pt idx="2">
                  <c:v>5687.2255205154252</c:v>
                </c:pt>
                <c:pt idx="3">
                  <c:v>4871.5594080472574</c:v>
                </c:pt>
                <c:pt idx="4">
                  <c:v>4260.7618047507349</c:v>
                </c:pt>
                <c:pt idx="5">
                  <c:v>6042.764817621307</c:v>
                </c:pt>
                <c:pt idx="6">
                  <c:v>5961.1293542103658</c:v>
                </c:pt>
                <c:pt idx="7">
                  <c:v>6616.7329098112286</c:v>
                </c:pt>
                <c:pt idx="8">
                  <c:v>7642.4116841430741</c:v>
                </c:pt>
                <c:pt idx="9">
                  <c:v>8023.8485794306507</c:v>
                </c:pt>
                <c:pt idx="10">
                  <c:v>10189.302581632935</c:v>
                </c:pt>
                <c:pt idx="11">
                  <c:v>7132.9300841933937</c:v>
                </c:pt>
                <c:pt idx="12">
                  <c:v>10378.466905572745</c:v>
                </c:pt>
                <c:pt idx="13">
                  <c:v>10330.75373913351</c:v>
                </c:pt>
                <c:pt idx="14">
                  <c:v>9132.7127243967952</c:v>
                </c:pt>
                <c:pt idx="15">
                  <c:v>13438.762813164891</c:v>
                </c:pt>
                <c:pt idx="16">
                  <c:v>11516.913987580756</c:v>
                </c:pt>
                <c:pt idx="17">
                  <c:v>11916.402701481784</c:v>
                </c:pt>
                <c:pt idx="18">
                  <c:v>13195.704225544891</c:v>
                </c:pt>
                <c:pt idx="19">
                  <c:v>15084.5663312591</c:v>
                </c:pt>
                <c:pt idx="20">
                  <c:v>24352.02165571817</c:v>
                </c:pt>
                <c:pt idx="21">
                  <c:v>31064.06631338712</c:v>
                </c:pt>
                <c:pt idx="22">
                  <c:v>19234.474597945387</c:v>
                </c:pt>
                <c:pt idx="23">
                  <c:v>19830.006245034267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4-43EA-AA0C-29C20D0B18A5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harvest'!$Y$353:$Y$376</c:f>
                <c:numCache>
                  <c:formatCode>General</c:formatCode>
                  <c:ptCount val="24"/>
                  <c:pt idx="0">
                    <c:v>671.81709908827645</c:v>
                  </c:pt>
                  <c:pt idx="1">
                    <c:v>973.30296754682968</c:v>
                  </c:pt>
                  <c:pt idx="2">
                    <c:v>1456.8982421916462</c:v>
                  </c:pt>
                  <c:pt idx="3">
                    <c:v>1213.6355064591639</c:v>
                  </c:pt>
                  <c:pt idx="4">
                    <c:v>1606.6626033283114</c:v>
                  </c:pt>
                  <c:pt idx="5">
                    <c:v>1454.3315232420557</c:v>
                  </c:pt>
                  <c:pt idx="6">
                    <c:v>2121.8466881228474</c:v>
                  </c:pt>
                  <c:pt idx="7">
                    <c:v>2671.3778302346236</c:v>
                  </c:pt>
                  <c:pt idx="8">
                    <c:v>1639.0666101566378</c:v>
                  </c:pt>
                  <c:pt idx="9">
                    <c:v>2452.3546370975114</c:v>
                  </c:pt>
                  <c:pt idx="10">
                    <c:v>3748.1825928989288</c:v>
                  </c:pt>
                  <c:pt idx="11">
                    <c:v>2020.6923436491329</c:v>
                  </c:pt>
                  <c:pt idx="12">
                    <c:v>2194.4641793109067</c:v>
                  </c:pt>
                  <c:pt idx="13">
                    <c:v>2221.9575927722508</c:v>
                  </c:pt>
                  <c:pt idx="14">
                    <c:v>2446.4587149617737</c:v>
                  </c:pt>
                  <c:pt idx="15">
                    <c:v>2470.0687746582266</c:v>
                  </c:pt>
                  <c:pt idx="16">
                    <c:v>2813.3905380205078</c:v>
                  </c:pt>
                  <c:pt idx="17">
                    <c:v>6141.3234314931215</c:v>
                  </c:pt>
                  <c:pt idx="18">
                    <c:v>4272.5247472172869</c:v>
                  </c:pt>
                  <c:pt idx="19">
                    <c:v>4039.1105964834383</c:v>
                  </c:pt>
                  <c:pt idx="20">
                    <c:v>4949.7884385982243</c:v>
                  </c:pt>
                  <c:pt idx="21">
                    <c:v>6056.1605761441242</c:v>
                  </c:pt>
                  <c:pt idx="22">
                    <c:v>2129.4186083959803</c:v>
                  </c:pt>
                  <c:pt idx="23">
                    <c:v>1302.9001329986565</c:v>
                  </c:pt>
                </c:numCache>
              </c:numRef>
            </c:plus>
            <c:minus>
              <c:numRef>
                <c:f>'BRF harvest'!$Y$353:$Y$376</c:f>
                <c:numCache>
                  <c:formatCode>General</c:formatCode>
                  <c:ptCount val="24"/>
                  <c:pt idx="0">
                    <c:v>671.81709908827645</c:v>
                  </c:pt>
                  <c:pt idx="1">
                    <c:v>973.30296754682968</c:v>
                  </c:pt>
                  <c:pt idx="2">
                    <c:v>1456.8982421916462</c:v>
                  </c:pt>
                  <c:pt idx="3">
                    <c:v>1213.6355064591639</c:v>
                  </c:pt>
                  <c:pt idx="4">
                    <c:v>1606.6626033283114</c:v>
                  </c:pt>
                  <c:pt idx="5">
                    <c:v>1454.3315232420557</c:v>
                  </c:pt>
                  <c:pt idx="6">
                    <c:v>2121.8466881228474</c:v>
                  </c:pt>
                  <c:pt idx="7">
                    <c:v>2671.3778302346236</c:v>
                  </c:pt>
                  <c:pt idx="8">
                    <c:v>1639.0666101566378</c:v>
                  </c:pt>
                  <c:pt idx="9">
                    <c:v>2452.3546370975114</c:v>
                  </c:pt>
                  <c:pt idx="10">
                    <c:v>3748.1825928989288</c:v>
                  </c:pt>
                  <c:pt idx="11">
                    <c:v>2020.6923436491329</c:v>
                  </c:pt>
                  <c:pt idx="12">
                    <c:v>2194.4641793109067</c:v>
                  </c:pt>
                  <c:pt idx="13">
                    <c:v>2221.9575927722508</c:v>
                  </c:pt>
                  <c:pt idx="14">
                    <c:v>2446.4587149617737</c:v>
                  </c:pt>
                  <c:pt idx="15">
                    <c:v>2470.0687746582266</c:v>
                  </c:pt>
                  <c:pt idx="16">
                    <c:v>2813.3905380205078</c:v>
                  </c:pt>
                  <c:pt idx="17">
                    <c:v>6141.3234314931215</c:v>
                  </c:pt>
                  <c:pt idx="18">
                    <c:v>4272.5247472172869</c:v>
                  </c:pt>
                  <c:pt idx="19">
                    <c:v>4039.1105964834383</c:v>
                  </c:pt>
                  <c:pt idx="20">
                    <c:v>4949.7884385982243</c:v>
                  </c:pt>
                  <c:pt idx="21">
                    <c:v>6056.1605761441242</c:v>
                  </c:pt>
                  <c:pt idx="22">
                    <c:v>2129.4186083959803</c:v>
                  </c:pt>
                  <c:pt idx="23">
                    <c:v>1302.9001329986565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harvest'!$V$353:$V$376</c:f>
              <c:numCache>
                <c:formatCode>_(* #,##0_);_(* \(#,##0\);_(* "-"??_);_(@_)</c:formatCode>
                <c:ptCount val="24"/>
                <c:pt idx="0">
                  <c:v>2390.8323813353122</c:v>
                </c:pt>
                <c:pt idx="1">
                  <c:v>2923.2446881694618</c:v>
                </c:pt>
                <c:pt idx="2">
                  <c:v>4182.0128461283412</c:v>
                </c:pt>
                <c:pt idx="3">
                  <c:v>3570.2041663979758</c:v>
                </c:pt>
                <c:pt idx="4">
                  <c:v>5713.3965232358623</c:v>
                </c:pt>
                <c:pt idx="5">
                  <c:v>4822.9945145784895</c:v>
                </c:pt>
                <c:pt idx="6">
                  <c:v>7084.9063392254411</c:v>
                </c:pt>
                <c:pt idx="7">
                  <c:v>9123.2044032943159</c:v>
                </c:pt>
                <c:pt idx="8">
                  <c:v>7054.3156164025404</c:v>
                </c:pt>
                <c:pt idx="9">
                  <c:v>9451.4036474529166</c:v>
                </c:pt>
                <c:pt idx="10">
                  <c:v>16216.445896090258</c:v>
                </c:pt>
                <c:pt idx="11">
                  <c:v>8820.912730723081</c:v>
                </c:pt>
                <c:pt idx="12">
                  <c:v>10594.470819155009</c:v>
                </c:pt>
                <c:pt idx="13">
                  <c:v>11432.008772355892</c:v>
                </c:pt>
                <c:pt idx="14">
                  <c:v>14048.918638176565</c:v>
                </c:pt>
                <c:pt idx="15">
                  <c:v>15766.799257114304</c:v>
                </c:pt>
                <c:pt idx="16">
                  <c:v>16445.401669606108</c:v>
                </c:pt>
                <c:pt idx="17">
                  <c:v>22605.065662922541</c:v>
                </c:pt>
                <c:pt idx="18">
                  <c:v>19470.20343475249</c:v>
                </c:pt>
                <c:pt idx="19">
                  <c:v>21141.518353635885</c:v>
                </c:pt>
                <c:pt idx="20">
                  <c:v>31373.066871077182</c:v>
                </c:pt>
                <c:pt idx="21">
                  <c:v>28436.467670498958</c:v>
                </c:pt>
                <c:pt idx="22">
                  <c:v>15013.58393140593</c:v>
                </c:pt>
                <c:pt idx="23">
                  <c:v>30072.205736176547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4-43EA-AA0C-29C20D0B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harvest'!$L$3:$L$25</c:f>
              </c:numRef>
            </c:plus>
            <c:minus>
              <c:numRef>
                <c:f>'YE harvest'!$L$3:$L$25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harvest'!$I$3:$I$26</c:f>
            </c:numRef>
          </c:val>
          <c:smooth val="0"/>
          <c:extLst>
            <c:ext xmlns:c16="http://schemas.microsoft.com/office/drawing/2014/chart" uri="{C3380CC4-5D6E-409C-BE32-E72D297353CC}">
              <c16:uniqueId val="{00000000-9F16-48B0-801B-687E9CE6254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harvest'!$W$3:$W$26</c:f>
              </c:numRef>
            </c:plus>
            <c:minus>
              <c:numRef>
                <c:f>'YE harvest'!$W$3:$W$26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harvest'!$T$3:$T$26</c:f>
            </c:numRef>
          </c:val>
          <c:smooth val="0"/>
          <c:extLst>
            <c:ext xmlns:c16="http://schemas.microsoft.com/office/drawing/2014/chart" uri="{C3380CC4-5D6E-409C-BE32-E72D297353CC}">
              <c16:uniqueId val="{00000001-9F16-48B0-801B-687E9CE6254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harvest'!$AB$3:$AB$26</c:f>
              </c:numRef>
            </c:plus>
            <c:minus>
              <c:numRef>
                <c:f>'YE harvest'!$AB$3:$AB$26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harvest'!$Y$3:$Y$26</c:f>
            </c:numRef>
          </c:val>
          <c:smooth val="0"/>
          <c:extLst>
            <c:ext xmlns:c16="http://schemas.microsoft.com/office/drawing/2014/chart" uri="{C3380CC4-5D6E-409C-BE32-E72D297353CC}">
              <c16:uniqueId val="{00000002-9F16-48B0-801B-687E9CE6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harvest'!$L$28:$L$48</c:f>
              </c:numRef>
            </c:plus>
            <c:minus>
              <c:numRef>
                <c:f>'YE harvest'!$L$28:$L$48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harvest'!$I$28:$I$51</c:f>
            </c:numRef>
          </c:val>
          <c:smooth val="0"/>
          <c:extLst>
            <c:ext xmlns:c16="http://schemas.microsoft.com/office/drawing/2014/chart" uri="{C3380CC4-5D6E-409C-BE32-E72D297353CC}">
              <c16:uniqueId val="{00000000-291A-4F9E-AE27-68EC2497717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harvest'!$W$28:$W$51</c:f>
              </c:numRef>
            </c:plus>
            <c:minus>
              <c:numRef>
                <c:f>'YE harvest'!$W$28:$W$51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harvest'!$T$28:$T$51</c:f>
            </c:numRef>
          </c:val>
          <c:smooth val="0"/>
          <c:extLst>
            <c:ext xmlns:c16="http://schemas.microsoft.com/office/drawing/2014/chart" uri="{C3380CC4-5D6E-409C-BE32-E72D297353CC}">
              <c16:uniqueId val="{00000001-291A-4F9E-AE27-68EC2497717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harvest'!$AB$28:$AB$51</c:f>
              </c:numRef>
            </c:plus>
            <c:minus>
              <c:numRef>
                <c:f>'YE harvest'!$AB$28:$AB$51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harvest'!$Y$28:$Y$51</c:f>
            </c:numRef>
          </c:val>
          <c:smooth val="0"/>
          <c:extLst>
            <c:ext xmlns:c16="http://schemas.microsoft.com/office/drawing/2014/chart" uri="{C3380CC4-5D6E-409C-BE32-E72D297353CC}">
              <c16:uniqueId val="{00000002-291A-4F9E-AE27-68EC2497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harvest'!$L$53:$L$75</c:f>
              </c:numRef>
            </c:plus>
            <c:minus>
              <c:numRef>
                <c:f>'YE harvest'!$L$53:$L$75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harvest'!$I$53:$I$76</c:f>
            </c:numRef>
          </c:val>
          <c:smooth val="0"/>
          <c:extLst>
            <c:ext xmlns:c16="http://schemas.microsoft.com/office/drawing/2014/chart" uri="{C3380CC4-5D6E-409C-BE32-E72D297353CC}">
              <c16:uniqueId val="{00000000-1BC1-45CA-9CC1-1CE8491C5A9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harvest'!$W$53:$W$76</c:f>
              </c:numRef>
            </c:plus>
            <c:minus>
              <c:numRef>
                <c:f>'YE harvest'!$W$53:$W$76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harvest'!$T$53:$T$76</c:f>
            </c:numRef>
          </c:val>
          <c:smooth val="0"/>
          <c:extLst>
            <c:ext xmlns:c16="http://schemas.microsoft.com/office/drawing/2014/chart" uri="{C3380CC4-5D6E-409C-BE32-E72D297353CC}">
              <c16:uniqueId val="{00000001-1BC1-45CA-9CC1-1CE8491C5A9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harvest'!$AB$53:$AB$76</c:f>
              </c:numRef>
            </c:plus>
            <c:minus>
              <c:numRef>
                <c:f>'YE harvest'!$AB$53:$AB$76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harvest'!$Y$53:$Y$76</c:f>
            </c:numRef>
          </c:val>
          <c:smooth val="0"/>
          <c:extLst>
            <c:ext xmlns:c16="http://schemas.microsoft.com/office/drawing/2014/chart" uri="{C3380CC4-5D6E-409C-BE32-E72D297353CC}">
              <c16:uniqueId val="{00000002-1BC1-45CA-9CC1-1CE8491C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harvests'!$D$77:$D$101</c:f>
            </c:numRef>
          </c:val>
          <c:smooth val="0"/>
          <c:extLst>
            <c:ext xmlns:c16="http://schemas.microsoft.com/office/drawing/2014/chart" uri="{C3380CC4-5D6E-409C-BE32-E72D297353CC}">
              <c16:uniqueId val="{00000000-2AE5-43B4-A9F0-E0FF2E46C8D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harvests'!$N$77:$N$100</c:f>
              </c:numRef>
            </c:plus>
            <c:minus>
              <c:numRef>
                <c:f>'rockfish harvests'!$N$77:$N$100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harvests'!$O$77:$O$101</c:f>
            </c:numRef>
          </c:val>
          <c:smooth val="0"/>
          <c:extLst>
            <c:ext xmlns:c16="http://schemas.microsoft.com/office/drawing/2014/chart" uri="{C3380CC4-5D6E-409C-BE32-E72D297353CC}">
              <c16:uniqueId val="{00000001-2AE5-43B4-A9F0-E0FF2E46C8D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harvests'!$N$77:$N$100</c:f>
              </c:numRef>
            </c:plus>
            <c:minus>
              <c:numRef>
                <c:f>'rockfish harvests'!$N$77:$N$100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harvests'!$K$77:$K$101</c:f>
            </c:numRef>
          </c:val>
          <c:smooth val="0"/>
          <c:extLst>
            <c:ext xmlns:c16="http://schemas.microsoft.com/office/drawing/2014/chart" uri="{C3380CC4-5D6E-409C-BE32-E72D297353CC}">
              <c16:uniqueId val="{00000002-2AE5-43B4-A9F0-E0FF2E46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harvest'!$L$78:$L$100</c:f>
              </c:numRef>
            </c:plus>
            <c:minus>
              <c:numRef>
                <c:f>'YE harvest'!$L$78:$L$100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harvest'!$I$78:$I$101</c:f>
            </c:numRef>
          </c:val>
          <c:smooth val="0"/>
          <c:extLst>
            <c:ext xmlns:c16="http://schemas.microsoft.com/office/drawing/2014/chart" uri="{C3380CC4-5D6E-409C-BE32-E72D297353CC}">
              <c16:uniqueId val="{00000000-429B-4CD4-9CA7-C4476A36523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harvest'!$W$78:$W$101</c:f>
              </c:numRef>
            </c:plus>
            <c:minus>
              <c:numRef>
                <c:f>'YE harvest'!$W$78:$W$101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harvest'!$T$78:$T$101</c:f>
            </c:numRef>
          </c:val>
          <c:smooth val="0"/>
          <c:extLst>
            <c:ext xmlns:c16="http://schemas.microsoft.com/office/drawing/2014/chart" uri="{C3380CC4-5D6E-409C-BE32-E72D297353CC}">
              <c16:uniqueId val="{00000001-429B-4CD4-9CA7-C4476A36523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harvest'!$AB$78:$AB$101</c:f>
              </c:numRef>
            </c:plus>
            <c:minus>
              <c:numRef>
                <c:f>'YE harvest'!$AB$78:$AB$101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harvest'!$Y$78:$Y$101</c:f>
            </c:numRef>
          </c:val>
          <c:smooth val="0"/>
          <c:extLst>
            <c:ext xmlns:c16="http://schemas.microsoft.com/office/drawing/2014/chart" uri="{C3380CC4-5D6E-409C-BE32-E72D297353CC}">
              <c16:uniqueId val="{00000002-429B-4CD4-9CA7-C4476A36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harvest'!$L$103:$L$123</c:f>
              </c:numRef>
            </c:plus>
            <c:minus>
              <c:numRef>
                <c:f>'YE harvest'!$L$103:$L$123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harvest'!$I$103:$I$126</c:f>
            </c:numRef>
          </c:val>
          <c:smooth val="0"/>
          <c:extLst>
            <c:ext xmlns:c16="http://schemas.microsoft.com/office/drawing/2014/chart" uri="{C3380CC4-5D6E-409C-BE32-E72D297353CC}">
              <c16:uniqueId val="{00000000-6F3A-42B9-87BA-60EFCD66E4B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harvest'!$W$103:$W$126</c:f>
              </c:numRef>
            </c:plus>
            <c:minus>
              <c:numRef>
                <c:f>'YE harvest'!$W$103:$W$126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harvest'!$T$103:$T$126</c:f>
            </c:numRef>
          </c:val>
          <c:smooth val="0"/>
          <c:extLst>
            <c:ext xmlns:c16="http://schemas.microsoft.com/office/drawing/2014/chart" uri="{C3380CC4-5D6E-409C-BE32-E72D297353CC}">
              <c16:uniqueId val="{00000001-6F3A-42B9-87BA-60EFCD66E4B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harvest'!$AB$103:$AB$126</c:f>
              </c:numRef>
            </c:plus>
            <c:minus>
              <c:numRef>
                <c:f>'YE harvest'!$AB$103:$AB$126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harvest'!$Y$103:$Y$126</c:f>
            </c:numRef>
          </c:val>
          <c:smooth val="0"/>
          <c:extLst>
            <c:ext xmlns:c16="http://schemas.microsoft.com/office/drawing/2014/chart" uri="{C3380CC4-5D6E-409C-BE32-E72D297353CC}">
              <c16:uniqueId val="{00000002-6F3A-42B9-87BA-60EFCD66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harvest'!$L$128:$L$148</c:f>
              </c:numRef>
            </c:plus>
            <c:minus>
              <c:numRef>
                <c:f>'YE harvest'!$L$128:$L$148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harvest'!$I$128:$I$151</c:f>
            </c:numRef>
          </c:val>
          <c:smooth val="0"/>
          <c:extLst>
            <c:ext xmlns:c16="http://schemas.microsoft.com/office/drawing/2014/chart" uri="{C3380CC4-5D6E-409C-BE32-E72D297353CC}">
              <c16:uniqueId val="{00000000-8A9F-4EA4-AF81-64D4B15BBC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harvest'!$W$128:$W$151</c:f>
              </c:numRef>
            </c:plus>
            <c:minus>
              <c:numRef>
                <c:f>'YE harvest'!$W$128:$W$151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harvest'!$T$128:$T$151</c:f>
            </c:numRef>
          </c:val>
          <c:smooth val="0"/>
          <c:extLst>
            <c:ext xmlns:c16="http://schemas.microsoft.com/office/drawing/2014/chart" uri="{C3380CC4-5D6E-409C-BE32-E72D297353CC}">
              <c16:uniqueId val="{00000001-8A9F-4EA4-AF81-64D4B15BBC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harvest'!$AB$128:$AB$151</c:f>
              </c:numRef>
            </c:plus>
            <c:minus>
              <c:numRef>
                <c:f>'YE harvest'!$AB$128:$AB$151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harvest'!$Y$128:$Y$151</c:f>
            </c:numRef>
          </c:val>
          <c:smooth val="0"/>
          <c:extLst>
            <c:ext xmlns:c16="http://schemas.microsoft.com/office/drawing/2014/chart" uri="{C3380CC4-5D6E-409C-BE32-E72D297353CC}">
              <c16:uniqueId val="{00000002-8A9F-4EA4-AF81-64D4B15B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harvest'!$L$153:$L$175</c:f>
              </c:numRef>
            </c:plus>
            <c:minus>
              <c:numRef>
                <c:f>'YE harvest'!$L$153:$L$175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harvest'!$I$153:$I$176</c:f>
            </c:numRef>
          </c:val>
          <c:smooth val="0"/>
          <c:extLst>
            <c:ext xmlns:c16="http://schemas.microsoft.com/office/drawing/2014/chart" uri="{C3380CC4-5D6E-409C-BE32-E72D297353CC}">
              <c16:uniqueId val="{00000000-7A48-454E-905F-1CC0694319C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harvest'!$W$153:$W$176</c:f>
              </c:numRef>
            </c:plus>
            <c:minus>
              <c:numRef>
                <c:f>'YE harvest'!$W$153:$W$176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harvest'!$T$153:$T$176</c:f>
            </c:numRef>
          </c:val>
          <c:smooth val="0"/>
          <c:extLst>
            <c:ext xmlns:c16="http://schemas.microsoft.com/office/drawing/2014/chart" uri="{C3380CC4-5D6E-409C-BE32-E72D297353CC}">
              <c16:uniqueId val="{00000001-7A48-454E-905F-1CC0694319C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harvest'!$AB$153:$AB$176</c:f>
              </c:numRef>
            </c:plus>
            <c:minus>
              <c:numRef>
                <c:f>'YE harvest'!$AB$153:$AB$176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harvest'!$Y$153:$Y$176</c:f>
            </c:numRef>
          </c:val>
          <c:smooth val="0"/>
          <c:extLst>
            <c:ext xmlns:c16="http://schemas.microsoft.com/office/drawing/2014/chart" uri="{C3380CC4-5D6E-409C-BE32-E72D297353CC}">
              <c16:uniqueId val="{00000002-7A48-454E-905F-1CC06943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harvest'!$L$178:$L$198</c:f>
              </c:numRef>
            </c:plus>
            <c:minus>
              <c:numRef>
                <c:f>'YE harvest'!$L$178:$L$198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harvest'!$I$178:$I$201</c:f>
            </c:numRef>
          </c:val>
          <c:smooth val="0"/>
          <c:extLst>
            <c:ext xmlns:c16="http://schemas.microsoft.com/office/drawing/2014/chart" uri="{C3380CC4-5D6E-409C-BE32-E72D297353CC}">
              <c16:uniqueId val="{00000000-0DA1-4EF2-B5B4-470E7E75D68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harvest'!$W$178:$W$201</c:f>
              </c:numRef>
            </c:plus>
            <c:minus>
              <c:numRef>
                <c:f>'YE harvest'!$W$178:$W$201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harvest'!$T$178:$T$201</c:f>
            </c:numRef>
          </c:val>
          <c:smooth val="0"/>
          <c:extLst>
            <c:ext xmlns:c16="http://schemas.microsoft.com/office/drawing/2014/chart" uri="{C3380CC4-5D6E-409C-BE32-E72D297353CC}">
              <c16:uniqueId val="{00000001-0DA1-4EF2-B5B4-470E7E75D68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harvest'!$AB$178:$AB$201</c:f>
              </c:numRef>
            </c:plus>
            <c:minus>
              <c:numRef>
                <c:f>'YE harvest'!$AB$178:$AB$201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harvest'!$Y$178:$Y$201</c:f>
            </c:numRef>
          </c:val>
          <c:smooth val="0"/>
          <c:extLst>
            <c:ext xmlns:c16="http://schemas.microsoft.com/office/drawing/2014/chart" uri="{C3380CC4-5D6E-409C-BE32-E72D297353CC}">
              <c16:uniqueId val="{00000002-0DA1-4EF2-B5B4-470E7E75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harvest'!$L$203:$L$223</c:f>
              </c:numRef>
            </c:plus>
            <c:minus>
              <c:numRef>
                <c:f>'YE harvest'!$L$203:$L$223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harvest'!$I$203:$I$226</c:f>
            </c:numRef>
          </c:val>
          <c:smooth val="0"/>
          <c:extLst>
            <c:ext xmlns:c16="http://schemas.microsoft.com/office/drawing/2014/chart" uri="{C3380CC4-5D6E-409C-BE32-E72D297353CC}">
              <c16:uniqueId val="{00000000-E5C1-46E8-9162-C55784E17C6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harvest'!$W$203:$W$226</c:f>
              </c:numRef>
            </c:plus>
            <c:minus>
              <c:numRef>
                <c:f>'YE harvest'!$W$203:$W$226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harvest'!$T$203:$T$226</c:f>
            </c:numRef>
          </c:val>
          <c:smooth val="0"/>
          <c:extLst>
            <c:ext xmlns:c16="http://schemas.microsoft.com/office/drawing/2014/chart" uri="{C3380CC4-5D6E-409C-BE32-E72D297353CC}">
              <c16:uniqueId val="{00000001-E5C1-46E8-9162-C55784E17C6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harvest'!$AB$203:$AB$226</c:f>
              </c:numRef>
            </c:plus>
            <c:minus>
              <c:numRef>
                <c:f>'YE harvest'!$AB$203:$AB$226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harvest'!$Y$203:$Y$226</c:f>
            </c:numRef>
          </c:val>
          <c:smooth val="0"/>
          <c:extLst>
            <c:ext xmlns:c16="http://schemas.microsoft.com/office/drawing/2014/chart" uri="{C3380CC4-5D6E-409C-BE32-E72D297353CC}">
              <c16:uniqueId val="{00000002-E5C1-46E8-9162-C55784E1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harvest'!$L$228:$L$248</c:f>
              </c:numRef>
            </c:plus>
            <c:minus>
              <c:numRef>
                <c:f>'YE harvest'!$L$228:$L$248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harvest'!$I$228:$I$251</c:f>
            </c:numRef>
          </c:val>
          <c:smooth val="0"/>
          <c:extLst>
            <c:ext xmlns:c16="http://schemas.microsoft.com/office/drawing/2014/chart" uri="{C3380CC4-5D6E-409C-BE32-E72D297353CC}">
              <c16:uniqueId val="{00000000-C42C-4FE8-9EDD-3DF1DFACEEA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harvest'!$W$228:$W$251</c:f>
              </c:numRef>
            </c:plus>
            <c:minus>
              <c:numRef>
                <c:f>'YE harvest'!$W$228:$W$251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harvest'!$T$228:$T$251</c:f>
            </c:numRef>
          </c:val>
          <c:smooth val="0"/>
          <c:extLst>
            <c:ext xmlns:c16="http://schemas.microsoft.com/office/drawing/2014/chart" uri="{C3380CC4-5D6E-409C-BE32-E72D297353CC}">
              <c16:uniqueId val="{00000001-C42C-4FE8-9EDD-3DF1DFACEEA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harvest'!$AB$228:$AB$251</c:f>
              </c:numRef>
            </c:plus>
            <c:minus>
              <c:numRef>
                <c:f>'YE harvest'!$AB$228:$AB$251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harvest'!$Y$228:$Y$251</c:f>
            </c:numRef>
          </c:val>
          <c:smooth val="0"/>
          <c:extLst>
            <c:ext xmlns:c16="http://schemas.microsoft.com/office/drawing/2014/chart" uri="{C3380CC4-5D6E-409C-BE32-E72D297353CC}">
              <c16:uniqueId val="{00000002-C42C-4FE8-9EDD-3DF1DFAC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harvest'!$L$253:$L$273</c:f>
              </c:numRef>
            </c:plus>
            <c:minus>
              <c:numRef>
                <c:f>'YE harvest'!$L$253:$L$273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harvest'!$I$253:$I$276</c:f>
            </c:numRef>
          </c:val>
          <c:smooth val="0"/>
          <c:extLst>
            <c:ext xmlns:c16="http://schemas.microsoft.com/office/drawing/2014/chart" uri="{C3380CC4-5D6E-409C-BE32-E72D297353CC}">
              <c16:uniqueId val="{00000000-6FBC-4732-8E69-FB22F07FF96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harvest'!$W$253:$W$276</c:f>
              </c:numRef>
            </c:plus>
            <c:minus>
              <c:numRef>
                <c:f>'YE harvest'!$W$253:$W$276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harvest'!$T$253:$T$276</c:f>
            </c:numRef>
          </c:val>
          <c:smooth val="0"/>
          <c:extLst>
            <c:ext xmlns:c16="http://schemas.microsoft.com/office/drawing/2014/chart" uri="{C3380CC4-5D6E-409C-BE32-E72D297353CC}">
              <c16:uniqueId val="{00000001-6FBC-4732-8E69-FB22F07FF96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harvest'!$AB$253:$AB$276</c:f>
              </c:numRef>
            </c:plus>
            <c:minus>
              <c:numRef>
                <c:f>'YE harvest'!$AB$253:$AB$276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harvest'!$Y$253:$Y$276</c:f>
            </c:numRef>
          </c:val>
          <c:smooth val="0"/>
          <c:extLst>
            <c:ext xmlns:c16="http://schemas.microsoft.com/office/drawing/2014/chart" uri="{C3380CC4-5D6E-409C-BE32-E72D297353CC}">
              <c16:uniqueId val="{00000002-6FBC-4732-8E69-FB22F07F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harvest'!$L$278:$L$298</c:f>
              </c:numRef>
            </c:plus>
            <c:minus>
              <c:numRef>
                <c:f>'YE harvest'!$L$278:$L$298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harvest'!$I$278:$I$301</c:f>
            </c:numRef>
          </c:val>
          <c:smooth val="0"/>
          <c:extLst>
            <c:ext xmlns:c16="http://schemas.microsoft.com/office/drawing/2014/chart" uri="{C3380CC4-5D6E-409C-BE32-E72D297353CC}">
              <c16:uniqueId val="{00000000-E858-44FB-8F67-916CBA6E4BA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harvest'!$W$278:$W$301</c:f>
              </c:numRef>
            </c:plus>
            <c:minus>
              <c:numRef>
                <c:f>'YE harvest'!$W$278:$W$301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harvest'!$T$278:$T$300</c:f>
            </c:numRef>
          </c:val>
          <c:smooth val="0"/>
          <c:extLst>
            <c:ext xmlns:c16="http://schemas.microsoft.com/office/drawing/2014/chart" uri="{C3380CC4-5D6E-409C-BE32-E72D297353CC}">
              <c16:uniqueId val="{00000001-E858-44FB-8F67-916CBA6E4BA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harvest'!$AB$278:$AB$301</c:f>
              </c:numRef>
            </c:plus>
            <c:minus>
              <c:numRef>
                <c:f>'YE harvest'!$AB$278:$AB$301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harvest'!$Y$278:$Y$301</c:f>
            </c:numRef>
          </c:val>
          <c:smooth val="0"/>
          <c:extLst>
            <c:ext xmlns:c16="http://schemas.microsoft.com/office/drawing/2014/chart" uri="{C3380CC4-5D6E-409C-BE32-E72D297353CC}">
              <c16:uniqueId val="{00000002-E858-44FB-8F67-916CBA6E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harvest'!$L$303:$L$323</c:f>
              </c:numRef>
            </c:plus>
            <c:minus>
              <c:numRef>
                <c:f>'YE harvest'!$L$303:$L$323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harvest'!$I$303:$I$326</c:f>
            </c:numRef>
          </c:val>
          <c:smooth val="0"/>
          <c:extLst>
            <c:ext xmlns:c16="http://schemas.microsoft.com/office/drawing/2014/chart" uri="{C3380CC4-5D6E-409C-BE32-E72D297353CC}">
              <c16:uniqueId val="{00000000-3B02-4F8B-8342-7A0D0F8BF36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harvest'!$W$303:$W$326</c:f>
              </c:numRef>
            </c:plus>
            <c:minus>
              <c:numRef>
                <c:f>'YE harvest'!$W$303:$W$326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harvest'!$T$303:$T$326</c:f>
            </c:numRef>
          </c:val>
          <c:smooth val="0"/>
          <c:extLst>
            <c:ext xmlns:c16="http://schemas.microsoft.com/office/drawing/2014/chart" uri="{C3380CC4-5D6E-409C-BE32-E72D297353CC}">
              <c16:uniqueId val="{00000001-3B02-4F8B-8342-7A0D0F8BF36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harvest'!$AB$303:$AB$326</c:f>
              </c:numRef>
            </c:plus>
            <c:minus>
              <c:numRef>
                <c:f>'YE harvest'!$AB$303:$AB$326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harvest'!$Y$303:$Y$326</c:f>
            </c:numRef>
          </c:val>
          <c:smooth val="0"/>
          <c:extLst>
            <c:ext xmlns:c16="http://schemas.microsoft.com/office/drawing/2014/chart" uri="{C3380CC4-5D6E-409C-BE32-E72D297353CC}">
              <c16:uniqueId val="{00000002-3B02-4F8B-8342-7A0D0F8B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harvests'!$D$102:$D$126</c:f>
            </c:numRef>
          </c:val>
          <c:smooth val="0"/>
          <c:extLst>
            <c:ext xmlns:c16="http://schemas.microsoft.com/office/drawing/2014/chart" uri="{C3380CC4-5D6E-409C-BE32-E72D297353CC}">
              <c16:uniqueId val="{00000000-BC22-4D69-A2CD-D0F37A805D1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harvests'!$N$102:$N$125</c:f>
              </c:numRef>
            </c:plus>
            <c:minus>
              <c:numRef>
                <c:f>'rockfish harvests'!$N$102:$N$125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harvests'!$O$102:$O$126</c:f>
            </c:numRef>
          </c:val>
          <c:smooth val="0"/>
          <c:extLst>
            <c:ext xmlns:c16="http://schemas.microsoft.com/office/drawing/2014/chart" uri="{C3380CC4-5D6E-409C-BE32-E72D297353CC}">
              <c16:uniqueId val="{00000001-BC22-4D69-A2CD-D0F37A805D1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harvests'!$N$102:$N$125</c:f>
              </c:numRef>
            </c:plus>
            <c:minus>
              <c:numRef>
                <c:f>'rockfish harvests'!$N$102:$N$125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harvests'!$K$102:$K$126</c:f>
            </c:numRef>
          </c:val>
          <c:smooth val="0"/>
          <c:extLst>
            <c:ext xmlns:c16="http://schemas.microsoft.com/office/drawing/2014/chart" uri="{C3380CC4-5D6E-409C-BE32-E72D297353CC}">
              <c16:uniqueId val="{00000002-BC22-4D69-A2CD-D0F37A80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harvest'!$L$328:$L$348</c:f>
              </c:numRef>
            </c:plus>
            <c:minus>
              <c:numRef>
                <c:f>'YE harvest'!$L$328:$L$348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harvest'!$I$328:$I$351</c:f>
            </c:numRef>
          </c:val>
          <c:smooth val="0"/>
          <c:extLst>
            <c:ext xmlns:c16="http://schemas.microsoft.com/office/drawing/2014/chart" uri="{C3380CC4-5D6E-409C-BE32-E72D297353CC}">
              <c16:uniqueId val="{00000000-4BC1-4A10-B6F2-C898B50D98E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harvest'!$W$328:$W$351</c:f>
              </c:numRef>
            </c:plus>
            <c:minus>
              <c:numRef>
                <c:f>'YE harvest'!$W$328:$W$351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harvest'!$T$328:$T$351</c:f>
            </c:numRef>
          </c:val>
          <c:smooth val="0"/>
          <c:extLst>
            <c:ext xmlns:c16="http://schemas.microsoft.com/office/drawing/2014/chart" uri="{C3380CC4-5D6E-409C-BE32-E72D297353CC}">
              <c16:uniqueId val="{00000001-4BC1-4A10-B6F2-C898B50D98E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harvest'!$AB$328:$AB$351</c:f>
              </c:numRef>
            </c:plus>
            <c:minus>
              <c:numRef>
                <c:f>'YE harvest'!$AB$328:$AB$351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harvest'!$Y$328:$Y$351</c:f>
            </c:numRef>
          </c:val>
          <c:smooth val="0"/>
          <c:extLst>
            <c:ext xmlns:c16="http://schemas.microsoft.com/office/drawing/2014/chart" uri="{C3380CC4-5D6E-409C-BE32-E72D297353CC}">
              <c16:uniqueId val="{00000002-4BC1-4A10-B6F2-C898B50D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harvest'!$L$353:$L$373</c:f>
                <c:numCache>
                  <c:formatCode>General</c:formatCode>
                  <c:ptCount val="21"/>
                  <c:pt idx="0">
                    <c:v>364.37657213558413</c:v>
                  </c:pt>
                  <c:pt idx="1">
                    <c:v>644.58490532168332</c:v>
                  </c:pt>
                  <c:pt idx="2">
                    <c:v>1006.6352195968545</c:v>
                  </c:pt>
                  <c:pt idx="3">
                    <c:v>819.90015680189197</c:v>
                  </c:pt>
                  <c:pt idx="4">
                    <c:v>872.34669765483727</c:v>
                  </c:pt>
                  <c:pt idx="5">
                    <c:v>864.94496809897794</c:v>
                  </c:pt>
                  <c:pt idx="6">
                    <c:v>1251.5267289021399</c:v>
                  </c:pt>
                  <c:pt idx="7">
                    <c:v>1531.7350620882391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harvest'!$L$353:$L$373</c:f>
                <c:numCache>
                  <c:formatCode>General</c:formatCode>
                  <c:ptCount val="21"/>
                  <c:pt idx="0">
                    <c:v>364.37657213558413</c:v>
                  </c:pt>
                  <c:pt idx="1">
                    <c:v>644.58490532168332</c:v>
                  </c:pt>
                  <c:pt idx="2">
                    <c:v>1006.6352195968545</c:v>
                  </c:pt>
                  <c:pt idx="3">
                    <c:v>819.90015680189197</c:v>
                  </c:pt>
                  <c:pt idx="4">
                    <c:v>872.34669765483727</c:v>
                  </c:pt>
                  <c:pt idx="5">
                    <c:v>864.94496809897794</c:v>
                  </c:pt>
                  <c:pt idx="6">
                    <c:v>1251.5267289021399</c:v>
                  </c:pt>
                  <c:pt idx="7">
                    <c:v>1531.7350620882391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harvest'!$I$353:$I$376</c:f>
              <c:numCache>
                <c:formatCode>_(* #,##0_);_(* \(#,##0\);_(* "-"??_);_(@_)</c:formatCode>
                <c:ptCount val="24"/>
                <c:pt idx="0">
                  <c:v>616.66460842399999</c:v>
                </c:pt>
                <c:pt idx="1">
                  <c:v>1090.8843450239999</c:v>
                </c:pt>
                <c:pt idx="2">
                  <c:v>1703.61203488</c:v>
                </c:pt>
                <c:pt idx="3">
                  <c:v>1387.5848443760001</c:v>
                </c:pt>
                <c:pt idx="4">
                  <c:v>1476.3444629999999</c:v>
                </c:pt>
                <c:pt idx="5">
                  <c:v>1463.8179039199999</c:v>
                </c:pt>
                <c:pt idx="6">
                  <c:v>2118.062189584</c:v>
                </c:pt>
                <c:pt idx="7">
                  <c:v>2592.281926184</c:v>
                </c:pt>
                <c:pt idx="8">
                  <c:v>4257</c:v>
                </c:pt>
                <c:pt idx="9">
                  <c:v>3554</c:v>
                </c:pt>
                <c:pt idx="10">
                  <c:v>3418</c:v>
                </c:pt>
                <c:pt idx="11">
                  <c:v>1788</c:v>
                </c:pt>
                <c:pt idx="12">
                  <c:v>2393</c:v>
                </c:pt>
                <c:pt idx="13">
                  <c:v>1424</c:v>
                </c:pt>
                <c:pt idx="14">
                  <c:v>1749</c:v>
                </c:pt>
                <c:pt idx="15">
                  <c:v>1811</c:v>
                </c:pt>
                <c:pt idx="16">
                  <c:v>1522</c:v>
                </c:pt>
                <c:pt idx="17">
                  <c:v>1419</c:v>
                </c:pt>
                <c:pt idx="18">
                  <c:v>1399</c:v>
                </c:pt>
                <c:pt idx="19">
                  <c:v>1924</c:v>
                </c:pt>
                <c:pt idx="20">
                  <c:v>1795</c:v>
                </c:pt>
                <c:pt idx="21">
                  <c:v>1727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5-42D0-AB7B-1E98B4CAD6D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harvest'!$W$353:$W$376</c:f>
                <c:numCache>
                  <c:formatCode>General</c:formatCode>
                  <c:ptCount val="24"/>
                  <c:pt idx="0">
                    <c:v>188.59129182899656</c:v>
                  </c:pt>
                  <c:pt idx="1">
                    <c:v>273.32414539486592</c:v>
                  </c:pt>
                  <c:pt idx="2">
                    <c:v>409.15724538096265</c:v>
                  </c:pt>
                  <c:pt idx="3">
                    <c:v>340.8262090322462</c:v>
                  </c:pt>
                  <c:pt idx="4">
                    <c:v>451.02036730344315</c:v>
                  </c:pt>
                  <c:pt idx="5">
                    <c:v>408.32827266962641</c:v>
                  </c:pt>
                  <c:pt idx="6">
                    <c:v>595.73531776814252</c:v>
                  </c:pt>
                  <c:pt idx="7">
                    <c:v>749.98345441320862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  <c:pt idx="21">
                    <c:v>2615.6183255355077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harvest'!$W$353:$W$376</c:f>
                <c:numCache>
                  <c:formatCode>General</c:formatCode>
                  <c:ptCount val="24"/>
                  <c:pt idx="0">
                    <c:v>188.59129182899656</c:v>
                  </c:pt>
                  <c:pt idx="1">
                    <c:v>273.32414539486592</c:v>
                  </c:pt>
                  <c:pt idx="2">
                    <c:v>409.15724538096265</c:v>
                  </c:pt>
                  <c:pt idx="3">
                    <c:v>340.8262090322462</c:v>
                  </c:pt>
                  <c:pt idx="4">
                    <c:v>451.02036730344315</c:v>
                  </c:pt>
                  <c:pt idx="5">
                    <c:v>408.32827266962641</c:v>
                  </c:pt>
                  <c:pt idx="6">
                    <c:v>595.73531776814252</c:v>
                  </c:pt>
                  <c:pt idx="7">
                    <c:v>749.98345441320862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  <c:pt idx="21">
                    <c:v>2615.6183255355077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harvest'!$T$353:$T$376</c:f>
              <c:numCache>
                <c:formatCode>_(* #,##0_);_(* \(#,##0\);_(* "-"??_);_(@_)</c:formatCode>
                <c:ptCount val="24"/>
                <c:pt idx="0">
                  <c:v>225.36098818495751</c:v>
                </c:pt>
                <c:pt idx="1">
                  <c:v>326.61422965832452</c:v>
                </c:pt>
                <c:pt idx="2">
                  <c:v>488.93074673722333</c:v>
                </c:pt>
                <c:pt idx="3">
                  <c:v>407.27718932264213</c:v>
                </c:pt>
                <c:pt idx="4">
                  <c:v>538.9559331255324</c:v>
                </c:pt>
                <c:pt idx="5">
                  <c:v>487.9401489869598</c:v>
                </c:pt>
                <c:pt idx="6">
                  <c:v>711.88599752868345</c:v>
                </c:pt>
                <c:pt idx="7">
                  <c:v>896.20793605986523</c:v>
                </c:pt>
                <c:pt idx="8">
                  <c:v>1197.9226157276132</c:v>
                </c:pt>
                <c:pt idx="9">
                  <c:v>879.06592669749523</c:v>
                </c:pt>
                <c:pt idx="10">
                  <c:v>1083.5139761225071</c:v>
                </c:pt>
                <c:pt idx="11">
                  <c:v>564.58158052697991</c:v>
                </c:pt>
                <c:pt idx="12">
                  <c:v>1114.1100554541044</c:v>
                </c:pt>
                <c:pt idx="13">
                  <c:v>667.29867674562706</c:v>
                </c:pt>
                <c:pt idx="14">
                  <c:v>1001.5950075531853</c:v>
                </c:pt>
                <c:pt idx="15">
                  <c:v>1055.9837745270725</c:v>
                </c:pt>
                <c:pt idx="16">
                  <c:v>627.81346858945562</c:v>
                </c:pt>
                <c:pt idx="17">
                  <c:v>1440.3397573578115</c:v>
                </c:pt>
                <c:pt idx="18">
                  <c:v>1606.0123283476919</c:v>
                </c:pt>
                <c:pt idx="19">
                  <c:v>762.07678772711085</c:v>
                </c:pt>
                <c:pt idx="20">
                  <c:v>1939.235546151782</c:v>
                </c:pt>
                <c:pt idx="21">
                  <c:v>4007.8680560534044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5-42D0-AB7B-1E98B4CAD6D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harvest'!$AB$353:$AB$376</c:f>
                <c:numCache>
                  <c:formatCode>General</c:formatCode>
                  <c:ptCount val="24"/>
                  <c:pt idx="0">
                    <c:v>410.28887588503818</c:v>
                  </c:pt>
                  <c:pt idx="1">
                    <c:v>700.13983505039721</c:v>
                  </c:pt>
                  <c:pt idx="2">
                    <c:v>1086.6112997666391</c:v>
                  </c:pt>
                  <c:pt idx="3">
                    <c:v>887.9182236484728</c:v>
                  </c:pt>
                  <c:pt idx="4">
                    <c:v>982.04283645461862</c:v>
                  </c:pt>
                  <c:pt idx="5">
                    <c:v>956.4840699672435</c:v>
                  </c:pt>
                  <c:pt idx="6">
                    <c:v>1386.0807054399104</c:v>
                  </c:pt>
                  <c:pt idx="7">
                    <c:v>1705.4874617903326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  <c:pt idx="21">
                    <c:v>2615.6183255355077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harvest'!$AB$353:$AB$376</c:f>
                <c:numCache>
                  <c:formatCode>General</c:formatCode>
                  <c:ptCount val="24"/>
                  <c:pt idx="0">
                    <c:v>410.28887588503818</c:v>
                  </c:pt>
                  <c:pt idx="1">
                    <c:v>700.13983505039721</c:v>
                  </c:pt>
                  <c:pt idx="2">
                    <c:v>1086.6112997666391</c:v>
                  </c:pt>
                  <c:pt idx="3">
                    <c:v>887.9182236484728</c:v>
                  </c:pt>
                  <c:pt idx="4">
                    <c:v>982.04283645461862</c:v>
                  </c:pt>
                  <c:pt idx="5">
                    <c:v>956.4840699672435</c:v>
                  </c:pt>
                  <c:pt idx="6">
                    <c:v>1386.0807054399104</c:v>
                  </c:pt>
                  <c:pt idx="7">
                    <c:v>1705.4874617903326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  <c:pt idx="21">
                    <c:v>2615.6183255355077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harvest'!$Y$353:$Y$376</c:f>
              <c:numCache>
                <c:formatCode>_(* #,##0_);_(* \(#,##0\);_(* "-"??_);_(@_)</c:formatCode>
                <c:ptCount val="24"/>
                <c:pt idx="0">
                  <c:v>842.02559660895747</c:v>
                </c:pt>
                <c:pt idx="1">
                  <c:v>1417.4985746823245</c:v>
                </c:pt>
                <c:pt idx="2">
                  <c:v>2192.5427816172232</c:v>
                </c:pt>
                <c:pt idx="3">
                  <c:v>1794.8620336986423</c:v>
                </c:pt>
                <c:pt idx="4">
                  <c:v>2015.3003961255322</c:v>
                </c:pt>
                <c:pt idx="5">
                  <c:v>1951.7580529069596</c:v>
                </c:pt>
                <c:pt idx="6">
                  <c:v>2829.9481871126836</c:v>
                </c:pt>
                <c:pt idx="7">
                  <c:v>3488.489862243865</c:v>
                </c:pt>
                <c:pt idx="8">
                  <c:v>5454.9226157276134</c:v>
                </c:pt>
                <c:pt idx="9">
                  <c:v>4433.0659266974953</c:v>
                </c:pt>
                <c:pt idx="10">
                  <c:v>4501.5139761225073</c:v>
                </c:pt>
                <c:pt idx="11">
                  <c:v>2352.5815805269799</c:v>
                </c:pt>
                <c:pt idx="12">
                  <c:v>3507.1100554541044</c:v>
                </c:pt>
                <c:pt idx="13">
                  <c:v>2091.2986767456268</c:v>
                </c:pt>
                <c:pt idx="14">
                  <c:v>2750.5950075531855</c:v>
                </c:pt>
                <c:pt idx="15">
                  <c:v>2866.9837745270725</c:v>
                </c:pt>
                <c:pt idx="16">
                  <c:v>2149.8134685894556</c:v>
                </c:pt>
                <c:pt idx="17">
                  <c:v>2859.3397573578113</c:v>
                </c:pt>
                <c:pt idx="18">
                  <c:v>3005.0123283476919</c:v>
                </c:pt>
                <c:pt idx="19">
                  <c:v>2686.076787727111</c:v>
                </c:pt>
                <c:pt idx="20">
                  <c:v>3734.2355461517818</c:v>
                </c:pt>
                <c:pt idx="21">
                  <c:v>5734.8680560534049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5-42D0-AB7B-1E98B4CA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harvest'!$AB$3:$AB$26</c:f>
              </c:numRef>
            </c:plus>
            <c:minus>
              <c:numRef>
                <c:f>'YE harvest'!$AB$3:$AB$26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harvest'!$Y$3:$Y$26</c:f>
            </c:numRef>
          </c:val>
          <c:smooth val="0"/>
          <c:extLst>
            <c:ext xmlns:c16="http://schemas.microsoft.com/office/drawing/2014/chart" uri="{C3380CC4-5D6E-409C-BE32-E72D297353CC}">
              <c16:uniqueId val="{00000000-A639-4724-9A4A-421733F8CCC5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harvest'!$AB$28:$AB$51</c:f>
              </c:numRef>
            </c:plus>
            <c:minus>
              <c:numRef>
                <c:f>'YE harvest'!$AB$28:$AB$51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harvest'!$Y$28:$Y$51</c:f>
            </c:numRef>
          </c:val>
          <c:smooth val="0"/>
          <c:extLst>
            <c:ext xmlns:c16="http://schemas.microsoft.com/office/drawing/2014/chart" uri="{C3380CC4-5D6E-409C-BE32-E72D297353CC}">
              <c16:uniqueId val="{00000001-A639-4724-9A4A-421733F8CCC5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harvest'!$AB$53:$AB$76</c:f>
              </c:numRef>
            </c:plus>
            <c:minus>
              <c:numRef>
                <c:f>'YE harvest'!$AB$53:$AB$76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harvest'!$Y$53:$Y$76</c:f>
            </c:numRef>
          </c:val>
          <c:smooth val="0"/>
          <c:extLst>
            <c:ext xmlns:c16="http://schemas.microsoft.com/office/drawing/2014/chart" uri="{C3380CC4-5D6E-409C-BE32-E72D297353CC}">
              <c16:uniqueId val="{00000002-A639-4724-9A4A-421733F8CCC5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harvest'!$AB$103:$AB$126</c:f>
              </c:numRef>
            </c:plus>
            <c:minus>
              <c:numRef>
                <c:f>'YE harvest'!$AB$103:$AB$126</c:f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harvest'!$Y$103:$Y$126</c:f>
            </c:numRef>
          </c:val>
          <c:smooth val="0"/>
          <c:extLst>
            <c:ext xmlns:c16="http://schemas.microsoft.com/office/drawing/2014/chart" uri="{C3380CC4-5D6E-409C-BE32-E72D297353CC}">
              <c16:uniqueId val="{0000000D-A639-4724-9A4A-421733F8CCC5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harvest'!$AB$153:$AB$176</c:f>
              </c:numRef>
            </c:plus>
            <c:minus>
              <c:numRef>
                <c:f>'YE harvest'!$AB$153:$AB$176</c:f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harvest'!$Y$153:$Y$176</c:f>
            </c:numRef>
          </c:val>
          <c:smooth val="0"/>
          <c:extLst>
            <c:ext xmlns:c16="http://schemas.microsoft.com/office/drawing/2014/chart" uri="{C3380CC4-5D6E-409C-BE32-E72D297353CC}">
              <c16:uniqueId val="{0000000E-A639-4724-9A4A-421733F8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harvest'!$AB$128:$AB$151</c:f>
              </c:numRef>
            </c:plus>
            <c:minus>
              <c:numRef>
                <c:f>'YE harvest'!$AB$128:$AB$151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harvest'!$Y$128:$Y$151</c:f>
            </c:numRef>
          </c:val>
          <c:smooth val="0"/>
          <c:extLst>
            <c:ext xmlns:c16="http://schemas.microsoft.com/office/drawing/2014/chart" uri="{C3380CC4-5D6E-409C-BE32-E72D297353CC}">
              <c16:uniqueId val="{00000000-9401-4D4C-BD0A-DB0BB95FDDB4}"/>
            </c:ext>
          </c:extLst>
        </c:ser>
        <c:ser>
          <c:idx val="1"/>
          <c:order val="1"/>
          <c:tx>
            <c:v>PWSO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harvest'!$AB$203:$AB$226</c:f>
              </c:numRef>
            </c:plus>
            <c:minus>
              <c:numRef>
                <c:f>'YE harvest'!$AB$203:$AB$226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harvest'!$Y$203:$Y$226</c:f>
            </c:numRef>
          </c:val>
          <c:smooth val="0"/>
          <c:extLst>
            <c:ext xmlns:c16="http://schemas.microsoft.com/office/drawing/2014/chart" uri="{C3380CC4-5D6E-409C-BE32-E72D297353CC}">
              <c16:uniqueId val="{00000001-9401-4D4C-BD0A-DB0BB95FDDB4}"/>
            </c:ext>
          </c:extLst>
        </c:ser>
        <c:ser>
          <c:idx val="2"/>
          <c:order val="2"/>
          <c:tx>
            <c:v>CI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harvest'!$AB$78:$AB$101</c:f>
              </c:numRef>
            </c:plus>
            <c:minus>
              <c:numRef>
                <c:f>'YE harvest'!$AB$78:$AB$101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harvest'!$Y$78:$Y$101</c:f>
            </c:numRef>
          </c:val>
          <c:smooth val="0"/>
          <c:extLst>
            <c:ext xmlns:c16="http://schemas.microsoft.com/office/drawing/2014/chart" uri="{C3380CC4-5D6E-409C-BE32-E72D297353CC}">
              <c16:uniqueId val="{00000002-9401-4D4C-BD0A-DB0BB95FDDB4}"/>
            </c:ext>
          </c:extLst>
        </c:ser>
        <c:ser>
          <c:idx val="3"/>
          <c:order val="3"/>
          <c:tx>
            <c:v>PWSI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harvest'!$AB$178:$AB$201</c:f>
              </c:numRef>
            </c:plus>
            <c:minus>
              <c:numRef>
                <c:f>'YE harvest'!$AB$178:$AB$201</c:f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harvest'!$Y$178:$Y$201</c:f>
            </c:numRef>
          </c:val>
          <c:smooth val="0"/>
          <c:extLst>
            <c:ext xmlns:c16="http://schemas.microsoft.com/office/drawing/2014/chart" uri="{C3380CC4-5D6E-409C-BE32-E72D297353CC}">
              <c16:uniqueId val="{00000003-9401-4D4C-BD0A-DB0BB95F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NSEI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harvest'!$AB$278:$AB$301</c:f>
              </c:numRef>
            </c:plus>
            <c:minus>
              <c:numRef>
                <c:f>'YE harvest'!$AB$278:$AB$301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harvest'!$Y$278:$Y$301</c:f>
            </c:numRef>
          </c:val>
          <c:smooth val="0"/>
          <c:extLst>
            <c:ext xmlns:c16="http://schemas.microsoft.com/office/drawing/2014/chart" uri="{C3380CC4-5D6E-409C-BE32-E72D297353CC}">
              <c16:uniqueId val="{00000000-1AD1-47EB-B4B4-13F19725A064}"/>
            </c:ext>
          </c:extLst>
        </c:ser>
        <c:ser>
          <c:idx val="1"/>
          <c:order val="1"/>
          <c:tx>
            <c:v>CSEO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harvest'!$AB$228:$AB$251</c:f>
              </c:numRef>
            </c:plus>
            <c:minus>
              <c:numRef>
                <c:f>'YE harvest'!$AB$228:$AB$251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harvest'!$Y$228:$Y$251</c:f>
            </c:numRef>
          </c:val>
          <c:smooth val="0"/>
          <c:extLst>
            <c:ext xmlns:c16="http://schemas.microsoft.com/office/drawing/2014/chart" uri="{C3380CC4-5D6E-409C-BE32-E72D297353CC}">
              <c16:uniqueId val="{00000001-1AD1-47EB-B4B4-13F19725A064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harvest'!$AB$253:$AB$276</c:f>
              </c:numRef>
            </c:plus>
            <c:minus>
              <c:numRef>
                <c:f>'YE harvest'!$AB$253:$AB$276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harvest'!$Y$253:$Y$276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1-47EB-B4B4-13F19725A06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harvest'!$AB$303:$AB$326</c:f>
              </c:numRef>
            </c:plus>
            <c:minus>
              <c:numRef>
                <c:f>'YE harvest'!$AB$303:$AB$326</c:f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harvest'!$Y$303:$Y$326</c:f>
            </c:numRef>
          </c:val>
          <c:smooth val="0"/>
          <c:extLst>
            <c:ext xmlns:c16="http://schemas.microsoft.com/office/drawing/2014/chart" uri="{C3380CC4-5D6E-409C-BE32-E72D297353CC}">
              <c16:uniqueId val="{00000003-1AD1-47EB-B4B4-13F19725A06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harvest'!$AB$328:$AB$351</c:f>
              </c:numRef>
            </c:plus>
            <c:minus>
              <c:numRef>
                <c:f>'YE harvest'!$AB$328:$AB$351</c:f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harvest'!$Y$328:$Y$351</c:f>
            </c:numRef>
          </c:val>
          <c:smooth val="0"/>
          <c:extLst>
            <c:ext xmlns:c16="http://schemas.microsoft.com/office/drawing/2014/chart" uri="{C3380CC4-5D6E-409C-BE32-E72D297353CC}">
              <c16:uniqueId val="{00000004-1AD1-47EB-B4B4-13F19725A06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harvest'!$AB$353:$AB$376</c:f>
                <c:numCache>
                  <c:formatCode>General</c:formatCode>
                  <c:ptCount val="24"/>
                  <c:pt idx="0">
                    <c:v>410.28887588503818</c:v>
                  </c:pt>
                  <c:pt idx="1">
                    <c:v>700.13983505039721</c:v>
                  </c:pt>
                  <c:pt idx="2">
                    <c:v>1086.6112997666391</c:v>
                  </c:pt>
                  <c:pt idx="3">
                    <c:v>887.9182236484728</c:v>
                  </c:pt>
                  <c:pt idx="4">
                    <c:v>982.04283645461862</c:v>
                  </c:pt>
                  <c:pt idx="5">
                    <c:v>956.4840699672435</c:v>
                  </c:pt>
                  <c:pt idx="6">
                    <c:v>1386.0807054399104</c:v>
                  </c:pt>
                  <c:pt idx="7">
                    <c:v>1705.4874617903326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  <c:pt idx="21">
                    <c:v>2615.6183255355077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harvest'!$AB$353:$AB$376</c:f>
                <c:numCache>
                  <c:formatCode>General</c:formatCode>
                  <c:ptCount val="24"/>
                  <c:pt idx="0">
                    <c:v>410.28887588503818</c:v>
                  </c:pt>
                  <c:pt idx="1">
                    <c:v>700.13983505039721</c:v>
                  </c:pt>
                  <c:pt idx="2">
                    <c:v>1086.6112997666391</c:v>
                  </c:pt>
                  <c:pt idx="3">
                    <c:v>887.9182236484728</c:v>
                  </c:pt>
                  <c:pt idx="4">
                    <c:v>982.04283645461862</c:v>
                  </c:pt>
                  <c:pt idx="5">
                    <c:v>956.4840699672435</c:v>
                  </c:pt>
                  <c:pt idx="6">
                    <c:v>1386.0807054399104</c:v>
                  </c:pt>
                  <c:pt idx="7">
                    <c:v>1705.4874617903326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  <c:pt idx="21">
                    <c:v>2615.6183255355077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multiLvlStrRef>
              <c:f>'YE harvest'!$B$3:$B$26</c:f>
            </c:multiLvlStrRef>
          </c:cat>
          <c:val>
            <c:numRef>
              <c:f>'YE harvest'!$Y$353:$Y$376</c:f>
              <c:numCache>
                <c:formatCode>_(* #,##0_);_(* \(#,##0\);_(* "-"??_);_(@_)</c:formatCode>
                <c:ptCount val="24"/>
                <c:pt idx="0">
                  <c:v>842.02559660895747</c:v>
                </c:pt>
                <c:pt idx="1">
                  <c:v>1417.4985746823245</c:v>
                </c:pt>
                <c:pt idx="2">
                  <c:v>2192.5427816172232</c:v>
                </c:pt>
                <c:pt idx="3">
                  <c:v>1794.8620336986423</c:v>
                </c:pt>
                <c:pt idx="4">
                  <c:v>2015.3003961255322</c:v>
                </c:pt>
                <c:pt idx="5">
                  <c:v>1951.7580529069596</c:v>
                </c:pt>
                <c:pt idx="6">
                  <c:v>2829.9481871126836</c:v>
                </c:pt>
                <c:pt idx="7">
                  <c:v>3488.489862243865</c:v>
                </c:pt>
                <c:pt idx="8">
                  <c:v>5454.9226157276134</c:v>
                </c:pt>
                <c:pt idx="9">
                  <c:v>4433.0659266974953</c:v>
                </c:pt>
                <c:pt idx="10">
                  <c:v>4501.5139761225073</c:v>
                </c:pt>
                <c:pt idx="11">
                  <c:v>2352.5815805269799</c:v>
                </c:pt>
                <c:pt idx="12">
                  <c:v>3507.1100554541044</c:v>
                </c:pt>
                <c:pt idx="13">
                  <c:v>2091.2986767456268</c:v>
                </c:pt>
                <c:pt idx="14">
                  <c:v>2750.5950075531855</c:v>
                </c:pt>
                <c:pt idx="15">
                  <c:v>2866.9837745270725</c:v>
                </c:pt>
                <c:pt idx="16">
                  <c:v>2149.8134685894556</c:v>
                </c:pt>
                <c:pt idx="17">
                  <c:v>2859.3397573578113</c:v>
                </c:pt>
                <c:pt idx="18">
                  <c:v>3005.0123283476919</c:v>
                </c:pt>
                <c:pt idx="19">
                  <c:v>2686.076787727111</c:v>
                </c:pt>
                <c:pt idx="20">
                  <c:v>3734.2355461517818</c:v>
                </c:pt>
                <c:pt idx="21">
                  <c:v>5734.8680560534049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1-47EB-B4B4-13F19725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Kodiak'!$B$4:$B$27</c:f>
              <c:numCache>
                <c:formatCode>_(* #,##0_);_(* \(#,##0\);_(* "-"??_);_(@_)</c:formatCode>
                <c:ptCount val="24"/>
                <c:pt idx="0">
                  <c:v>529.5015960846614</c:v>
                </c:pt>
                <c:pt idx="1">
                  <c:v>644.05722985297768</c:v>
                </c:pt>
                <c:pt idx="2">
                  <c:v>1797.2506097873604</c:v>
                </c:pt>
                <c:pt idx="3">
                  <c:v>680.96960073387947</c:v>
                </c:pt>
                <c:pt idx="4">
                  <c:v>439.12992944521204</c:v>
                </c:pt>
                <c:pt idx="5">
                  <c:v>721.70049274039195</c:v>
                </c:pt>
                <c:pt idx="6">
                  <c:v>595.68929559524418</c:v>
                </c:pt>
                <c:pt idx="7">
                  <c:v>1762.8839196568656</c:v>
                </c:pt>
                <c:pt idx="8">
                  <c:v>1177.3773470632495</c:v>
                </c:pt>
                <c:pt idx="9">
                  <c:v>3166.8268535063407</c:v>
                </c:pt>
                <c:pt idx="10">
                  <c:v>3398.4838017933798</c:v>
                </c:pt>
                <c:pt idx="11">
                  <c:v>4789.6983318908196</c:v>
                </c:pt>
                <c:pt idx="12">
                  <c:v>3859.2520176170519</c:v>
                </c:pt>
                <c:pt idx="13">
                  <c:v>3904.7408195848857</c:v>
                </c:pt>
                <c:pt idx="14">
                  <c:v>4135.7541899441339</c:v>
                </c:pt>
                <c:pt idx="15">
                  <c:v>3218.128956927867</c:v>
                </c:pt>
                <c:pt idx="16">
                  <c:v>4077.1607301869994</c:v>
                </c:pt>
                <c:pt idx="17">
                  <c:v>5655.4958972529439</c:v>
                </c:pt>
                <c:pt idx="18">
                  <c:v>5754.5865442204031</c:v>
                </c:pt>
                <c:pt idx="19">
                  <c:v>5293.7475824448302</c:v>
                </c:pt>
                <c:pt idx="20">
                  <c:v>7190.4016172506736</c:v>
                </c:pt>
                <c:pt idx="21">
                  <c:v>11217.376425855515</c:v>
                </c:pt>
                <c:pt idx="22">
                  <c:v>7587.4199820520489</c:v>
                </c:pt>
                <c:pt idx="23">
                  <c:v>10413.682714889619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FB0-9F83-962EA8AA6553}"/>
            </c:ext>
          </c:extLst>
        </c:ser>
        <c:ser>
          <c:idx val="1"/>
          <c:order val="1"/>
          <c:tx>
            <c:strRef>
              <c:f>'RF harv Kodiak'!$D$2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Kodiak'!$D$4:$D$27</c:f>
              <c:numCache>
                <c:formatCode>_(* #,##0_);_(* \(#,##0\);_(* "-"??_);_(@_)</c:formatCode>
                <c:ptCount val="24"/>
                <c:pt idx="0">
                  <c:v>179.10831553366631</c:v>
                </c:pt>
                <c:pt idx="1">
                  <c:v>137.68705174501304</c:v>
                </c:pt>
                <c:pt idx="2">
                  <c:v>481.33572634826874</c:v>
                </c:pt>
                <c:pt idx="3">
                  <c:v>339.09703652904039</c:v>
                </c:pt>
                <c:pt idx="4">
                  <c:v>362.99313641867076</c:v>
                </c:pt>
                <c:pt idx="5">
                  <c:v>1151.5644327764728</c:v>
                </c:pt>
                <c:pt idx="6">
                  <c:v>830.67394854429358</c:v>
                </c:pt>
                <c:pt idx="7">
                  <c:v>1413.283622043853</c:v>
                </c:pt>
                <c:pt idx="8">
                  <c:v>1725.0708301276015</c:v>
                </c:pt>
                <c:pt idx="9">
                  <c:v>3961.0630340858711</c:v>
                </c:pt>
                <c:pt idx="10">
                  <c:v>2629.7088973778937</c:v>
                </c:pt>
                <c:pt idx="11">
                  <c:v>2612.6402545995866</c:v>
                </c:pt>
                <c:pt idx="12">
                  <c:v>2907.3588199050278</c:v>
                </c:pt>
                <c:pt idx="13">
                  <c:v>1979.4612042209808</c:v>
                </c:pt>
                <c:pt idx="14">
                  <c:v>3709.3989021043003</c:v>
                </c:pt>
                <c:pt idx="15">
                  <c:v>2558.7798861480078</c:v>
                </c:pt>
                <c:pt idx="16">
                  <c:v>3801.8794981842188</c:v>
                </c:pt>
                <c:pt idx="17">
                  <c:v>3719.19872110182</c:v>
                </c:pt>
                <c:pt idx="18">
                  <c:v>3979.190684713376</c:v>
                </c:pt>
                <c:pt idx="19">
                  <c:v>5286.8031716417918</c:v>
                </c:pt>
                <c:pt idx="20">
                  <c:v>4216.2796271637817</c:v>
                </c:pt>
                <c:pt idx="21">
                  <c:v>7507.1545603495351</c:v>
                </c:pt>
                <c:pt idx="22">
                  <c:v>1792.0725207514197</c:v>
                </c:pt>
                <c:pt idx="23">
                  <c:v>3335.5695162047909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4-4FB0-9F83-962EA8AA6553}"/>
            </c:ext>
          </c:extLst>
        </c:ser>
        <c:ser>
          <c:idx val="2"/>
          <c:order val="2"/>
          <c:tx>
            <c:strRef>
              <c:f>'RF harv Kodiak'!$F$2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Kodiak'!$F$4:$F$27</c:f>
              <c:numCache>
                <c:formatCode>_(* #,##0_);_(* \(#,##0\);_(* "-"??_);_(@_)</c:formatCode>
                <c:ptCount val="24"/>
                <c:pt idx="0">
                  <c:v>2646.751507803267</c:v>
                </c:pt>
                <c:pt idx="1">
                  <c:v>3319.1117698661938</c:v>
                </c:pt>
                <c:pt idx="2">
                  <c:v>3762.0157520187568</c:v>
                </c:pt>
                <c:pt idx="3">
                  <c:v>3701.5389030501337</c:v>
                </c:pt>
                <c:pt idx="4">
                  <c:v>4023.4891872654503</c:v>
                </c:pt>
                <c:pt idx="5">
                  <c:v>4879.0587270862643</c:v>
                </c:pt>
                <c:pt idx="6">
                  <c:v>5853.8032339923066</c:v>
                </c:pt>
                <c:pt idx="7">
                  <c:v>8255.0898842170445</c:v>
                </c:pt>
                <c:pt idx="8">
                  <c:v>6568.8530365036731</c:v>
                </c:pt>
                <c:pt idx="9">
                  <c:v>9035.9527282530889</c:v>
                </c:pt>
                <c:pt idx="10">
                  <c:v>11134.855133634712</c:v>
                </c:pt>
                <c:pt idx="11">
                  <c:v>11328.736796504711</c:v>
                </c:pt>
                <c:pt idx="12">
                  <c:v>14480.647866281181</c:v>
                </c:pt>
                <c:pt idx="13">
                  <c:v>12904.522735409953</c:v>
                </c:pt>
                <c:pt idx="14">
                  <c:v>11751.479333744601</c:v>
                </c:pt>
                <c:pt idx="15">
                  <c:v>18590.830039525692</c:v>
                </c:pt>
                <c:pt idx="16">
                  <c:v>17307.007400098668</c:v>
                </c:pt>
                <c:pt idx="17">
                  <c:v>23153.477406902814</c:v>
                </c:pt>
                <c:pt idx="18">
                  <c:v>27727.366319691999</c:v>
                </c:pt>
                <c:pt idx="19">
                  <c:v>10477.282570932253</c:v>
                </c:pt>
                <c:pt idx="20">
                  <c:v>17169.778908418131</c:v>
                </c:pt>
                <c:pt idx="21">
                  <c:v>20184.660072182862</c:v>
                </c:pt>
                <c:pt idx="22">
                  <c:v>9904.9695845697333</c:v>
                </c:pt>
                <c:pt idx="23">
                  <c:v>16602.747125224181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4-4FB0-9F83-962EA8AA6553}"/>
            </c:ext>
          </c:extLst>
        </c:ser>
        <c:ser>
          <c:idx val="3"/>
          <c:order val="3"/>
          <c:tx>
            <c:strRef>
              <c:f>'RF harv Kodiak'!$H$2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Kodiak'!$H$4:$H$27</c:f>
              <c:numCache>
                <c:formatCode>_(* #,##0_);_(* \(#,##0\);_(* "-"??_);_(@_)</c:formatCode>
                <c:ptCount val="24"/>
                <c:pt idx="0">
                  <c:v>190.68660416251171</c:v>
                </c:pt>
                <c:pt idx="1">
                  <c:v>293.76044425035587</c:v>
                </c:pt>
                <c:pt idx="2">
                  <c:v>497.33127842384812</c:v>
                </c:pt>
                <c:pt idx="3">
                  <c:v>1522.9159872978976</c:v>
                </c:pt>
                <c:pt idx="4">
                  <c:v>1133.8122409662858</c:v>
                </c:pt>
                <c:pt idx="5">
                  <c:v>1426.2842622155438</c:v>
                </c:pt>
                <c:pt idx="6">
                  <c:v>1043.6226308894222</c:v>
                </c:pt>
                <c:pt idx="7">
                  <c:v>1631.1435193901339</c:v>
                </c:pt>
                <c:pt idx="8">
                  <c:v>949.56775180926445</c:v>
                </c:pt>
                <c:pt idx="9">
                  <c:v>2119.4558368062958</c:v>
                </c:pt>
                <c:pt idx="10">
                  <c:v>1540.9539093132703</c:v>
                </c:pt>
                <c:pt idx="11">
                  <c:v>2382.2941290302983</c:v>
                </c:pt>
                <c:pt idx="12">
                  <c:v>1631.1435193901339</c:v>
                </c:pt>
                <c:pt idx="13">
                  <c:v>1687.1685166498487</c:v>
                </c:pt>
                <c:pt idx="14">
                  <c:v>2871.7026143790849</c:v>
                </c:pt>
                <c:pt idx="15">
                  <c:v>2384.9594594594591</c:v>
                </c:pt>
                <c:pt idx="16">
                  <c:v>3202.8709245198747</c:v>
                </c:pt>
                <c:pt idx="17">
                  <c:v>2955.5510553337135</c:v>
                </c:pt>
                <c:pt idx="18">
                  <c:v>3632.1269714513874</c:v>
                </c:pt>
                <c:pt idx="19">
                  <c:v>3896.8833955223881</c:v>
                </c:pt>
                <c:pt idx="20">
                  <c:v>4979.3662731006161</c:v>
                </c:pt>
                <c:pt idx="21">
                  <c:v>11501.863117870724</c:v>
                </c:pt>
                <c:pt idx="22">
                  <c:v>4798.2830930537348</c:v>
                </c:pt>
                <c:pt idx="23">
                  <c:v>9161.5434476279934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4-4FB0-9F83-962EA8AA6553}"/>
            </c:ext>
          </c:extLst>
        </c:ser>
        <c:ser>
          <c:idx val="4"/>
          <c:order val="4"/>
          <c:tx>
            <c:strRef>
              <c:f>'RF harv Kodiak'!$J$2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Kodiak'!$J$4:$J$27</c:f>
              <c:numCache>
                <c:formatCode>_(* #,##0_);_(* \(#,##0\);_(* "-"??_);_(@_)</c:formatCode>
                <c:ptCount val="24"/>
                <c:pt idx="0">
                  <c:v>34.921501147605341</c:v>
                </c:pt>
                <c:pt idx="1">
                  <c:v>113.81822596256556</c:v>
                </c:pt>
                <c:pt idx="2">
                  <c:v>84.070280540531371</c:v>
                </c:pt>
                <c:pt idx="3">
                  <c:v>34.921501147605341</c:v>
                </c:pt>
                <c:pt idx="4">
                  <c:v>128.04550420788624</c:v>
                </c:pt>
                <c:pt idx="5">
                  <c:v>186.24800612056183</c:v>
                </c:pt>
                <c:pt idx="6">
                  <c:v>258.67778627855807</c:v>
                </c:pt>
                <c:pt idx="7">
                  <c:v>371.20262330973088</c:v>
                </c:pt>
                <c:pt idx="8">
                  <c:v>391.89684621201548</c:v>
                </c:pt>
                <c:pt idx="9">
                  <c:v>1484.8104932389235</c:v>
                </c:pt>
                <c:pt idx="10">
                  <c:v>1461.5294924738532</c:v>
                </c:pt>
                <c:pt idx="11">
                  <c:v>1047.6450344281602</c:v>
                </c:pt>
                <c:pt idx="12">
                  <c:v>832.94247181695698</c:v>
                </c:pt>
                <c:pt idx="13">
                  <c:v>850.99495459132186</c:v>
                </c:pt>
                <c:pt idx="14">
                  <c:v>1509</c:v>
                </c:pt>
                <c:pt idx="15">
                  <c:v>1244.7972972972973</c:v>
                </c:pt>
                <c:pt idx="16">
                  <c:v>872.90263510495754</c:v>
                </c:pt>
                <c:pt idx="17">
                  <c:v>900.78094694808897</c:v>
                </c:pt>
                <c:pt idx="18">
                  <c:v>898.41878980891727</c:v>
                </c:pt>
                <c:pt idx="19">
                  <c:v>895.24813432835822</c:v>
                </c:pt>
                <c:pt idx="20">
                  <c:v>778.64245379876797</c:v>
                </c:pt>
                <c:pt idx="21">
                  <c:v>946.32441288913162</c:v>
                </c:pt>
                <c:pt idx="22">
                  <c:v>359.12800349497599</c:v>
                </c:pt>
                <c:pt idx="23">
                  <c:v>1875.3184593705964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84-4FB0-9F83-962EA8AA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Kodiak'!$B$33:$B$56</c:f>
              <c:numCache>
                <c:formatCode>_(* #,##0_);_(* \(#,##0\);_(* "-"??_);_(@_)</c:formatCode>
                <c:ptCount val="24"/>
                <c:pt idx="0">
                  <c:v>359.1413642850506</c:v>
                </c:pt>
                <c:pt idx="1">
                  <c:v>465.55923337779177</c:v>
                </c:pt>
                <c:pt idx="2">
                  <c:v>1402.4684024516273</c:v>
                </c:pt>
                <c:pt idx="3">
                  <c:v>573.26885828848845</c:v>
                </c:pt>
                <c:pt idx="4">
                  <c:v>312.5349823096368</c:v>
                </c:pt>
                <c:pt idx="5">
                  <c:v>528.9454202183241</c:v>
                </c:pt>
                <c:pt idx="6">
                  <c:v>361.72103285180168</c:v>
                </c:pt>
                <c:pt idx="7">
                  <c:v>1410.2992683885925</c:v>
                </c:pt>
                <c:pt idx="8">
                  <c:v>864.82725119314125</c:v>
                </c:pt>
                <c:pt idx="9">
                  <c:v>1961.5839813375032</c:v>
                </c:pt>
                <c:pt idx="10">
                  <c:v>2215.6726544599155</c:v>
                </c:pt>
                <c:pt idx="11">
                  <c:v>2933.7154069116409</c:v>
                </c:pt>
                <c:pt idx="12">
                  <c:v>1674.0195892837091</c:v>
                </c:pt>
                <c:pt idx="13">
                  <c:v>2824.379965044564</c:v>
                </c:pt>
                <c:pt idx="14">
                  <c:v>2686.2781107934079</c:v>
                </c:pt>
                <c:pt idx="15">
                  <c:v>1576.1179956627866</c:v>
                </c:pt>
                <c:pt idx="16">
                  <c:v>2804.100842514702</c:v>
                </c:pt>
                <c:pt idx="17">
                  <c:v>3569.4906353961287</c:v>
                </c:pt>
                <c:pt idx="18">
                  <c:v>2858.1331790138988</c:v>
                </c:pt>
                <c:pt idx="19">
                  <c:v>3011.9498269146825</c:v>
                </c:pt>
                <c:pt idx="20">
                  <c:v>3958.1363902099833</c:v>
                </c:pt>
                <c:pt idx="21">
                  <c:v>8059.9741420972177</c:v>
                </c:pt>
                <c:pt idx="22">
                  <c:v>4984.8258412868308</c:v>
                </c:pt>
                <c:pt idx="23">
                  <c:v>2748.7521419600089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5BE-9F88-6214E1B11FCD}"/>
            </c:ext>
          </c:extLst>
        </c:ser>
        <c:ser>
          <c:idx val="1"/>
          <c:order val="1"/>
          <c:tx>
            <c:strRef>
              <c:f>'RF harv Kodiak'!$D$2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Kodiak'!$D$33:$D$56</c:f>
              <c:numCache>
                <c:formatCode>_(* #,##0_);_(* \(#,##0\);_(* "-"??_);_(@_)</c:formatCode>
                <c:ptCount val="24"/>
                <c:pt idx="0">
                  <c:v>89.096673170685818</c:v>
                </c:pt>
                <c:pt idx="1">
                  <c:v>106.12871191893431</c:v>
                </c:pt>
                <c:pt idx="2">
                  <c:v>401.45477078136321</c:v>
                </c:pt>
                <c:pt idx="3">
                  <c:v>251.38188209076492</c:v>
                </c:pt>
                <c:pt idx="4">
                  <c:v>280.24767745357633</c:v>
                </c:pt>
                <c:pt idx="5">
                  <c:v>1010.6323546288824</c:v>
                </c:pt>
                <c:pt idx="6">
                  <c:v>711.72232213144957</c:v>
                </c:pt>
                <c:pt idx="7">
                  <c:v>1152.806035567588</c:v>
                </c:pt>
                <c:pt idx="8">
                  <c:v>1444.6238351492921</c:v>
                </c:pt>
                <c:pt idx="9">
                  <c:v>3548.2712909685397</c:v>
                </c:pt>
                <c:pt idx="10">
                  <c:v>2197.93303989177</c:v>
                </c:pt>
                <c:pt idx="11">
                  <c:v>2423.9460244987995</c:v>
                </c:pt>
                <c:pt idx="12">
                  <c:v>1830.6447757075803</c:v>
                </c:pt>
                <c:pt idx="13">
                  <c:v>1783.061243623943</c:v>
                </c:pt>
                <c:pt idx="14">
                  <c:v>3230.7519712596668</c:v>
                </c:pt>
                <c:pt idx="15">
                  <c:v>2196.1816172655258</c:v>
                </c:pt>
                <c:pt idx="16">
                  <c:v>3384.8400360634764</c:v>
                </c:pt>
                <c:pt idx="17">
                  <c:v>3164.9577271984163</c:v>
                </c:pt>
                <c:pt idx="18">
                  <c:v>3414.7740069257229</c:v>
                </c:pt>
                <c:pt idx="19">
                  <c:v>4542.8411858699965</c:v>
                </c:pt>
                <c:pt idx="20">
                  <c:v>3706.6052675224605</c:v>
                </c:pt>
                <c:pt idx="21">
                  <c:v>6681.8842145632589</c:v>
                </c:pt>
                <c:pt idx="22">
                  <c:v>1559.0395550802314</c:v>
                </c:pt>
                <c:pt idx="23">
                  <c:v>2946.5335133529184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2-45BE-9F88-6214E1B11FCD}"/>
            </c:ext>
          </c:extLst>
        </c:ser>
        <c:ser>
          <c:idx val="2"/>
          <c:order val="2"/>
          <c:tx>
            <c:strRef>
              <c:f>'RF harv Kodiak'!$F$2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Kodiak'!$F$33:$F$56</c:f>
              <c:numCache>
                <c:formatCode>_(* #,##0_);_(* \(#,##0\);_(* "-"??_);_(@_)</c:formatCode>
                <c:ptCount val="24"/>
                <c:pt idx="0">
                  <c:v>1751.2551217634721</c:v>
                </c:pt>
                <c:pt idx="1">
                  <c:v>2515.9609216317722</c:v>
                </c:pt>
                <c:pt idx="2">
                  <c:v>2925.1451980975949</c:v>
                </c:pt>
                <c:pt idx="3">
                  <c:v>3092.0257382708642</c:v>
                </c:pt>
                <c:pt idx="4">
                  <c:v>2871.7494444340323</c:v>
                </c:pt>
                <c:pt idx="5">
                  <c:v>3691.9091603167899</c:v>
                </c:pt>
                <c:pt idx="6">
                  <c:v>4377.7844435533307</c:v>
                </c:pt>
                <c:pt idx="7">
                  <c:v>7004.4440019072426</c:v>
                </c:pt>
                <c:pt idx="8">
                  <c:v>5342.857301024058</c:v>
                </c:pt>
                <c:pt idx="9">
                  <c:v>6422.504868608883</c:v>
                </c:pt>
                <c:pt idx="10">
                  <c:v>8218.9940485571151</c:v>
                </c:pt>
                <c:pt idx="11">
                  <c:v>7252.3259521909167</c:v>
                </c:pt>
                <c:pt idx="12">
                  <c:v>8333.6162949861937</c:v>
                </c:pt>
                <c:pt idx="13">
                  <c:v>10011.024497849619</c:v>
                </c:pt>
                <c:pt idx="14">
                  <c:v>8405.2176992501281</c:v>
                </c:pt>
                <c:pt idx="15">
                  <c:v>10803.122295048772</c:v>
                </c:pt>
                <c:pt idx="16">
                  <c:v>12651.288585790298</c:v>
                </c:pt>
                <c:pt idx="17">
                  <c:v>16131.688651385251</c:v>
                </c:pt>
                <c:pt idx="18">
                  <c:v>18815.657376733012</c:v>
                </c:pt>
                <c:pt idx="19">
                  <c:v>6714.9385112867531</c:v>
                </c:pt>
                <c:pt idx="20">
                  <c:v>12726.394471159685</c:v>
                </c:pt>
                <c:pt idx="21">
                  <c:v>15601.284379532004</c:v>
                </c:pt>
                <c:pt idx="22">
                  <c:v>7027.7422953413698</c:v>
                </c:pt>
                <c:pt idx="23">
                  <c:v>14272.336621144985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2-45BE-9F88-6214E1B11FCD}"/>
            </c:ext>
          </c:extLst>
        </c:ser>
        <c:ser>
          <c:idx val="3"/>
          <c:order val="3"/>
          <c:tx>
            <c:strRef>
              <c:f>'RF harv Kodiak'!$H$2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Kodiak'!$H$33:$H$56</c:f>
              <c:numCache>
                <c:formatCode>_(* #,##0_);_(* \(#,##0\);_(* "-"??_);_(@_)</c:formatCode>
                <c:ptCount val="24"/>
                <c:pt idx="0">
                  <c:v>129.65464430819756</c:v>
                </c:pt>
                <c:pt idx="1">
                  <c:v>242.27796776833577</c:v>
                </c:pt>
                <c:pt idx="2">
                  <c:v>363.60832627038195</c:v>
                </c:pt>
                <c:pt idx="3">
                  <c:v>1380.6769000600257</c:v>
                </c:pt>
                <c:pt idx="4">
                  <c:v>865.83143816183724</c:v>
                </c:pt>
                <c:pt idx="5">
                  <c:v>1056.5445732905998</c:v>
                </c:pt>
                <c:pt idx="6">
                  <c:v>737.50543260946256</c:v>
                </c:pt>
                <c:pt idx="7">
                  <c:v>1356.9211465405499</c:v>
                </c:pt>
                <c:pt idx="8">
                  <c:v>673.6989889709655</c:v>
                </c:pt>
                <c:pt idx="9">
                  <c:v>1235.5104762306612</c:v>
                </c:pt>
                <c:pt idx="10">
                  <c:v>983.26253227554935</c:v>
                </c:pt>
                <c:pt idx="11">
                  <c:v>1414.6978625666927</c:v>
                </c:pt>
                <c:pt idx="12">
                  <c:v>697.68621552431614</c:v>
                </c:pt>
                <c:pt idx="13">
                  <c:v>1193.9086573069919</c:v>
                </c:pt>
                <c:pt idx="14">
                  <c:v>1836.4472785420294</c:v>
                </c:pt>
                <c:pt idx="15">
                  <c:v>1146.5471884139997</c:v>
                </c:pt>
                <c:pt idx="16">
                  <c:v>2059.4071840108741</c:v>
                </c:pt>
                <c:pt idx="17">
                  <c:v>1839.5665531727768</c:v>
                </c:pt>
                <c:pt idx="18">
                  <c:v>1687.6795897647514</c:v>
                </c:pt>
                <c:pt idx="19">
                  <c:v>2145.1285766160786</c:v>
                </c:pt>
                <c:pt idx="20">
                  <c:v>2508.3648669308409</c:v>
                </c:pt>
                <c:pt idx="21">
                  <c:v>8055.0274581551948</c:v>
                </c:pt>
                <c:pt idx="22">
                  <c:v>3119.9086592883014</c:v>
                </c:pt>
                <c:pt idx="23">
                  <c:v>2402.5867697780732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2-45BE-9F88-6214E1B11FCD}"/>
            </c:ext>
          </c:extLst>
        </c:ser>
        <c:ser>
          <c:idx val="4"/>
          <c:order val="4"/>
          <c:tx>
            <c:strRef>
              <c:f>'RF harv Kodiak'!$J$2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Kodiak'!$J$33:$J$56</c:f>
              <c:numCache>
                <c:formatCode>_(* #,##0_);_(* \(#,##0\);_(* "-"??_);_(@_)</c:formatCode>
                <c:ptCount val="24"/>
                <c:pt idx="0">
                  <c:v>27.332020177697281</c:v>
                </c:pt>
                <c:pt idx="1">
                  <c:v>87.196972396234457</c:v>
                </c:pt>
                <c:pt idx="2">
                  <c:v>18.892003485141906</c:v>
                </c:pt>
                <c:pt idx="3">
                  <c:v>14.035872588852769</c:v>
                </c:pt>
                <c:pt idx="4">
                  <c:v>100.59534150616244</c:v>
                </c:pt>
                <c:pt idx="5">
                  <c:v>128.95174777365597</c:v>
                </c:pt>
                <c:pt idx="6">
                  <c:v>195.57570555324924</c:v>
                </c:pt>
                <c:pt idx="7">
                  <c:v>189.81639105045576</c:v>
                </c:pt>
                <c:pt idx="8">
                  <c:v>250.92729066128953</c:v>
                </c:pt>
                <c:pt idx="9">
                  <c:v>1214.2443592476957</c:v>
                </c:pt>
                <c:pt idx="10">
                  <c:v>1211.7450630686949</c:v>
                </c:pt>
                <c:pt idx="11">
                  <c:v>853.801636788471</c:v>
                </c:pt>
                <c:pt idx="12">
                  <c:v>518.26421078013175</c:v>
                </c:pt>
                <c:pt idx="13">
                  <c:v>636.51641897520381</c:v>
                </c:pt>
                <c:pt idx="14">
                  <c:v>975.58371010500002</c:v>
                </c:pt>
                <c:pt idx="15">
                  <c:v>958.2169747559999</c:v>
                </c:pt>
                <c:pt idx="16">
                  <c:v>695.90076735227876</c:v>
                </c:pt>
                <c:pt idx="17">
                  <c:v>721.58731597694577</c:v>
                </c:pt>
                <c:pt idx="18">
                  <c:v>723.22298554881536</c:v>
                </c:pt>
                <c:pt idx="19">
                  <c:v>723.56015152764917</c:v>
                </c:pt>
                <c:pt idx="20">
                  <c:v>646.16417038081829</c:v>
                </c:pt>
                <c:pt idx="21">
                  <c:v>735.4573980461912</c:v>
                </c:pt>
                <c:pt idx="22">
                  <c:v>281.54757508256534</c:v>
                </c:pt>
                <c:pt idx="23">
                  <c:v>1572.856943436479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2-45BE-9F88-6214E1B1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2650957710959"/>
          <c:y val="1.4430266674969078E-2"/>
          <c:w val="0.89349799271895847"/>
          <c:h val="0.85005348642317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'RF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Kodiak'!$B$62:$B$85</c:f>
              <c:numCache>
                <c:formatCode>_(* #,##0_);_(* \(#,##0\);_(* "-"??_);_(@_)</c:formatCode>
                <c:ptCount val="24"/>
                <c:pt idx="0">
                  <c:v>77.850345010307606</c:v>
                </c:pt>
                <c:pt idx="1">
                  <c:v>80.882330721684724</c:v>
                </c:pt>
                <c:pt idx="2">
                  <c:v>185.51258643517667</c:v>
                </c:pt>
                <c:pt idx="3">
                  <c:v>60.580692802777314</c:v>
                </c:pt>
                <c:pt idx="4">
                  <c:v>51.244853238404033</c:v>
                </c:pt>
                <c:pt idx="5">
                  <c:v>80.002362419040935</c:v>
                </c:pt>
                <c:pt idx="6">
                  <c:v>111.15320301069673</c:v>
                </c:pt>
                <c:pt idx="7">
                  <c:v>197.81040450336081</c:v>
                </c:pt>
                <c:pt idx="8">
                  <c:v>164.16207536693142</c:v>
                </c:pt>
                <c:pt idx="9">
                  <c:v>300.81756055451393</c:v>
                </c:pt>
                <c:pt idx="10">
                  <c:v>598.94890943752091</c:v>
                </c:pt>
                <c:pt idx="11">
                  <c:v>592.77069146568965</c:v>
                </c:pt>
                <c:pt idx="12">
                  <c:v>450.14422974328227</c:v>
                </c:pt>
                <c:pt idx="13">
                  <c:v>490.29143759365786</c:v>
                </c:pt>
                <c:pt idx="14">
                  <c:v>548.14941607853302</c:v>
                </c:pt>
                <c:pt idx="15">
                  <c:v>472.27551768749771</c:v>
                </c:pt>
                <c:pt idx="16">
                  <c:v>586.38693225250506</c:v>
                </c:pt>
                <c:pt idx="17">
                  <c:v>635.4123339683174</c:v>
                </c:pt>
                <c:pt idx="18">
                  <c:v>601.73484546498344</c:v>
                </c:pt>
                <c:pt idx="19">
                  <c:v>482.39791917747402</c:v>
                </c:pt>
                <c:pt idx="20">
                  <c:v>633.76689971813164</c:v>
                </c:pt>
                <c:pt idx="21">
                  <c:v>1261.1232986445648</c:v>
                </c:pt>
                <c:pt idx="22">
                  <c:v>817.02697354395707</c:v>
                </c:pt>
                <c:pt idx="23">
                  <c:v>984.53341510599842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834-845C-7BEF77D27845}"/>
            </c:ext>
          </c:extLst>
        </c:ser>
        <c:ser>
          <c:idx val="1"/>
          <c:order val="1"/>
          <c:tx>
            <c:strRef>
              <c:f>'RF harv Kodiak'!$D$2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Kodiak'!$D$62:$D$85</c:f>
              <c:numCache>
                <c:formatCode>_(* #,##0_);_(* \(#,##0\);_(* "-"??_);_(@_)</c:formatCode>
                <c:ptCount val="24"/>
                <c:pt idx="0">
                  <c:v>48.092331209269815</c:v>
                </c:pt>
                <c:pt idx="1">
                  <c:v>12.684879520076304</c:v>
                </c:pt>
                <c:pt idx="2">
                  <c:v>26.781658829060397</c:v>
                </c:pt>
                <c:pt idx="3">
                  <c:v>40.064901394916333</c:v>
                </c:pt>
                <c:pt idx="4">
                  <c:v>30.344566862170478</c:v>
                </c:pt>
                <c:pt idx="5">
                  <c:v>32.38437922173847</c:v>
                </c:pt>
                <c:pt idx="6">
                  <c:v>36.859134292800775</c:v>
                </c:pt>
                <c:pt idx="7">
                  <c:v>102.74219224671764</c:v>
                </c:pt>
                <c:pt idx="8">
                  <c:v>128.98884900196541</c:v>
                </c:pt>
                <c:pt idx="9">
                  <c:v>124.04761436401157</c:v>
                </c:pt>
                <c:pt idx="10">
                  <c:v>150.65384567515963</c:v>
                </c:pt>
                <c:pt idx="11">
                  <c:v>40.584694794533341</c:v>
                </c:pt>
                <c:pt idx="12">
                  <c:v>85.77870000001424</c:v>
                </c:pt>
                <c:pt idx="13">
                  <c:v>40.720252344816501</c:v>
                </c:pt>
                <c:pt idx="14">
                  <c:v>85.239501225192413</c:v>
                </c:pt>
                <c:pt idx="15">
                  <c:v>65.75934732127142</c:v>
                </c:pt>
                <c:pt idx="16">
                  <c:v>139.38643501548367</c:v>
                </c:pt>
                <c:pt idx="17">
                  <c:v>180.16166945732982</c:v>
                </c:pt>
                <c:pt idx="18">
                  <c:v>112.9793368003873</c:v>
                </c:pt>
                <c:pt idx="19">
                  <c:v>82.255122100063872</c:v>
                </c:pt>
                <c:pt idx="20">
                  <c:v>112.10464572857293</c:v>
                </c:pt>
                <c:pt idx="21">
                  <c:v>169.24313984614315</c:v>
                </c:pt>
                <c:pt idx="22">
                  <c:v>55.207010747610298</c:v>
                </c:pt>
                <c:pt idx="23">
                  <c:v>180.25314710128936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4834-845C-7BEF77D27845}"/>
            </c:ext>
          </c:extLst>
        </c:ser>
        <c:ser>
          <c:idx val="2"/>
          <c:order val="2"/>
          <c:tx>
            <c:strRef>
              <c:f>'RF harv Kodiak'!$F$2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Kodiak'!$F$62:$F$85</c:f>
              <c:numCache>
                <c:formatCode>_(* #,##0_);_(* \(#,##0\);_(* "-"??_);_(@_)</c:formatCode>
                <c:ptCount val="24"/>
                <c:pt idx="0">
                  <c:v>305.18721379046434</c:v>
                </c:pt>
                <c:pt idx="1">
                  <c:v>131.42888669180024</c:v>
                </c:pt>
                <c:pt idx="2">
                  <c:v>138.85825198630636</c:v>
                </c:pt>
                <c:pt idx="3">
                  <c:v>118.41411195512632</c:v>
                </c:pt>
                <c:pt idx="4">
                  <c:v>226.27128144374532</c:v>
                </c:pt>
                <c:pt idx="5">
                  <c:v>150.18116152892958</c:v>
                </c:pt>
                <c:pt idx="6">
                  <c:v>224.9208761343499</c:v>
                </c:pt>
                <c:pt idx="7">
                  <c:v>185.61142015058118</c:v>
                </c:pt>
                <c:pt idx="8">
                  <c:v>206.60973084590142</c:v>
                </c:pt>
                <c:pt idx="9">
                  <c:v>202.5406207977955</c:v>
                </c:pt>
                <c:pt idx="10">
                  <c:v>332.99806682351112</c:v>
                </c:pt>
                <c:pt idx="11">
                  <c:v>700.5611384826675</c:v>
                </c:pt>
                <c:pt idx="12">
                  <c:v>480.06666277847205</c:v>
                </c:pt>
                <c:pt idx="13">
                  <c:v>393.54321341162193</c:v>
                </c:pt>
                <c:pt idx="14">
                  <c:v>269.55528331037937</c:v>
                </c:pt>
                <c:pt idx="15">
                  <c:v>678.51521660221351</c:v>
                </c:pt>
                <c:pt idx="16">
                  <c:v>821.44502977841535</c:v>
                </c:pt>
                <c:pt idx="17">
                  <c:v>705.95065724130154</c:v>
                </c:pt>
                <c:pt idx="18">
                  <c:v>646.05259874518742</c:v>
                </c:pt>
                <c:pt idx="19">
                  <c:v>244.33240969726234</c:v>
                </c:pt>
                <c:pt idx="20">
                  <c:v>383.39690436954675</c:v>
                </c:pt>
                <c:pt idx="21">
                  <c:v>663.38725270685723</c:v>
                </c:pt>
                <c:pt idx="22">
                  <c:v>628.92367293109135</c:v>
                </c:pt>
                <c:pt idx="23">
                  <c:v>454.93503492756952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D-4834-845C-7BEF77D27845}"/>
            </c:ext>
          </c:extLst>
        </c:ser>
        <c:ser>
          <c:idx val="3"/>
          <c:order val="3"/>
          <c:tx>
            <c:strRef>
              <c:f>'RF harv Kodiak'!$H$2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Kodiak'!$H$62:$H$85</c:f>
              <c:numCache>
                <c:formatCode>_(* #,##0_);_(* \(#,##0\);_(* "-"??_);_(@_)</c:formatCode>
                <c:ptCount val="24"/>
                <c:pt idx="0">
                  <c:v>29.986506022310778</c:v>
                </c:pt>
                <c:pt idx="1">
                  <c:v>14.354136765205205</c:v>
                </c:pt>
                <c:pt idx="2">
                  <c:v>76.084625820580229</c:v>
                </c:pt>
                <c:pt idx="3">
                  <c:v>72.984243982754123</c:v>
                </c:pt>
                <c:pt idx="4">
                  <c:v>92.415216901603685</c:v>
                </c:pt>
                <c:pt idx="5">
                  <c:v>162.57581529419934</c:v>
                </c:pt>
                <c:pt idx="6">
                  <c:v>107.76913261323861</c:v>
                </c:pt>
                <c:pt idx="7">
                  <c:v>158.07393313847487</c:v>
                </c:pt>
                <c:pt idx="8">
                  <c:v>152.36294057876552</c:v>
                </c:pt>
                <c:pt idx="9">
                  <c:v>318.69882937865572</c:v>
                </c:pt>
                <c:pt idx="10">
                  <c:v>266.76401211967914</c:v>
                </c:pt>
                <c:pt idx="11">
                  <c:v>335.21041673017288</c:v>
                </c:pt>
                <c:pt idx="12">
                  <c:v>376.02779209323899</c:v>
                </c:pt>
                <c:pt idx="13">
                  <c:v>214.9189508261432</c:v>
                </c:pt>
                <c:pt idx="14">
                  <c:v>516.81539192910782</c:v>
                </c:pt>
                <c:pt idx="15">
                  <c:v>343.97932495834067</c:v>
                </c:pt>
                <c:pt idx="16">
                  <c:v>534.43586055747915</c:v>
                </c:pt>
                <c:pt idx="17">
                  <c:v>434.45960855329838</c:v>
                </c:pt>
                <c:pt idx="18">
                  <c:v>635.70916800340854</c:v>
                </c:pt>
                <c:pt idx="19">
                  <c:v>654.31425172921308</c:v>
                </c:pt>
                <c:pt idx="20">
                  <c:v>651.27882351697247</c:v>
                </c:pt>
                <c:pt idx="21">
                  <c:v>1768.1197355614568</c:v>
                </c:pt>
                <c:pt idx="22">
                  <c:v>575.26387719406046</c:v>
                </c:pt>
                <c:pt idx="23">
                  <c:v>944.16196864297046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D-4834-845C-7BEF77D27845}"/>
            </c:ext>
          </c:extLst>
        </c:ser>
        <c:ser>
          <c:idx val="4"/>
          <c:order val="4"/>
          <c:tx>
            <c:strRef>
              <c:f>'RF harv Kodiak'!$J$2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Kodiak'!$J$62:$J$85</c:f>
              <c:numCache>
                <c:formatCode>0</c:formatCode>
                <c:ptCount val="24"/>
                <c:pt idx="0">
                  <c:v>4.4068641244862867</c:v>
                </c:pt>
                <c:pt idx="1">
                  <c:v>13.449499112604649</c:v>
                </c:pt>
                <c:pt idx="2">
                  <c:v>44.412820145441302</c:v>
                </c:pt>
                <c:pt idx="3">
                  <c:v>14.273890890273385</c:v>
                </c:pt>
                <c:pt idx="4">
                  <c:v>10.990059198180287</c:v>
                </c:pt>
                <c:pt idx="5">
                  <c:v>32.900443678962198</c:v>
                </c:pt>
                <c:pt idx="6">
                  <c:v>35.436485218256145</c:v>
                </c:pt>
                <c:pt idx="7">
                  <c:v>121.44640885927363</c:v>
                </c:pt>
                <c:pt idx="8">
                  <c:v>78.908391708739089</c:v>
                </c:pt>
                <c:pt idx="9">
                  <c:v>194.54070521990917</c:v>
                </c:pt>
                <c:pt idx="10">
                  <c:v>95.952087890677149</c:v>
                </c:pt>
                <c:pt idx="11">
                  <c:v>102.48777981544113</c:v>
                </c:pt>
                <c:pt idx="12">
                  <c:v>101.05942000141246</c:v>
                </c:pt>
                <c:pt idx="13">
                  <c:v>95.055865121492559</c:v>
                </c:pt>
                <c:pt idx="14">
                  <c:v>172.87252247283112</c:v>
                </c:pt>
                <c:pt idx="15">
                  <c:v>136.38388693901092</c:v>
                </c:pt>
                <c:pt idx="16">
                  <c:v>73.510222119773431</c:v>
                </c:pt>
                <c:pt idx="17">
                  <c:v>99.407143418364853</c:v>
                </c:pt>
                <c:pt idx="18">
                  <c:v>98.523864388401734</c:v>
                </c:pt>
                <c:pt idx="19">
                  <c:v>76.551866125887287</c:v>
                </c:pt>
                <c:pt idx="20">
                  <c:v>82.99776642451782</c:v>
                </c:pt>
                <c:pt idx="21">
                  <c:v>146.59540104739534</c:v>
                </c:pt>
                <c:pt idx="22">
                  <c:v>52.736870167442206</c:v>
                </c:pt>
                <c:pt idx="23">
                  <c:v>191.58704060848393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D-4834-845C-7BEF77D2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Central'!$B$4:$B$27</c:f>
              <c:numCache>
                <c:formatCode>_(* #,##0_);_(* \(#,##0\);_(* "-"??_);_(@_)</c:formatCode>
                <c:ptCount val="24"/>
                <c:pt idx="0">
                  <c:v>1686.4758951640881</c:v>
                </c:pt>
                <c:pt idx="1">
                  <c:v>1545.6534612620567</c:v>
                </c:pt>
                <c:pt idx="2">
                  <c:v>2375.318162202941</c:v>
                </c:pt>
                <c:pt idx="3">
                  <c:v>1294.5483984006028</c:v>
                </c:pt>
                <c:pt idx="4">
                  <c:v>4034.6475640847098</c:v>
                </c:pt>
                <c:pt idx="5">
                  <c:v>7843.6399027601401</c:v>
                </c:pt>
                <c:pt idx="6">
                  <c:v>8035.3620115665199</c:v>
                </c:pt>
                <c:pt idx="7">
                  <c:v>6133.4108259740224</c:v>
                </c:pt>
                <c:pt idx="8">
                  <c:v>4178.8633096470312</c:v>
                </c:pt>
                <c:pt idx="9">
                  <c:v>4341.7422693409471</c:v>
                </c:pt>
                <c:pt idx="10">
                  <c:v>3669.8665606035438</c:v>
                </c:pt>
                <c:pt idx="11">
                  <c:v>4950.841712362987</c:v>
                </c:pt>
                <c:pt idx="12">
                  <c:v>7502.6120809010035</c:v>
                </c:pt>
                <c:pt idx="13">
                  <c:v>5241.2886731391591</c:v>
                </c:pt>
                <c:pt idx="14">
                  <c:v>10016.941208053691</c:v>
                </c:pt>
                <c:pt idx="15">
                  <c:v>8290.4354718850645</c:v>
                </c:pt>
                <c:pt idx="16">
                  <c:v>8175.6502099319532</c:v>
                </c:pt>
                <c:pt idx="17">
                  <c:v>10323.375737407352</c:v>
                </c:pt>
                <c:pt idx="18">
                  <c:v>16446.030487166056</c:v>
                </c:pt>
                <c:pt idx="19">
                  <c:v>11698.49026093348</c:v>
                </c:pt>
                <c:pt idx="20">
                  <c:v>23038.600289296046</c:v>
                </c:pt>
                <c:pt idx="21">
                  <c:v>27626.493536535585</c:v>
                </c:pt>
                <c:pt idx="22">
                  <c:v>20124.813008130081</c:v>
                </c:pt>
                <c:pt idx="23">
                  <c:v>21394.269439133204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4713-9AC2-D94D9B1CF916}"/>
            </c:ext>
          </c:extLst>
        </c:ser>
        <c:ser>
          <c:idx val="1"/>
          <c:order val="1"/>
          <c:tx>
            <c:strRef>
              <c:f>'RF harv Central'!$D$2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Central'!$D$4:$D$27</c:f>
              <c:numCache>
                <c:formatCode>_(* #,##0_);_(* \(#,##0\);_(* "-"??_);_(@_)</c:formatCode>
                <c:ptCount val="24"/>
                <c:pt idx="0">
                  <c:v>7725.220955913016</c:v>
                </c:pt>
                <c:pt idx="1">
                  <c:v>13863.251999816044</c:v>
                </c:pt>
                <c:pt idx="2">
                  <c:v>19588.793010089361</c:v>
                </c:pt>
                <c:pt idx="3">
                  <c:v>31246.120047450848</c:v>
                </c:pt>
                <c:pt idx="4">
                  <c:v>25882.255081157207</c:v>
                </c:pt>
                <c:pt idx="5">
                  <c:v>25436.885407165704</c:v>
                </c:pt>
                <c:pt idx="6">
                  <c:v>29044.67867231835</c:v>
                </c:pt>
                <c:pt idx="7">
                  <c:v>34063.307414813207</c:v>
                </c:pt>
                <c:pt idx="8">
                  <c:v>29887.593088866026</c:v>
                </c:pt>
                <c:pt idx="9">
                  <c:v>35660.959030574668</c:v>
                </c:pt>
                <c:pt idx="10">
                  <c:v>38253.967031833927</c:v>
                </c:pt>
                <c:pt idx="11">
                  <c:v>32743.638213019593</c:v>
                </c:pt>
                <c:pt idx="12">
                  <c:v>40392.638184457552</c:v>
                </c:pt>
                <c:pt idx="13">
                  <c:v>52204.405010282295</c:v>
                </c:pt>
                <c:pt idx="14">
                  <c:v>41019.802237331009</c:v>
                </c:pt>
                <c:pt idx="15">
                  <c:v>47715.239835728957</c:v>
                </c:pt>
                <c:pt idx="16">
                  <c:v>58769.197040285006</c:v>
                </c:pt>
                <c:pt idx="17">
                  <c:v>69974.13981323161</c:v>
                </c:pt>
                <c:pt idx="18">
                  <c:v>78648.041703490948</c:v>
                </c:pt>
                <c:pt idx="19">
                  <c:v>53863.511532831981</c:v>
                </c:pt>
                <c:pt idx="20">
                  <c:v>68922.337515014005</c:v>
                </c:pt>
                <c:pt idx="21">
                  <c:v>94829.472570734768</c:v>
                </c:pt>
                <c:pt idx="22">
                  <c:v>57769.767557261875</c:v>
                </c:pt>
                <c:pt idx="23">
                  <c:v>107690.02548250904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1-4713-9AC2-D94D9B1CF916}"/>
            </c:ext>
          </c:extLst>
        </c:ser>
        <c:ser>
          <c:idx val="2"/>
          <c:order val="2"/>
          <c:tx>
            <c:strRef>
              <c:f>'RF harv Central'!$F$2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Central'!$F$4:$F$27</c:f>
              <c:numCache>
                <c:formatCode>_(* #,##0_);_(* \(#,##0\);_(* "-"??_);_(@_)</c:formatCode>
                <c:ptCount val="24"/>
                <c:pt idx="0">
                  <c:v>13589.355080614794</c:v>
                </c:pt>
                <c:pt idx="1">
                  <c:v>16054.003882202349</c:v>
                </c:pt>
                <c:pt idx="2">
                  <c:v>21378.072072644733</c:v>
                </c:pt>
                <c:pt idx="3">
                  <c:v>25023.476144256918</c:v>
                </c:pt>
                <c:pt idx="4">
                  <c:v>26310.926167597027</c:v>
                </c:pt>
                <c:pt idx="5">
                  <c:v>42436.059885343027</c:v>
                </c:pt>
                <c:pt idx="6">
                  <c:v>36667.430222752817</c:v>
                </c:pt>
                <c:pt idx="7">
                  <c:v>38872.455124606044</c:v>
                </c:pt>
                <c:pt idx="8">
                  <c:v>26951.094687489898</c:v>
                </c:pt>
                <c:pt idx="9">
                  <c:v>44114.724004173229</c:v>
                </c:pt>
                <c:pt idx="10">
                  <c:v>33864.914702332913</c:v>
                </c:pt>
                <c:pt idx="11">
                  <c:v>29152.563097565941</c:v>
                </c:pt>
                <c:pt idx="12">
                  <c:v>42354.260574467829</c:v>
                </c:pt>
                <c:pt idx="13">
                  <c:v>69966.987281399051</c:v>
                </c:pt>
                <c:pt idx="14">
                  <c:v>44697.154090427939</c:v>
                </c:pt>
                <c:pt idx="15">
                  <c:v>60456.943133398883</c:v>
                </c:pt>
                <c:pt idx="16">
                  <c:v>52866.469599823133</c:v>
                </c:pt>
                <c:pt idx="17">
                  <c:v>72203.446754112942</c:v>
                </c:pt>
                <c:pt idx="18">
                  <c:v>93718.548631333717</c:v>
                </c:pt>
                <c:pt idx="19">
                  <c:v>49815.774784613517</c:v>
                </c:pt>
                <c:pt idx="20">
                  <c:v>34346.009039310491</c:v>
                </c:pt>
                <c:pt idx="21">
                  <c:v>47084.722103820983</c:v>
                </c:pt>
                <c:pt idx="22">
                  <c:v>27606.884326200114</c:v>
                </c:pt>
                <c:pt idx="23">
                  <c:v>43560.114727976325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1-4713-9AC2-D94D9B1CF916}"/>
            </c:ext>
          </c:extLst>
        </c:ser>
        <c:ser>
          <c:idx val="3"/>
          <c:order val="3"/>
          <c:tx>
            <c:strRef>
              <c:f>'RF harv Central'!$H$2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Central'!$H$4:$H$27</c:f>
              <c:numCache>
                <c:formatCode>_(* #,##0_);_(* \(#,##0\);_(* "-"??_);_(@_)</c:formatCode>
                <c:ptCount val="24"/>
                <c:pt idx="0">
                  <c:v>8562.2039985303945</c:v>
                </c:pt>
                <c:pt idx="1">
                  <c:v>5547.1393554151227</c:v>
                </c:pt>
                <c:pt idx="2">
                  <c:v>11161.897301144405</c:v>
                </c:pt>
                <c:pt idx="3">
                  <c:v>13565.979681778168</c:v>
                </c:pt>
                <c:pt idx="4">
                  <c:v>10889.007990233691</c:v>
                </c:pt>
                <c:pt idx="5">
                  <c:v>11707.675922965831</c:v>
                </c:pt>
                <c:pt idx="6">
                  <c:v>14750.512487102991</c:v>
                </c:pt>
                <c:pt idx="7">
                  <c:v>11669.036728500598</c:v>
                </c:pt>
                <c:pt idx="8">
                  <c:v>11023.037696034971</c:v>
                </c:pt>
                <c:pt idx="9">
                  <c:v>14728.777940216298</c:v>
                </c:pt>
                <c:pt idx="10">
                  <c:v>16164.46550956514</c:v>
                </c:pt>
                <c:pt idx="11">
                  <c:v>16571.384526277132</c:v>
                </c:pt>
                <c:pt idx="12">
                  <c:v>15743.056794928683</c:v>
                </c:pt>
                <c:pt idx="13">
                  <c:v>19283.2731282159</c:v>
                </c:pt>
                <c:pt idx="14">
                  <c:v>18570.043180260451</c:v>
                </c:pt>
                <c:pt idx="15">
                  <c:v>26703.764504283965</c:v>
                </c:pt>
                <c:pt idx="16">
                  <c:v>28665.725644832062</c:v>
                </c:pt>
                <c:pt idx="17">
                  <c:v>27128.963774691143</c:v>
                </c:pt>
                <c:pt idx="18">
                  <c:v>33077.736072598942</c:v>
                </c:pt>
                <c:pt idx="19">
                  <c:v>35955.862161643308</c:v>
                </c:pt>
                <c:pt idx="20">
                  <c:v>31869.744857420323</c:v>
                </c:pt>
                <c:pt idx="21">
                  <c:v>40677.352030319438</c:v>
                </c:pt>
                <c:pt idx="22">
                  <c:v>35825.101942397858</c:v>
                </c:pt>
                <c:pt idx="23">
                  <c:v>46778.881695504591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1-4713-9AC2-D94D9B1C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Central'!$B$32:$B$55</c:f>
              <c:numCache>
                <c:formatCode>_(* #,##0_);_(* \(#,##0\);_(* "-"??_);_(@_)</c:formatCode>
                <c:ptCount val="24"/>
                <c:pt idx="0">
                  <c:v>578.53455141688505</c:v>
                </c:pt>
                <c:pt idx="1">
                  <c:v>751.39027159133684</c:v>
                </c:pt>
                <c:pt idx="2">
                  <c:v>901.41361690864096</c:v>
                </c:pt>
                <c:pt idx="3">
                  <c:v>575.45358630962255</c:v>
                </c:pt>
                <c:pt idx="4">
                  <c:v>1542.1107425049988</c:v>
                </c:pt>
                <c:pt idx="5">
                  <c:v>3814.0819528108018</c:v>
                </c:pt>
                <c:pt idx="6">
                  <c:v>3185.9049884220885</c:v>
                </c:pt>
                <c:pt idx="7">
                  <c:v>2621.0288637325798</c:v>
                </c:pt>
                <c:pt idx="8">
                  <c:v>1625.5843539926127</c:v>
                </c:pt>
                <c:pt idx="9">
                  <c:v>1700.3805316267767</c:v>
                </c:pt>
                <c:pt idx="10">
                  <c:v>1440.1733811779754</c:v>
                </c:pt>
                <c:pt idx="11">
                  <c:v>1792.3410035812167</c:v>
                </c:pt>
                <c:pt idx="12">
                  <c:v>1634.3614113184426</c:v>
                </c:pt>
                <c:pt idx="13">
                  <c:v>1656.0989067905161</c:v>
                </c:pt>
                <c:pt idx="14">
                  <c:v>1745.7990518365464</c:v>
                </c:pt>
                <c:pt idx="15">
                  <c:v>3000.9497101971401</c:v>
                </c:pt>
                <c:pt idx="16">
                  <c:v>3207.5013932866418</c:v>
                </c:pt>
                <c:pt idx="17">
                  <c:v>4097.416587712285</c:v>
                </c:pt>
                <c:pt idx="18">
                  <c:v>5660.4828550359216</c:v>
                </c:pt>
                <c:pt idx="19">
                  <c:v>6473.9448151017532</c:v>
                </c:pt>
                <c:pt idx="20">
                  <c:v>10351.34650619547</c:v>
                </c:pt>
                <c:pt idx="21">
                  <c:v>20951.001437090013</c:v>
                </c:pt>
                <c:pt idx="22">
                  <c:v>15439.775004553248</c:v>
                </c:pt>
                <c:pt idx="23">
                  <c:v>16783.41620100525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7-42CB-9359-8A65E119EFFB}"/>
            </c:ext>
          </c:extLst>
        </c:ser>
        <c:ser>
          <c:idx val="1"/>
          <c:order val="1"/>
          <c:tx>
            <c:strRef>
              <c:f>'RF harv Central'!$D$2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Central'!$D$32:$D$55</c:f>
              <c:numCache>
                <c:formatCode>_(* #,##0_);_(* \(#,##0\);_(* "-"??_);_(@_)</c:formatCode>
                <c:ptCount val="24"/>
                <c:pt idx="0">
                  <c:v>5466.6655263115563</c:v>
                </c:pt>
                <c:pt idx="1">
                  <c:v>10242.860908993258</c:v>
                </c:pt>
                <c:pt idx="2">
                  <c:v>14224.29644185862</c:v>
                </c:pt>
                <c:pt idx="3">
                  <c:v>24400.137754369596</c:v>
                </c:pt>
                <c:pt idx="4">
                  <c:v>19832.929397123138</c:v>
                </c:pt>
                <c:pt idx="5">
                  <c:v>18852.364102736181</c:v>
                </c:pt>
                <c:pt idx="6">
                  <c:v>21306.208786153475</c:v>
                </c:pt>
                <c:pt idx="7">
                  <c:v>24400.436306365173</c:v>
                </c:pt>
                <c:pt idx="8">
                  <c:v>20495.339205870332</c:v>
                </c:pt>
                <c:pt idx="9">
                  <c:v>27234.791138684028</c:v>
                </c:pt>
                <c:pt idx="10">
                  <c:v>28695.453459364187</c:v>
                </c:pt>
                <c:pt idx="11">
                  <c:v>22601.944564891164</c:v>
                </c:pt>
                <c:pt idx="12">
                  <c:v>26879.228808182947</c:v>
                </c:pt>
                <c:pt idx="13">
                  <c:v>30410.518880792781</c:v>
                </c:pt>
                <c:pt idx="14">
                  <c:v>27781.014813581882</c:v>
                </c:pt>
                <c:pt idx="15">
                  <c:v>34083.147174723796</c:v>
                </c:pt>
                <c:pt idx="16">
                  <c:v>41651.075389744306</c:v>
                </c:pt>
                <c:pt idx="17">
                  <c:v>50441.674194269071</c:v>
                </c:pt>
                <c:pt idx="18">
                  <c:v>55044.008117348872</c:v>
                </c:pt>
                <c:pt idx="19">
                  <c:v>36998.861344014433</c:v>
                </c:pt>
                <c:pt idx="20">
                  <c:v>45070.801381422149</c:v>
                </c:pt>
                <c:pt idx="21">
                  <c:v>58554.617143937008</c:v>
                </c:pt>
                <c:pt idx="22">
                  <c:v>38757.512733722113</c:v>
                </c:pt>
                <c:pt idx="23">
                  <c:v>81589.802407130323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7-42CB-9359-8A65E119EFFB}"/>
            </c:ext>
          </c:extLst>
        </c:ser>
        <c:ser>
          <c:idx val="2"/>
          <c:order val="2"/>
          <c:tx>
            <c:strRef>
              <c:f>'RF harv Central'!$F$2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Central'!$F$32:$F$55</c:f>
              <c:numCache>
                <c:formatCode>_(* #,##0_);_(* \(#,##0\);_(* "-"??_);_(@_)</c:formatCode>
                <c:ptCount val="24"/>
                <c:pt idx="0">
                  <c:v>5782.7947797130391</c:v>
                </c:pt>
                <c:pt idx="1">
                  <c:v>7706.5327486835577</c:v>
                </c:pt>
                <c:pt idx="2">
                  <c:v>12191.407787586344</c:v>
                </c:pt>
                <c:pt idx="3">
                  <c:v>4739.1301098851554</c:v>
                </c:pt>
                <c:pt idx="4">
                  <c:v>9001.1135507301042</c:v>
                </c:pt>
                <c:pt idx="5">
                  <c:v>25435.09213030486</c:v>
                </c:pt>
                <c:pt idx="6">
                  <c:v>18585.405126219623</c:v>
                </c:pt>
                <c:pt idx="7">
                  <c:v>8129.0396975295071</c:v>
                </c:pt>
                <c:pt idx="8">
                  <c:v>13912.932844945317</c:v>
                </c:pt>
                <c:pt idx="9">
                  <c:v>28589.142924192056</c:v>
                </c:pt>
                <c:pt idx="10">
                  <c:v>19587.431284498049</c:v>
                </c:pt>
                <c:pt idx="11">
                  <c:v>12253.156390852704</c:v>
                </c:pt>
                <c:pt idx="12">
                  <c:v>24433.26566697465</c:v>
                </c:pt>
                <c:pt idx="13">
                  <c:v>41153.662942912924</c:v>
                </c:pt>
                <c:pt idx="14">
                  <c:v>17987.532233085069</c:v>
                </c:pt>
                <c:pt idx="15">
                  <c:v>21249.481628977708</c:v>
                </c:pt>
                <c:pt idx="16">
                  <c:v>14155.101665283793</c:v>
                </c:pt>
                <c:pt idx="17">
                  <c:v>17208.175891250874</c:v>
                </c:pt>
                <c:pt idx="18">
                  <c:v>35768.927236487783</c:v>
                </c:pt>
                <c:pt idx="19">
                  <c:v>26515.434331874218</c:v>
                </c:pt>
                <c:pt idx="20">
                  <c:v>15299.694485694679</c:v>
                </c:pt>
                <c:pt idx="21">
                  <c:v>18830.028999863069</c:v>
                </c:pt>
                <c:pt idx="22">
                  <c:v>11747.352584602875</c:v>
                </c:pt>
                <c:pt idx="23">
                  <c:v>23129.416589528293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7-42CB-9359-8A65E119EFFB}"/>
            </c:ext>
          </c:extLst>
        </c:ser>
        <c:ser>
          <c:idx val="3"/>
          <c:order val="3"/>
          <c:tx>
            <c:strRef>
              <c:f>'RF harv Central'!$H$2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Central'!$H$32:$H$55</c:f>
              <c:numCache>
                <c:formatCode>_(* #,##0_);_(* \(#,##0\);_(* "-"??_);_(@_)</c:formatCode>
                <c:ptCount val="24"/>
                <c:pt idx="0">
                  <c:v>6210.8484296374581</c:v>
                </c:pt>
                <c:pt idx="1">
                  <c:v>3885.9375357170275</c:v>
                </c:pt>
                <c:pt idx="2">
                  <c:v>8257.8405477728738</c:v>
                </c:pt>
                <c:pt idx="3">
                  <c:v>8998.1267014057557</c:v>
                </c:pt>
                <c:pt idx="4">
                  <c:v>7467.0971839415743</c:v>
                </c:pt>
                <c:pt idx="5">
                  <c:v>8752.0048103287118</c:v>
                </c:pt>
                <c:pt idx="6">
                  <c:v>10314.910298495874</c:v>
                </c:pt>
                <c:pt idx="7">
                  <c:v>8700.3739169732762</c:v>
                </c:pt>
                <c:pt idx="8">
                  <c:v>7293.5996667101936</c:v>
                </c:pt>
                <c:pt idx="9">
                  <c:v>9945.281928068971</c:v>
                </c:pt>
                <c:pt idx="10">
                  <c:v>11067.568207848319</c:v>
                </c:pt>
                <c:pt idx="11">
                  <c:v>10351.784157265687</c:v>
                </c:pt>
                <c:pt idx="12">
                  <c:v>9550.0066139790742</c:v>
                </c:pt>
                <c:pt idx="13">
                  <c:v>13511.389229897632</c:v>
                </c:pt>
                <c:pt idx="14">
                  <c:v>10965.405775255005</c:v>
                </c:pt>
                <c:pt idx="15">
                  <c:v>14211.254064056518</c:v>
                </c:pt>
                <c:pt idx="16">
                  <c:v>17414.864695871405</c:v>
                </c:pt>
                <c:pt idx="17">
                  <c:v>14750.918130976226</c:v>
                </c:pt>
                <c:pt idx="18">
                  <c:v>20499.475462710096</c:v>
                </c:pt>
                <c:pt idx="19">
                  <c:v>23211.677413459453</c:v>
                </c:pt>
                <c:pt idx="20">
                  <c:v>22024.818525746632</c:v>
                </c:pt>
                <c:pt idx="21">
                  <c:v>24580.990618561074</c:v>
                </c:pt>
                <c:pt idx="22">
                  <c:v>25049.538032354885</c:v>
                </c:pt>
                <c:pt idx="23">
                  <c:v>32867.033801571837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7-42CB-9359-8A65E119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harvests'!$D$127:$D$151</c:f>
            </c:numRef>
          </c:val>
          <c:smooth val="0"/>
          <c:extLst>
            <c:ext xmlns:c16="http://schemas.microsoft.com/office/drawing/2014/chart" uri="{C3380CC4-5D6E-409C-BE32-E72D297353CC}">
              <c16:uniqueId val="{00000000-69B0-47A6-89AB-50A2D59D2D1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harvests'!$N$127:$N$150</c:f>
              </c:numRef>
            </c:plus>
            <c:minus>
              <c:numRef>
                <c:f>'rockfish harvests'!$N$127:$N$150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harvests'!$O$127:$O$151</c:f>
            </c:numRef>
          </c:val>
          <c:smooth val="0"/>
          <c:extLst>
            <c:ext xmlns:c16="http://schemas.microsoft.com/office/drawing/2014/chart" uri="{C3380CC4-5D6E-409C-BE32-E72D297353CC}">
              <c16:uniqueId val="{00000001-69B0-47A6-89AB-50A2D59D2D1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harvests'!$N$127:$N$150</c:f>
              </c:numRef>
            </c:plus>
            <c:minus>
              <c:numRef>
                <c:f>'rockfish harvests'!$N$127:$N$150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harvests'!$K$127:$K$151</c:f>
            </c:numRef>
          </c:val>
          <c:smooth val="0"/>
          <c:extLst>
            <c:ext xmlns:c16="http://schemas.microsoft.com/office/drawing/2014/chart" uri="{C3380CC4-5D6E-409C-BE32-E72D297353CC}">
              <c16:uniqueId val="{00000002-69B0-47A6-89AB-50A2D59D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Central'!$B$61:$B$84</c:f>
              <c:numCache>
                <c:formatCode>_(* #,##0_);_(* \(#,##0\);_(* "-"??_);_(@_)</c:formatCode>
                <c:ptCount val="24"/>
                <c:pt idx="0">
                  <c:v>114.63402784599876</c:v>
                </c:pt>
                <c:pt idx="1">
                  <c:v>38.800047057367813</c:v>
                </c:pt>
                <c:pt idx="2">
                  <c:v>82.832973413741342</c:v>
                </c:pt>
                <c:pt idx="3">
                  <c:v>26.247090656454695</c:v>
                </c:pt>
                <c:pt idx="4">
                  <c:v>130.71241575619871</c:v>
                </c:pt>
                <c:pt idx="5">
                  <c:v>196.73455169304972</c:v>
                </c:pt>
                <c:pt idx="6">
                  <c:v>156.20412224047752</c:v>
                </c:pt>
                <c:pt idx="7">
                  <c:v>100.95751210525455</c:v>
                </c:pt>
                <c:pt idx="8">
                  <c:v>126.6134894673573</c:v>
                </c:pt>
                <c:pt idx="9">
                  <c:v>123.72875336864286</c:v>
                </c:pt>
                <c:pt idx="10">
                  <c:v>121.12828977583996</c:v>
                </c:pt>
                <c:pt idx="11">
                  <c:v>142</c:v>
                </c:pt>
                <c:pt idx="12">
                  <c:v>185</c:v>
                </c:pt>
                <c:pt idx="13">
                  <c:v>217.90577346278317</c:v>
                </c:pt>
                <c:pt idx="14">
                  <c:v>285.76097223449557</c:v>
                </c:pt>
                <c:pt idx="15">
                  <c:v>340.58643347341899</c:v>
                </c:pt>
                <c:pt idx="16">
                  <c:v>207.87273338704921</c:v>
                </c:pt>
                <c:pt idx="17">
                  <c:v>235.32596925154078</c:v>
                </c:pt>
                <c:pt idx="18">
                  <c:v>185</c:v>
                </c:pt>
                <c:pt idx="19">
                  <c:v>514.05519472633296</c:v>
                </c:pt>
                <c:pt idx="20">
                  <c:v>551.95790333136938</c:v>
                </c:pt>
                <c:pt idx="21">
                  <c:v>546.45169971794257</c:v>
                </c:pt>
                <c:pt idx="22">
                  <c:v>794.25331621737269</c:v>
                </c:pt>
                <c:pt idx="23">
                  <c:v>568.3968155886148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F-4C59-A874-5C1417C84AEA}"/>
            </c:ext>
          </c:extLst>
        </c:ser>
        <c:ser>
          <c:idx val="1"/>
          <c:order val="1"/>
          <c:tx>
            <c:strRef>
              <c:f>'RF harv Central'!$D$2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Central'!$D$61:$D$84</c:f>
              <c:numCache>
                <c:formatCode>_(* #,##0_);_(* \(#,##0\);_(* "-"??_);_(@_)</c:formatCode>
                <c:ptCount val="24"/>
                <c:pt idx="0">
                  <c:v>1010.8472744741673</c:v>
                </c:pt>
                <c:pt idx="1">
                  <c:v>1972.8827593606434</c:v>
                </c:pt>
                <c:pt idx="2">
                  <c:v>2251.7961901175809</c:v>
                </c:pt>
                <c:pt idx="3">
                  <c:v>3630.8895239532312</c:v>
                </c:pt>
                <c:pt idx="4">
                  <c:v>2277.5040950429998</c:v>
                </c:pt>
                <c:pt idx="5">
                  <c:v>3741.5840380937025</c:v>
                </c:pt>
                <c:pt idx="6">
                  <c:v>4547.3562745164036</c:v>
                </c:pt>
                <c:pt idx="7">
                  <c:v>4442.565926288662</c:v>
                </c:pt>
                <c:pt idx="8">
                  <c:v>4727.1493236848582</c:v>
                </c:pt>
                <c:pt idx="9">
                  <c:v>4495.907789828324</c:v>
                </c:pt>
                <c:pt idx="10">
                  <c:v>4994.3702105900184</c:v>
                </c:pt>
                <c:pt idx="11">
                  <c:v>3701.4340015587459</c:v>
                </c:pt>
                <c:pt idx="12">
                  <c:v>4968.1559316658286</c:v>
                </c:pt>
                <c:pt idx="13">
                  <c:v>10669.006809314189</c:v>
                </c:pt>
                <c:pt idx="14">
                  <c:v>7206.7994962189441</c:v>
                </c:pt>
                <c:pt idx="15">
                  <c:v>5204.2948050256036</c:v>
                </c:pt>
                <c:pt idx="16">
                  <c:v>6051.9873365581861</c:v>
                </c:pt>
                <c:pt idx="17">
                  <c:v>6603.921463759305</c:v>
                </c:pt>
                <c:pt idx="18">
                  <c:v>7593.0449405866093</c:v>
                </c:pt>
                <c:pt idx="19">
                  <c:v>4799.5903715376362</c:v>
                </c:pt>
                <c:pt idx="20">
                  <c:v>7839.9500647929945</c:v>
                </c:pt>
                <c:pt idx="21">
                  <c:v>11737.347942109271</c:v>
                </c:pt>
                <c:pt idx="22">
                  <c:v>7241.3555109284898</c:v>
                </c:pt>
                <c:pt idx="23">
                  <c:v>9648.7054447608243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F-4C59-A874-5C1417C84AEA}"/>
            </c:ext>
          </c:extLst>
        </c:ser>
        <c:ser>
          <c:idx val="2"/>
          <c:order val="2"/>
          <c:tx>
            <c:strRef>
              <c:f>'RF harv Central'!$F$2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Central'!$F$61:$F$84</c:f>
              <c:numCache>
                <c:formatCode>_(* #,##0_);_(* \(#,##0\);_(* "-"??_);_(@_)</c:formatCode>
                <c:ptCount val="24"/>
                <c:pt idx="0">
                  <c:v>4323.3091952068589</c:v>
                </c:pt>
                <c:pt idx="1">
                  <c:v>6232.4939588887446</c:v>
                </c:pt>
                <c:pt idx="2">
                  <c:v>4193.5807750539725</c:v>
                </c:pt>
                <c:pt idx="3">
                  <c:v>16006.251354019303</c:v>
                </c:pt>
                <c:pt idx="4">
                  <c:v>12764.663929567156</c:v>
                </c:pt>
                <c:pt idx="5">
                  <c:v>7553.370735548353</c:v>
                </c:pt>
                <c:pt idx="6">
                  <c:v>10754.231952603139</c:v>
                </c:pt>
                <c:pt idx="7">
                  <c:v>15412.96534265212</c:v>
                </c:pt>
                <c:pt idx="8">
                  <c:v>7057.6247000212579</c:v>
                </c:pt>
                <c:pt idx="9">
                  <c:v>6812.5266224150455</c:v>
                </c:pt>
                <c:pt idx="10">
                  <c:v>6020.3625949699981</c:v>
                </c:pt>
                <c:pt idx="11">
                  <c:v>6656.4104345946271</c:v>
                </c:pt>
                <c:pt idx="12">
                  <c:v>5890.5222992868257</c:v>
                </c:pt>
                <c:pt idx="13">
                  <c:v>10013.149281726068</c:v>
                </c:pt>
                <c:pt idx="14">
                  <c:v>11293.970363139695</c:v>
                </c:pt>
                <c:pt idx="15">
                  <c:v>8547.6810594375947</c:v>
                </c:pt>
                <c:pt idx="16">
                  <c:v>14881.883454497516</c:v>
                </c:pt>
                <c:pt idx="17">
                  <c:v>23885.877389538386</c:v>
                </c:pt>
                <c:pt idx="18">
                  <c:v>12059.125859241933</c:v>
                </c:pt>
                <c:pt idx="19">
                  <c:v>10753.720765991142</c:v>
                </c:pt>
                <c:pt idx="20">
                  <c:v>5220.3968911926113</c:v>
                </c:pt>
                <c:pt idx="21">
                  <c:v>12090.512924557934</c:v>
                </c:pt>
                <c:pt idx="22">
                  <c:v>5896.8659756685465</c:v>
                </c:pt>
                <c:pt idx="23">
                  <c:v>8237.8394221007584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F-4C59-A874-5C1417C84AEA}"/>
            </c:ext>
          </c:extLst>
        </c:ser>
        <c:ser>
          <c:idx val="3"/>
          <c:order val="3"/>
          <c:tx>
            <c:strRef>
              <c:f>'RF harv Central'!$H$2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Central'!$H$61:$H$84</c:f>
              <c:numCache>
                <c:formatCode>_(* #,##0_);_(* \(#,##0\);_(* "-"??_);_(@_)</c:formatCode>
                <c:ptCount val="24"/>
                <c:pt idx="0">
                  <c:v>1524.7131150898849</c:v>
                </c:pt>
                <c:pt idx="1">
                  <c:v>1372.4240179057144</c:v>
                </c:pt>
                <c:pt idx="2">
                  <c:v>2233.1015129593766</c:v>
                </c:pt>
                <c:pt idx="3">
                  <c:v>3273.5906180914117</c:v>
                </c:pt>
                <c:pt idx="4">
                  <c:v>2405.0861038705875</c:v>
                </c:pt>
                <c:pt idx="5">
                  <c:v>2217.1441774115324</c:v>
                </c:pt>
                <c:pt idx="6">
                  <c:v>2785.262202098957</c:v>
                </c:pt>
                <c:pt idx="7">
                  <c:v>1719.0524302587439</c:v>
                </c:pt>
                <c:pt idx="8">
                  <c:v>2735.8421010569841</c:v>
                </c:pt>
                <c:pt idx="9">
                  <c:v>3686.3072569496212</c:v>
                </c:pt>
                <c:pt idx="10">
                  <c:v>3344.2297301840117</c:v>
                </c:pt>
                <c:pt idx="11">
                  <c:v>3440.3571153935532</c:v>
                </c:pt>
                <c:pt idx="12">
                  <c:v>3859.3487313610804</c:v>
                </c:pt>
                <c:pt idx="13">
                  <c:v>3631.4346867570644</c:v>
                </c:pt>
                <c:pt idx="14">
                  <c:v>3898.828160604784</c:v>
                </c:pt>
                <c:pt idx="15">
                  <c:v>3983.719893661133</c:v>
                </c:pt>
                <c:pt idx="16">
                  <c:v>4750.0547256455111</c:v>
                </c:pt>
                <c:pt idx="17">
                  <c:v>4469.9577383771712</c:v>
                </c:pt>
                <c:pt idx="18">
                  <c:v>6063.5322109110748</c:v>
                </c:pt>
                <c:pt idx="19">
                  <c:v>6412.5704511017502</c:v>
                </c:pt>
                <c:pt idx="20">
                  <c:v>4288.0212741982687</c:v>
                </c:pt>
                <c:pt idx="21">
                  <c:v>6165.5368305679594</c:v>
                </c:pt>
                <c:pt idx="22">
                  <c:v>4173.7521858856489</c:v>
                </c:pt>
                <c:pt idx="23">
                  <c:v>5894.1105598690137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F-4C59-A874-5C1417C8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SEAK'!$B$4:$B$27</c:f>
              <c:numCache>
                <c:formatCode>_(* #,##0_);_(* \(#,##0\);_(* "-"??_);_(@_)</c:formatCode>
                <c:ptCount val="24"/>
                <c:pt idx="0">
                  <c:v>10785.556656147837</c:v>
                </c:pt>
                <c:pt idx="1">
                  <c:v>11096.479173461516</c:v>
                </c:pt>
                <c:pt idx="2">
                  <c:v>19409.626034526136</c:v>
                </c:pt>
                <c:pt idx="3">
                  <c:v>17369.053069045251</c:v>
                </c:pt>
                <c:pt idx="4">
                  <c:v>16126.514564669476</c:v>
                </c:pt>
                <c:pt idx="5">
                  <c:v>17586.698831164827</c:v>
                </c:pt>
                <c:pt idx="6">
                  <c:v>25099.50810136646</c:v>
                </c:pt>
                <c:pt idx="7">
                  <c:v>31442.327454565508</c:v>
                </c:pt>
                <c:pt idx="8">
                  <c:v>38863.01153445198</c:v>
                </c:pt>
                <c:pt idx="9">
                  <c:v>44269.608641073173</c:v>
                </c:pt>
                <c:pt idx="10">
                  <c:v>60918.9336607812</c:v>
                </c:pt>
                <c:pt idx="11">
                  <c:v>36524.183265325752</c:v>
                </c:pt>
                <c:pt idx="12">
                  <c:v>50453.51204097856</c:v>
                </c:pt>
                <c:pt idx="13">
                  <c:v>68480.968038392311</c:v>
                </c:pt>
                <c:pt idx="14">
                  <c:v>63827.587639698155</c:v>
                </c:pt>
                <c:pt idx="15">
                  <c:v>70364.987163814178</c:v>
                </c:pt>
                <c:pt idx="16">
                  <c:v>86708.052896462119</c:v>
                </c:pt>
                <c:pt idx="17">
                  <c:v>88259.545990311773</c:v>
                </c:pt>
                <c:pt idx="18">
                  <c:v>63347.772142219961</c:v>
                </c:pt>
                <c:pt idx="19">
                  <c:v>71940.082903438393</c:v>
                </c:pt>
                <c:pt idx="20">
                  <c:v>61699.047320720041</c:v>
                </c:pt>
                <c:pt idx="21">
                  <c:v>69676.250304369401</c:v>
                </c:pt>
                <c:pt idx="22">
                  <c:v>30307.582512931756</c:v>
                </c:pt>
                <c:pt idx="23">
                  <c:v>62821.383245691672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1-487E-9DB1-1FEC84DB5EBD}"/>
            </c:ext>
          </c:extLst>
        </c:ser>
        <c:ser>
          <c:idx val="1"/>
          <c:order val="1"/>
          <c:tx>
            <c:strRef>
              <c:f>'RF harv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SEAK'!$D$4:$D$27</c:f>
              <c:numCache>
                <c:formatCode>_(* #,##0_);_(* \(#,##0\);_(* "-"??_);_(@_)</c:formatCode>
                <c:ptCount val="24"/>
                <c:pt idx="0">
                  <c:v>1645.0389532640204</c:v>
                </c:pt>
                <c:pt idx="1">
                  <c:v>835.7554222329851</c:v>
                </c:pt>
                <c:pt idx="2">
                  <c:v>1511.4189310065597</c:v>
                </c:pt>
                <c:pt idx="3">
                  <c:v>1314.7705963635044</c:v>
                </c:pt>
                <c:pt idx="4">
                  <c:v>1125.6856592067204</c:v>
                </c:pt>
                <c:pt idx="5">
                  <c:v>2050.9412850272502</c:v>
                </c:pt>
                <c:pt idx="6">
                  <c:v>1892.1099378155513</c:v>
                </c:pt>
                <c:pt idx="7">
                  <c:v>2112.7090311651327</c:v>
                </c:pt>
                <c:pt idx="8">
                  <c:v>3187.9720404633777</c:v>
                </c:pt>
                <c:pt idx="9">
                  <c:v>2886.6967072602351</c:v>
                </c:pt>
                <c:pt idx="10">
                  <c:v>3601.4377697128784</c:v>
                </c:pt>
                <c:pt idx="11">
                  <c:v>3143.852221793461</c:v>
                </c:pt>
                <c:pt idx="12">
                  <c:v>3069.4788131784594</c:v>
                </c:pt>
                <c:pt idx="13">
                  <c:v>4284.4366812227072</c:v>
                </c:pt>
                <c:pt idx="14">
                  <c:v>3776.1442770118629</c:v>
                </c:pt>
                <c:pt idx="15">
                  <c:v>4475.3664881407803</c:v>
                </c:pt>
                <c:pt idx="16">
                  <c:v>5718.1397849462364</c:v>
                </c:pt>
                <c:pt idx="17">
                  <c:v>8126.5678935972783</c:v>
                </c:pt>
                <c:pt idx="18">
                  <c:v>9606.8674308497375</c:v>
                </c:pt>
                <c:pt idx="19">
                  <c:v>7580.0488400488402</c:v>
                </c:pt>
                <c:pt idx="20">
                  <c:v>10630.379506304387</c:v>
                </c:pt>
                <c:pt idx="21">
                  <c:v>10910.494473531124</c:v>
                </c:pt>
                <c:pt idx="22">
                  <c:v>4973.6383877159315</c:v>
                </c:pt>
                <c:pt idx="23">
                  <c:v>8856.750779741571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1-487E-9DB1-1FEC84DB5EBD}"/>
            </c:ext>
          </c:extLst>
        </c:ser>
        <c:ser>
          <c:idx val="2"/>
          <c:order val="2"/>
          <c:tx>
            <c:strRef>
              <c:f>'RF harv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SEAK'!$F$4:$F$27</c:f>
              <c:numCache>
                <c:formatCode>_(* #,##0_);_(* \(#,##0\);_(* "-"??_);_(@_)</c:formatCode>
                <c:ptCount val="24"/>
                <c:pt idx="0">
                  <c:v>8429.4015142904627</c:v>
                </c:pt>
                <c:pt idx="1">
                  <c:v>10148.776127801366</c:v>
                </c:pt>
                <c:pt idx="2">
                  <c:v>15544.550077251628</c:v>
                </c:pt>
                <c:pt idx="3">
                  <c:v>11550.752273697548</c:v>
                </c:pt>
                <c:pt idx="4">
                  <c:v>7907.8472484109971</c:v>
                </c:pt>
                <c:pt idx="5">
                  <c:v>9679.8557786620295</c:v>
                </c:pt>
                <c:pt idx="6">
                  <c:v>9652.7413367049921</c:v>
                </c:pt>
                <c:pt idx="7">
                  <c:v>12246.157961536836</c:v>
                </c:pt>
                <c:pt idx="8">
                  <c:v>10266.803698673171</c:v>
                </c:pt>
                <c:pt idx="9">
                  <c:v>11960.658837400981</c:v>
                </c:pt>
                <c:pt idx="10">
                  <c:v>17421.826440982921</c:v>
                </c:pt>
                <c:pt idx="11">
                  <c:v>14873.068897021491</c:v>
                </c:pt>
                <c:pt idx="12">
                  <c:v>19047.097991231167</c:v>
                </c:pt>
                <c:pt idx="13">
                  <c:v>21134.144125958821</c:v>
                </c:pt>
                <c:pt idx="14">
                  <c:v>30331.837840909095</c:v>
                </c:pt>
                <c:pt idx="15">
                  <c:v>22942.238805970148</c:v>
                </c:pt>
                <c:pt idx="16">
                  <c:v>32276.119924151324</c:v>
                </c:pt>
                <c:pt idx="17">
                  <c:v>31763.885700148439</c:v>
                </c:pt>
                <c:pt idx="18">
                  <c:v>40066.291818701371</c:v>
                </c:pt>
                <c:pt idx="19">
                  <c:v>41111.228360636691</c:v>
                </c:pt>
                <c:pt idx="20">
                  <c:v>50022.26901059274</c:v>
                </c:pt>
                <c:pt idx="21">
                  <c:v>59476.361216730038</c:v>
                </c:pt>
                <c:pt idx="22">
                  <c:v>22443.397890444958</c:v>
                </c:pt>
                <c:pt idx="23">
                  <c:v>41077.489980580918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1-487E-9DB1-1FEC84DB5EBD}"/>
            </c:ext>
          </c:extLst>
        </c:ser>
        <c:ser>
          <c:idx val="3"/>
          <c:order val="3"/>
          <c:tx>
            <c:strRef>
              <c:f>'RF harv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SEAK'!$H$4:$H$27</c:f>
              <c:numCache>
                <c:formatCode>_(* #,##0_);_(* \(#,##0\);_(* "-"??_);_(@_)</c:formatCode>
                <c:ptCount val="24"/>
                <c:pt idx="0">
                  <c:v>1718.6553389715536</c:v>
                </c:pt>
                <c:pt idx="1">
                  <c:v>1639.073791663877</c:v>
                </c:pt>
                <c:pt idx="2">
                  <c:v>4412.1846324621447</c:v>
                </c:pt>
                <c:pt idx="3">
                  <c:v>4344.8464001248803</c:v>
                </c:pt>
                <c:pt idx="4">
                  <c:v>3105.2107593706878</c:v>
                </c:pt>
                <c:pt idx="5">
                  <c:v>4718.26750672244</c:v>
                </c:pt>
                <c:pt idx="6">
                  <c:v>4473.4012073142039</c:v>
                </c:pt>
                <c:pt idx="7">
                  <c:v>4279.0385821589171</c:v>
                </c:pt>
                <c:pt idx="8">
                  <c:v>4680.0071474399028</c:v>
                </c:pt>
                <c:pt idx="9">
                  <c:v>6528.7477079720811</c:v>
                </c:pt>
                <c:pt idx="10">
                  <c:v>7667.3760002203771</c:v>
                </c:pt>
                <c:pt idx="11">
                  <c:v>4312.7076983275492</c:v>
                </c:pt>
                <c:pt idx="12">
                  <c:v>7059.8014948136924</c:v>
                </c:pt>
                <c:pt idx="13">
                  <c:v>11059.863872082973</c:v>
                </c:pt>
                <c:pt idx="14">
                  <c:v>12656.140350877193</c:v>
                </c:pt>
                <c:pt idx="15">
                  <c:v>10533.463803255974</c:v>
                </c:pt>
                <c:pt idx="16">
                  <c:v>18410.250883987203</c:v>
                </c:pt>
                <c:pt idx="17">
                  <c:v>13685.480355422331</c:v>
                </c:pt>
                <c:pt idx="18">
                  <c:v>7499.6278507924235</c:v>
                </c:pt>
                <c:pt idx="19">
                  <c:v>16078.017147192715</c:v>
                </c:pt>
                <c:pt idx="20">
                  <c:v>18860.883640705848</c:v>
                </c:pt>
                <c:pt idx="21">
                  <c:v>18193.663451672481</c:v>
                </c:pt>
                <c:pt idx="22">
                  <c:v>4399.5719163465646</c:v>
                </c:pt>
                <c:pt idx="23">
                  <c:v>15994.894678355353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1-487E-9DB1-1FEC84DB5EBD}"/>
            </c:ext>
          </c:extLst>
        </c:ser>
        <c:ser>
          <c:idx val="4"/>
          <c:order val="4"/>
          <c:tx>
            <c:strRef>
              <c:f>'RF harv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SEAK'!$J$4:$J$27</c:f>
              <c:numCache>
                <c:formatCode>_(* #,##0_);_(* \(#,##0\);_(* "-"??_);_(@_)</c:formatCode>
                <c:ptCount val="24"/>
                <c:pt idx="0">
                  <c:v>13683.476763338715</c:v>
                </c:pt>
                <c:pt idx="1">
                  <c:v>16107.207114806952</c:v>
                </c:pt>
                <c:pt idx="2">
                  <c:v>26202.076811318933</c:v>
                </c:pt>
                <c:pt idx="3">
                  <c:v>20430.145469364368</c:v>
                </c:pt>
                <c:pt idx="4">
                  <c:v>17556.200102204104</c:v>
                </c:pt>
                <c:pt idx="5">
                  <c:v>24615.396707472279</c:v>
                </c:pt>
                <c:pt idx="6">
                  <c:v>28837.801611923707</c:v>
                </c:pt>
                <c:pt idx="7">
                  <c:v>33501.679492927513</c:v>
                </c:pt>
                <c:pt idx="8">
                  <c:v>38714.120329944417</c:v>
                </c:pt>
                <c:pt idx="9">
                  <c:v>44514.463299102848</c:v>
                </c:pt>
                <c:pt idx="10">
                  <c:v>40991.421525823498</c:v>
                </c:pt>
                <c:pt idx="11">
                  <c:v>32426.408678750442</c:v>
                </c:pt>
                <c:pt idx="12">
                  <c:v>43742.978345028649</c:v>
                </c:pt>
                <c:pt idx="13">
                  <c:v>43385.656259472569</c:v>
                </c:pt>
                <c:pt idx="14">
                  <c:v>51250.239687848378</c:v>
                </c:pt>
                <c:pt idx="15">
                  <c:v>59046.842065821518</c:v>
                </c:pt>
                <c:pt idx="16">
                  <c:v>58838.073336968373</c:v>
                </c:pt>
                <c:pt idx="17">
                  <c:v>60956.645359656926</c:v>
                </c:pt>
                <c:pt idx="18">
                  <c:v>66405.532446281708</c:v>
                </c:pt>
                <c:pt idx="19">
                  <c:v>62909.834871736792</c:v>
                </c:pt>
                <c:pt idx="20">
                  <c:v>76774.8595505618</c:v>
                </c:pt>
                <c:pt idx="21">
                  <c:v>105817.34860446323</c:v>
                </c:pt>
                <c:pt idx="22">
                  <c:v>26303.649154865238</c:v>
                </c:pt>
                <c:pt idx="23">
                  <c:v>42574.636497865038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1-487E-9DB1-1FEC84DB5EB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SEAK'!$L$4:$L$27</c:f>
              <c:numCache>
                <c:formatCode>_(* #,##0_);_(* \(#,##0\);_(* "-"??_);_(@_)</c:formatCode>
                <c:ptCount val="24"/>
                <c:pt idx="0">
                  <c:v>4728.4215757484271</c:v>
                </c:pt>
                <c:pt idx="1">
                  <c:v>6852.8709556215817</c:v>
                </c:pt>
                <c:pt idx="2">
                  <c:v>10258.522162769743</c:v>
                </c:pt>
                <c:pt idx="3">
                  <c:v>8545.304423864347</c:v>
                </c:pt>
                <c:pt idx="4">
                  <c:v>11308.127831232579</c:v>
                </c:pt>
                <c:pt idx="5">
                  <c:v>10237.737892107112</c:v>
                </c:pt>
                <c:pt idx="6">
                  <c:v>14936.467652623209</c:v>
                </c:pt>
                <c:pt idx="7">
                  <c:v>18803.826586634088</c:v>
                </c:pt>
                <c:pt idx="8">
                  <c:v>17825.481274728842</c:v>
                </c:pt>
                <c:pt idx="9">
                  <c:v>17841.811773106623</c:v>
                </c:pt>
                <c:pt idx="10">
                  <c:v>26357.424381738641</c:v>
                </c:pt>
                <c:pt idx="11">
                  <c:v>14318.877895790762</c:v>
                </c:pt>
                <c:pt idx="12">
                  <c:v>18431.194305468358</c:v>
                </c:pt>
                <c:pt idx="13">
                  <c:v>17425.832645403378</c:v>
                </c:pt>
                <c:pt idx="14">
                  <c:v>21501.484048613747</c:v>
                </c:pt>
                <c:pt idx="15">
                  <c:v>22683.680191645457</c:v>
                </c:pt>
                <c:pt idx="16">
                  <c:v>24422.057259158752</c:v>
                </c:pt>
                <c:pt idx="17">
                  <c:v>33215.524335519505</c:v>
                </c:pt>
                <c:pt idx="18">
                  <c:v>27237.761702821725</c:v>
                </c:pt>
                <c:pt idx="19">
                  <c:v>28180.221332705438</c:v>
                </c:pt>
                <c:pt idx="20">
                  <c:v>39816.635899450121</c:v>
                </c:pt>
                <c:pt idx="21">
                  <c:v>39271.985999299963</c:v>
                </c:pt>
                <c:pt idx="22">
                  <c:v>15388.622535579058</c:v>
                </c:pt>
                <c:pt idx="23">
                  <c:v>31069.087000071548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71-487E-9DB1-1FEC84DB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SEAK'!$B$32:$B$55</c:f>
              <c:numCache>
                <c:formatCode>_(* #,##0_);_(* \(#,##0\);_(* "-"??_);_(@_)</c:formatCode>
                <c:ptCount val="24"/>
                <c:pt idx="0">
                  <c:v>5109.2861107933395</c:v>
                </c:pt>
                <c:pt idx="1">
                  <c:v>4526.4484377305489</c:v>
                </c:pt>
                <c:pt idx="2">
                  <c:v>7017.4540045510321</c:v>
                </c:pt>
                <c:pt idx="3">
                  <c:v>5186.799467588633</c:v>
                </c:pt>
                <c:pt idx="4">
                  <c:v>6222.3760168044737</c:v>
                </c:pt>
                <c:pt idx="5">
                  <c:v>7783.1235787198812</c:v>
                </c:pt>
                <c:pt idx="6">
                  <c:v>11311.709402952769</c:v>
                </c:pt>
                <c:pt idx="7">
                  <c:v>14771.632028089245</c:v>
                </c:pt>
                <c:pt idx="8">
                  <c:v>22682.73202205935</c:v>
                </c:pt>
                <c:pt idx="9">
                  <c:v>27069.196654343843</c:v>
                </c:pt>
                <c:pt idx="10">
                  <c:v>41752.648530161903</c:v>
                </c:pt>
                <c:pt idx="11">
                  <c:v>24307.666775303973</c:v>
                </c:pt>
                <c:pt idx="12">
                  <c:v>33554.270625346166</c:v>
                </c:pt>
                <c:pt idx="13">
                  <c:v>50769.780446855933</c:v>
                </c:pt>
                <c:pt idx="14">
                  <c:v>45759.208903555111</c:v>
                </c:pt>
                <c:pt idx="15">
                  <c:v>53329.116116007412</c:v>
                </c:pt>
                <c:pt idx="16">
                  <c:v>65132.033713635894</c:v>
                </c:pt>
                <c:pt idx="17">
                  <c:v>66092.534663024664</c:v>
                </c:pt>
                <c:pt idx="18">
                  <c:v>44433.393824987477</c:v>
                </c:pt>
                <c:pt idx="19">
                  <c:v>50392.762800125296</c:v>
                </c:pt>
                <c:pt idx="20">
                  <c:v>45639.668896178824</c:v>
                </c:pt>
                <c:pt idx="21">
                  <c:v>53287.147799392013</c:v>
                </c:pt>
                <c:pt idx="22">
                  <c:v>27429.026898153828</c:v>
                </c:pt>
                <c:pt idx="23">
                  <c:v>57830.014973251484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40D8-BFDF-C49EBB1BB557}"/>
            </c:ext>
          </c:extLst>
        </c:ser>
        <c:ser>
          <c:idx val="1"/>
          <c:order val="1"/>
          <c:tx>
            <c:strRef>
              <c:f>'RF harv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SEAK'!$D$32:$D$55</c:f>
              <c:numCache>
                <c:formatCode>_(* #,##0_);_(* \(#,##0\);_(* "-"??_);_(@_)</c:formatCode>
                <c:ptCount val="24"/>
                <c:pt idx="0">
                  <c:v>985.83253862133824</c:v>
                </c:pt>
                <c:pt idx="1">
                  <c:v>690.38285707176499</c:v>
                </c:pt>
                <c:pt idx="2">
                  <c:v>1315.4731738538947</c:v>
                </c:pt>
                <c:pt idx="3">
                  <c:v>1116.1910920841854</c:v>
                </c:pt>
                <c:pt idx="4">
                  <c:v>983.46166626138779</c:v>
                </c:pt>
                <c:pt idx="5">
                  <c:v>1537.7931114266105</c:v>
                </c:pt>
                <c:pt idx="6">
                  <c:v>1449.0197488164604</c:v>
                </c:pt>
                <c:pt idx="7">
                  <c:v>1754.3453147693908</c:v>
                </c:pt>
                <c:pt idx="8">
                  <c:v>2688.8985904128322</c:v>
                </c:pt>
                <c:pt idx="9">
                  <c:v>2522.2917795093531</c:v>
                </c:pt>
                <c:pt idx="10">
                  <c:v>3043.2162623164641</c:v>
                </c:pt>
                <c:pt idx="11">
                  <c:v>2800.3494704252598</c:v>
                </c:pt>
                <c:pt idx="12">
                  <c:v>2457.5723339449796</c:v>
                </c:pt>
                <c:pt idx="13">
                  <c:v>3516.3919194144455</c:v>
                </c:pt>
                <c:pt idx="14">
                  <c:v>3087.2658493389422</c:v>
                </c:pt>
                <c:pt idx="15">
                  <c:v>3930.506975198984</c:v>
                </c:pt>
                <c:pt idx="16">
                  <c:v>4904.2041329687736</c:v>
                </c:pt>
                <c:pt idx="17">
                  <c:v>7054.4903416582492</c:v>
                </c:pt>
                <c:pt idx="18">
                  <c:v>8025.2509537542774</c:v>
                </c:pt>
                <c:pt idx="19">
                  <c:v>6490.8694410252392</c:v>
                </c:pt>
                <c:pt idx="20">
                  <c:v>9020.7627217825593</c:v>
                </c:pt>
                <c:pt idx="21">
                  <c:v>9465.8571552228022</c:v>
                </c:pt>
                <c:pt idx="22">
                  <c:v>4818.0518071193155</c:v>
                </c:pt>
                <c:pt idx="23">
                  <c:v>8662.3338727041883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E-40D8-BFDF-C49EBB1BB557}"/>
            </c:ext>
          </c:extLst>
        </c:ser>
        <c:ser>
          <c:idx val="2"/>
          <c:order val="2"/>
          <c:tx>
            <c:strRef>
              <c:f>'RF harv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SEAK'!$F$32:$F$55</c:f>
              <c:numCache>
                <c:formatCode>_(* #,##0_);_(* \(#,##0\);_(* "-"??_);_(@_)</c:formatCode>
                <c:ptCount val="24"/>
                <c:pt idx="0">
                  <c:v>2545.6840087219839</c:v>
                </c:pt>
                <c:pt idx="1">
                  <c:v>3630.5040680794018</c:v>
                </c:pt>
                <c:pt idx="2">
                  <c:v>5328.7965482081872</c:v>
                </c:pt>
                <c:pt idx="3">
                  <c:v>3789.5842596457151</c:v>
                </c:pt>
                <c:pt idx="4">
                  <c:v>2910.5205549053699</c:v>
                </c:pt>
                <c:pt idx="5">
                  <c:v>3371.7442514051063</c:v>
                </c:pt>
                <c:pt idx="6">
                  <c:v>3210.5587743028509</c:v>
                </c:pt>
                <c:pt idx="7">
                  <c:v>4246.1151225412013</c:v>
                </c:pt>
                <c:pt idx="8">
                  <c:v>4438.9726879623568</c:v>
                </c:pt>
                <c:pt idx="9">
                  <c:v>4775.7531153372838</c:v>
                </c:pt>
                <c:pt idx="10">
                  <c:v>7353.6442227897951</c:v>
                </c:pt>
                <c:pt idx="11">
                  <c:v>5802.7027354693046</c:v>
                </c:pt>
                <c:pt idx="12">
                  <c:v>7658.6840301610364</c:v>
                </c:pt>
                <c:pt idx="13">
                  <c:v>9376.7482891199343</c:v>
                </c:pt>
                <c:pt idx="14">
                  <c:v>13142.249323951939</c:v>
                </c:pt>
                <c:pt idx="15">
                  <c:v>10262.346287632536</c:v>
                </c:pt>
                <c:pt idx="16">
                  <c:v>13291.577311781086</c:v>
                </c:pt>
                <c:pt idx="17">
                  <c:v>13707.06742366379</c:v>
                </c:pt>
                <c:pt idx="18">
                  <c:v>10696.551293926825</c:v>
                </c:pt>
                <c:pt idx="19">
                  <c:v>12258.097150997084</c:v>
                </c:pt>
                <c:pt idx="20">
                  <c:v>10279.09612061026</c:v>
                </c:pt>
                <c:pt idx="21">
                  <c:v>12931.933964741216</c:v>
                </c:pt>
                <c:pt idx="22">
                  <c:v>9519.8411725382866</c:v>
                </c:pt>
                <c:pt idx="23">
                  <c:v>12379.102755669761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E-40D8-BFDF-C49EBB1BB557}"/>
            </c:ext>
          </c:extLst>
        </c:ser>
        <c:ser>
          <c:idx val="3"/>
          <c:order val="3"/>
          <c:tx>
            <c:strRef>
              <c:f>'RF harv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SEAK'!$H$32:$H$55</c:f>
              <c:numCache>
                <c:formatCode>_(* #,##0_);_(* \(#,##0\);_(* "-"??_);_(@_)</c:formatCode>
                <c:ptCount val="24"/>
                <c:pt idx="0">
                  <c:v>927.74164204660451</c:v>
                </c:pt>
                <c:pt idx="1">
                  <c:v>800.5190215331063</c:v>
                </c:pt>
                <c:pt idx="2">
                  <c:v>2300.548463697311</c:v>
                </c:pt>
                <c:pt idx="3">
                  <c:v>2076.6671376370437</c:v>
                </c:pt>
                <c:pt idx="4">
                  <c:v>1299.295531696207</c:v>
                </c:pt>
                <c:pt idx="5">
                  <c:v>2333.4453071080738</c:v>
                </c:pt>
                <c:pt idx="6">
                  <c:v>1880.5679839184638</c:v>
                </c:pt>
                <c:pt idx="7">
                  <c:v>2018.4761173615548</c:v>
                </c:pt>
                <c:pt idx="8">
                  <c:v>1962.5133875616009</c:v>
                </c:pt>
                <c:pt idx="9">
                  <c:v>3195.8458360784375</c:v>
                </c:pt>
                <c:pt idx="10">
                  <c:v>4710.1009184342602</c:v>
                </c:pt>
                <c:pt idx="11">
                  <c:v>2449.2800469054973</c:v>
                </c:pt>
                <c:pt idx="12">
                  <c:v>4214.0900257706062</c:v>
                </c:pt>
                <c:pt idx="13">
                  <c:v>7835.2318261751498</c:v>
                </c:pt>
                <c:pt idx="14">
                  <c:v>8951.0314088624382</c:v>
                </c:pt>
                <c:pt idx="15">
                  <c:v>7334.2180377142668</c:v>
                </c:pt>
                <c:pt idx="16">
                  <c:v>13519.430448069656</c:v>
                </c:pt>
                <c:pt idx="17">
                  <c:v>9065.0575213470729</c:v>
                </c:pt>
                <c:pt idx="18">
                  <c:v>5047.2935321359719</c:v>
                </c:pt>
                <c:pt idx="19">
                  <c:v>11868.906769601883</c:v>
                </c:pt>
                <c:pt idx="20">
                  <c:v>14177.892546843908</c:v>
                </c:pt>
                <c:pt idx="21">
                  <c:v>13947.828265085333</c:v>
                </c:pt>
                <c:pt idx="22">
                  <c:v>4008.9990910922984</c:v>
                </c:pt>
                <c:pt idx="23">
                  <c:v>13379.926961517056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E-40D8-BFDF-C49EBB1BB557}"/>
            </c:ext>
          </c:extLst>
        </c:ser>
        <c:ser>
          <c:idx val="4"/>
          <c:order val="4"/>
          <c:tx>
            <c:strRef>
              <c:f>'RF harv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SEAK'!$J$32:$J$55</c:f>
              <c:numCache>
                <c:formatCode>_(* #,##0_);_(* \(#,##0\);_(* "-"??_);_(@_)</c:formatCode>
                <c:ptCount val="24"/>
                <c:pt idx="0">
                  <c:v>3052.2856988832837</c:v>
                </c:pt>
                <c:pt idx="1">
                  <c:v>4066.8585562044118</c:v>
                </c:pt>
                <c:pt idx="2">
                  <c:v>5687.2255205154252</c:v>
                </c:pt>
                <c:pt idx="3">
                  <c:v>4871.5594080472574</c:v>
                </c:pt>
                <c:pt idx="4">
                  <c:v>4260.7618047507349</c:v>
                </c:pt>
                <c:pt idx="5">
                  <c:v>6042.764817621307</c:v>
                </c:pt>
                <c:pt idx="6">
                  <c:v>5961.1293542103658</c:v>
                </c:pt>
                <c:pt idx="7">
                  <c:v>6616.7329098112286</c:v>
                </c:pt>
                <c:pt idx="8">
                  <c:v>7642.4116841430741</c:v>
                </c:pt>
                <c:pt idx="9">
                  <c:v>8023.8485794306507</c:v>
                </c:pt>
                <c:pt idx="10">
                  <c:v>10189.302581632935</c:v>
                </c:pt>
                <c:pt idx="11">
                  <c:v>7132.9300841933937</c:v>
                </c:pt>
                <c:pt idx="12">
                  <c:v>10378.466905572745</c:v>
                </c:pt>
                <c:pt idx="13">
                  <c:v>10330.75373913351</c:v>
                </c:pt>
                <c:pt idx="14">
                  <c:v>9132.7127243967952</c:v>
                </c:pt>
                <c:pt idx="15">
                  <c:v>13438.762813164891</c:v>
                </c:pt>
                <c:pt idx="16">
                  <c:v>11516.913987580756</c:v>
                </c:pt>
                <c:pt idx="17">
                  <c:v>11916.402701481784</c:v>
                </c:pt>
                <c:pt idx="18">
                  <c:v>13195.704225544891</c:v>
                </c:pt>
                <c:pt idx="19">
                  <c:v>15084.5663312591</c:v>
                </c:pt>
                <c:pt idx="20">
                  <c:v>24352.02165571817</c:v>
                </c:pt>
                <c:pt idx="21">
                  <c:v>31064.06631338712</c:v>
                </c:pt>
                <c:pt idx="22">
                  <c:v>19234.474597945387</c:v>
                </c:pt>
                <c:pt idx="23">
                  <c:v>19830.006245034267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E-40D8-BFDF-C49EBB1BB55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SEAK'!$L$32:$L$55</c:f>
              <c:numCache>
                <c:formatCode>_(* #,##0_);_(* \(#,##0\);_(* "-"??_);_(@_)</c:formatCode>
                <c:ptCount val="24"/>
                <c:pt idx="0">
                  <c:v>2390.8323813353122</c:v>
                </c:pt>
                <c:pt idx="1">
                  <c:v>2923.2446881694618</c:v>
                </c:pt>
                <c:pt idx="2">
                  <c:v>4182.0128461283412</c:v>
                </c:pt>
                <c:pt idx="3">
                  <c:v>3570.2041663979758</c:v>
                </c:pt>
                <c:pt idx="4">
                  <c:v>5713.3965232358623</c:v>
                </c:pt>
                <c:pt idx="5">
                  <c:v>4822.9945145784895</c:v>
                </c:pt>
                <c:pt idx="6">
                  <c:v>7084.9063392254411</c:v>
                </c:pt>
                <c:pt idx="7">
                  <c:v>9123.2044032943159</c:v>
                </c:pt>
                <c:pt idx="8">
                  <c:v>7054.3156164025404</c:v>
                </c:pt>
                <c:pt idx="9">
                  <c:v>9451.4036474529166</c:v>
                </c:pt>
                <c:pt idx="10">
                  <c:v>16216.445896090258</c:v>
                </c:pt>
                <c:pt idx="11">
                  <c:v>8820.912730723081</c:v>
                </c:pt>
                <c:pt idx="12">
                  <c:v>10594.470819155009</c:v>
                </c:pt>
                <c:pt idx="13">
                  <c:v>11432.008772355892</c:v>
                </c:pt>
                <c:pt idx="14">
                  <c:v>14048.918638176565</c:v>
                </c:pt>
                <c:pt idx="15">
                  <c:v>15766.799257114304</c:v>
                </c:pt>
                <c:pt idx="16">
                  <c:v>16445.401669606108</c:v>
                </c:pt>
                <c:pt idx="17">
                  <c:v>22605.065662922541</c:v>
                </c:pt>
                <c:pt idx="18">
                  <c:v>19470.20343475249</c:v>
                </c:pt>
                <c:pt idx="19">
                  <c:v>21141.518353635885</c:v>
                </c:pt>
                <c:pt idx="20">
                  <c:v>31373.066871077182</c:v>
                </c:pt>
                <c:pt idx="21">
                  <c:v>28436.467670498958</c:v>
                </c:pt>
                <c:pt idx="22">
                  <c:v>15013.58393140593</c:v>
                </c:pt>
                <c:pt idx="23">
                  <c:v>30072.205736176547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E-40D8-BFDF-C49EBB1B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SEAK'!$B$60:$B$83</c:f>
              <c:numCache>
                <c:formatCode>_(* #,##0_);_(* \(#,##0\);_(* "-"??_);_(@_)</c:formatCode>
                <c:ptCount val="24"/>
                <c:pt idx="0">
                  <c:v>2515.5388090049355</c:v>
                </c:pt>
                <c:pt idx="1">
                  <c:v>2944.9164004214335</c:v>
                </c:pt>
                <c:pt idx="2">
                  <c:v>5591.0830746837464</c:v>
                </c:pt>
                <c:pt idx="3">
                  <c:v>5537.4506131992603</c:v>
                </c:pt>
                <c:pt idx="4">
                  <c:v>4453.8048147299869</c:v>
                </c:pt>
                <c:pt idx="5">
                  <c:v>4369.6124006404098</c:v>
                </c:pt>
                <c:pt idx="6">
                  <c:v>6136.674712454068</c:v>
                </c:pt>
                <c:pt idx="7">
                  <c:v>7393.5234814908372</c:v>
                </c:pt>
                <c:pt idx="8">
                  <c:v>10677.583109062649</c:v>
                </c:pt>
                <c:pt idx="9">
                  <c:v>11046.580838639587</c:v>
                </c:pt>
                <c:pt idx="10">
                  <c:v>9731.8635334912942</c:v>
                </c:pt>
                <c:pt idx="11">
                  <c:v>6903.7183265325748</c:v>
                </c:pt>
                <c:pt idx="12">
                  <c:v>7814.7817334679958</c:v>
                </c:pt>
                <c:pt idx="13">
                  <c:v>5902.3193343444473</c:v>
                </c:pt>
                <c:pt idx="14">
                  <c:v>5442.0792233162138</c:v>
                </c:pt>
                <c:pt idx="15">
                  <c:v>5170.6065677676406</c:v>
                </c:pt>
                <c:pt idx="16">
                  <c:v>5466.3257496092938</c:v>
                </c:pt>
                <c:pt idx="17">
                  <c:v>6345.524816385212</c:v>
                </c:pt>
                <c:pt idx="18">
                  <c:v>6477.1697656842371</c:v>
                </c:pt>
                <c:pt idx="19">
                  <c:v>7899.5093964802527</c:v>
                </c:pt>
                <c:pt idx="20">
                  <c:v>5408.5298174190739</c:v>
                </c:pt>
                <c:pt idx="21">
                  <c:v>5829.247373041726</c:v>
                </c:pt>
                <c:pt idx="22">
                  <c:v>24.079952737653379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B-491C-B6D5-728D53806619}"/>
            </c:ext>
          </c:extLst>
        </c:ser>
        <c:ser>
          <c:idx val="1"/>
          <c:order val="1"/>
          <c:tx>
            <c:strRef>
              <c:f>'RF harv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SEAK'!$D$60:$D$83</c:f>
              <c:numCache>
                <c:formatCode>_(* #,##0_);_(* \(#,##0\);_(* "-"??_);_(@_)</c:formatCode>
                <c:ptCount val="24"/>
                <c:pt idx="0">
                  <c:v>121.34687293521577</c:v>
                </c:pt>
                <c:pt idx="1">
                  <c:v>24.875346804447553</c:v>
                </c:pt>
                <c:pt idx="2">
                  <c:v>31.995229369786756</c:v>
                </c:pt>
                <c:pt idx="3">
                  <c:v>33.28990312474027</c:v>
                </c:pt>
                <c:pt idx="4">
                  <c:v>23.10904746988788</c:v>
                </c:pt>
                <c:pt idx="5">
                  <c:v>91.390371521632247</c:v>
                </c:pt>
                <c:pt idx="6">
                  <c:v>78.430330777556222</c:v>
                </c:pt>
                <c:pt idx="7">
                  <c:v>61.112173226217351</c:v>
                </c:pt>
                <c:pt idx="8">
                  <c:v>167</c:v>
                </c:pt>
                <c:pt idx="9">
                  <c:v>111.80061611803444</c:v>
                </c:pt>
                <c:pt idx="10">
                  <c:v>194.33303416475843</c:v>
                </c:pt>
                <c:pt idx="11">
                  <c:v>89.153940965522821</c:v>
                </c:pt>
                <c:pt idx="12">
                  <c:v>128.46983294728582</c:v>
                </c:pt>
                <c:pt idx="13">
                  <c:v>137.02240360370305</c:v>
                </c:pt>
                <c:pt idx="14">
                  <c:v>158.89209492578712</c:v>
                </c:pt>
                <c:pt idx="15">
                  <c:v>65.047638196801842</c:v>
                </c:pt>
                <c:pt idx="16">
                  <c:v>140.65357318107527</c:v>
                </c:pt>
                <c:pt idx="17">
                  <c:v>215</c:v>
                </c:pt>
                <c:pt idx="18">
                  <c:v>393.04502865686516</c:v>
                </c:pt>
                <c:pt idx="19">
                  <c:v>230</c:v>
                </c:pt>
                <c:pt idx="20">
                  <c:v>326.56336494381389</c:v>
                </c:pt>
                <c:pt idx="21">
                  <c:v>160.62802312037775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B-491C-B6D5-728D53806619}"/>
            </c:ext>
          </c:extLst>
        </c:ser>
        <c:ser>
          <c:idx val="2"/>
          <c:order val="2"/>
          <c:tx>
            <c:strRef>
              <c:f>'RF harv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SEAK'!$F$60:$F$83</c:f>
              <c:numCache>
                <c:formatCode>_(* #,##0_);_(* \(#,##0\);_(* "-"??_);_(@_)</c:formatCode>
                <c:ptCount val="24"/>
                <c:pt idx="0">
                  <c:v>1223.8929706589613</c:v>
                </c:pt>
                <c:pt idx="1">
                  <c:v>1232.3572886370146</c:v>
                </c:pt>
                <c:pt idx="2">
                  <c:v>1986.4636994332145</c:v>
                </c:pt>
                <c:pt idx="3">
                  <c:v>1548.6288232976442</c:v>
                </c:pt>
                <c:pt idx="4">
                  <c:v>925.42055326575803</c:v>
                </c:pt>
                <c:pt idx="5">
                  <c:v>1214.2280504293637</c:v>
                </c:pt>
                <c:pt idx="6">
                  <c:v>1275.5342998595336</c:v>
                </c:pt>
                <c:pt idx="7">
                  <c:v>1544.473452688582</c:v>
                </c:pt>
                <c:pt idx="8">
                  <c:v>2006.5489857885264</c:v>
                </c:pt>
                <c:pt idx="9">
                  <c:v>2237.0348480921975</c:v>
                </c:pt>
                <c:pt idx="10">
                  <c:v>2668.2194903680274</c:v>
                </c:pt>
                <c:pt idx="11">
                  <c:v>2160.0104384189572</c:v>
                </c:pt>
                <c:pt idx="12">
                  <c:v>2523.5439290308941</c:v>
                </c:pt>
                <c:pt idx="13">
                  <c:v>2590.2563911614643</c:v>
                </c:pt>
                <c:pt idx="14">
                  <c:v>2279.4500443035918</c:v>
                </c:pt>
                <c:pt idx="15">
                  <c:v>1815.7719908065669</c:v>
                </c:pt>
                <c:pt idx="16">
                  <c:v>2013.2980849917385</c:v>
                </c:pt>
                <c:pt idx="17">
                  <c:v>2262.6733731446816</c:v>
                </c:pt>
                <c:pt idx="18">
                  <c:v>2551.1537156688955</c:v>
                </c:pt>
                <c:pt idx="19">
                  <c:v>2552.4618918452034</c:v>
                </c:pt>
                <c:pt idx="20">
                  <c:v>2615.5254131869192</c:v>
                </c:pt>
                <c:pt idx="21">
                  <c:v>2865.0364244024122</c:v>
                </c:pt>
                <c:pt idx="22">
                  <c:v>73.381648414501143</c:v>
                </c:pt>
                <c:pt idx="23">
                  <c:v>98.36297595929662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B-491C-B6D5-728D53806619}"/>
            </c:ext>
          </c:extLst>
        </c:ser>
        <c:ser>
          <c:idx val="3"/>
          <c:order val="3"/>
          <c:tx>
            <c:strRef>
              <c:f>'RF harv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SEAK'!$H$60:$H$83</c:f>
              <c:numCache>
                <c:formatCode>_(* #,##0_);_(* \(#,##0\);_(* "-"??_);_(@_)</c:formatCode>
                <c:ptCount val="24"/>
                <c:pt idx="0">
                  <c:v>342.99732445552303</c:v>
                </c:pt>
                <c:pt idx="1">
                  <c:v>366.34864072453263</c:v>
                </c:pt>
                <c:pt idx="2">
                  <c:v>918.35018726442809</c:v>
                </c:pt>
                <c:pt idx="3">
                  <c:v>992.22681808320544</c:v>
                </c:pt>
                <c:pt idx="4">
                  <c:v>795.21101488297086</c:v>
                </c:pt>
                <c:pt idx="5">
                  <c:v>1041.048890528622</c:v>
                </c:pt>
                <c:pt idx="6">
                  <c:v>1141.4979449082671</c:v>
                </c:pt>
                <c:pt idx="7">
                  <c:v>989.64744021132879</c:v>
                </c:pt>
                <c:pt idx="8">
                  <c:v>1569.972512726144</c:v>
                </c:pt>
                <c:pt idx="9">
                  <c:v>2015.5440678710888</c:v>
                </c:pt>
                <c:pt idx="10">
                  <c:v>1535.2130694031912</c:v>
                </c:pt>
                <c:pt idx="11">
                  <c:v>924.9325461128285</c:v>
                </c:pt>
                <c:pt idx="12">
                  <c:v>1401.5633682971802</c:v>
                </c:pt>
                <c:pt idx="13">
                  <c:v>1278.5468817012531</c:v>
                </c:pt>
                <c:pt idx="14">
                  <c:v>1289.3926530526314</c:v>
                </c:pt>
                <c:pt idx="15">
                  <c:v>1178.8122609784828</c:v>
                </c:pt>
                <c:pt idx="16">
                  <c:v>1507.8951098995144</c:v>
                </c:pt>
                <c:pt idx="17">
                  <c:v>1721.3862615861776</c:v>
                </c:pt>
                <c:pt idx="18">
                  <c:v>879.94129841344034</c:v>
                </c:pt>
                <c:pt idx="19">
                  <c:v>1465.4579108223247</c:v>
                </c:pt>
                <c:pt idx="20">
                  <c:v>1656.6633007639875</c:v>
                </c:pt>
                <c:pt idx="21">
                  <c:v>1150.6473248087632</c:v>
                </c:pt>
                <c:pt idx="22">
                  <c:v>5.9339781522880095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B-491C-B6D5-728D53806619}"/>
            </c:ext>
          </c:extLst>
        </c:ser>
        <c:ser>
          <c:idx val="4"/>
          <c:order val="4"/>
          <c:tx>
            <c:strRef>
              <c:f>'RF harv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SEAK'!$J$60:$J$83</c:f>
              <c:numCache>
                <c:formatCode>_(* #,##0_);_(* \(#,##0\);_(* "-"??_);_(@_)</c:formatCode>
                <c:ptCount val="24"/>
                <c:pt idx="0">
                  <c:v>2561.3131240817747</c:v>
                </c:pt>
                <c:pt idx="1">
                  <c:v>2863.8109818297603</c:v>
                </c:pt>
                <c:pt idx="2">
                  <c:v>4954.8252235415457</c:v>
                </c:pt>
                <c:pt idx="3">
                  <c:v>3723.900350612822</c:v>
                </c:pt>
                <c:pt idx="4">
                  <c:v>3176.2891099504222</c:v>
                </c:pt>
                <c:pt idx="5">
                  <c:v>4431.5043040824949</c:v>
                </c:pt>
                <c:pt idx="6">
                  <c:v>5548.3638703764154</c:v>
                </c:pt>
                <c:pt idx="7">
                  <c:v>6544.0938598628691</c:v>
                </c:pt>
                <c:pt idx="8">
                  <c:v>9387.9338506472886</c:v>
                </c:pt>
                <c:pt idx="9">
                  <c:v>9282.8104111834873</c:v>
                </c:pt>
                <c:pt idx="10">
                  <c:v>8134.3774814509916</c:v>
                </c:pt>
                <c:pt idx="11">
                  <c:v>6568.5722189691242</c:v>
                </c:pt>
                <c:pt idx="12">
                  <c:v>9807.9321537632131</c:v>
                </c:pt>
                <c:pt idx="13">
                  <c:v>9576.4097096110927</c:v>
                </c:pt>
                <c:pt idx="14">
                  <c:v>11233.063873835945</c:v>
                </c:pt>
                <c:pt idx="15">
                  <c:v>9576.9507179541833</c:v>
                </c:pt>
                <c:pt idx="16">
                  <c:v>8484.6414185115264</c:v>
                </c:pt>
                <c:pt idx="17">
                  <c:v>9919.0883221388831</c:v>
                </c:pt>
                <c:pt idx="18">
                  <c:v>10566.120452679812</c:v>
                </c:pt>
                <c:pt idx="19">
                  <c:v>11051.378622936589</c:v>
                </c:pt>
                <c:pt idx="20">
                  <c:v>10992.016273543904</c:v>
                </c:pt>
                <c:pt idx="21">
                  <c:v>16546.1076110555</c:v>
                </c:pt>
                <c:pt idx="22">
                  <c:v>164.20637897805707</c:v>
                </c:pt>
                <c:pt idx="23">
                  <c:v>147.86636497865038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B-491C-B6D5-728D5380661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SEAK'!$L$60:$L$83</c:f>
              <c:numCache>
                <c:formatCode>_(* #,##0_);_(* \(#,##0\);_(* "-"??_);_(@_)</c:formatCode>
                <c:ptCount val="24"/>
                <c:pt idx="0">
                  <c:v>842.02559660895747</c:v>
                </c:pt>
                <c:pt idx="1">
                  <c:v>1417.4985746823245</c:v>
                </c:pt>
                <c:pt idx="2">
                  <c:v>2192.5427816172232</c:v>
                </c:pt>
                <c:pt idx="3">
                  <c:v>1794.8620336986423</c:v>
                </c:pt>
                <c:pt idx="4">
                  <c:v>2015.3003961255322</c:v>
                </c:pt>
                <c:pt idx="5">
                  <c:v>1951.7580529069596</c:v>
                </c:pt>
                <c:pt idx="6">
                  <c:v>2829.9481871126836</c:v>
                </c:pt>
                <c:pt idx="7">
                  <c:v>3488.489862243865</c:v>
                </c:pt>
                <c:pt idx="8">
                  <c:v>5454.9226157276134</c:v>
                </c:pt>
                <c:pt idx="9">
                  <c:v>4433.0659266974953</c:v>
                </c:pt>
                <c:pt idx="10">
                  <c:v>4501.5139761225073</c:v>
                </c:pt>
                <c:pt idx="11">
                  <c:v>2352.5815805269799</c:v>
                </c:pt>
                <c:pt idx="12">
                  <c:v>3507.1100554541044</c:v>
                </c:pt>
                <c:pt idx="13">
                  <c:v>2091.2986767456268</c:v>
                </c:pt>
                <c:pt idx="14">
                  <c:v>2750.5950075531855</c:v>
                </c:pt>
                <c:pt idx="15">
                  <c:v>2866.9837745270725</c:v>
                </c:pt>
                <c:pt idx="16">
                  <c:v>2149.8134685894556</c:v>
                </c:pt>
                <c:pt idx="17">
                  <c:v>2859.3397573578113</c:v>
                </c:pt>
                <c:pt idx="18">
                  <c:v>3005.0123283476919</c:v>
                </c:pt>
                <c:pt idx="19">
                  <c:v>2686.076787727111</c:v>
                </c:pt>
                <c:pt idx="20">
                  <c:v>3734.2355461517818</c:v>
                </c:pt>
                <c:pt idx="21">
                  <c:v>5734.8680560534049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B-491C-B6D5-728D5380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SWHS'!$C$2:$C$12</c:f>
              <c:numCache>
                <c:formatCode>_(* #,##0_);_(* \(#,##0\);_(* "-"??_);_(@_)</c:formatCode>
                <c:ptCount val="11"/>
                <c:pt idx="0">
                  <c:v>68480.968038392311</c:v>
                </c:pt>
                <c:pt idx="1">
                  <c:v>63827.587639698155</c:v>
                </c:pt>
                <c:pt idx="2">
                  <c:v>70364.987163814178</c:v>
                </c:pt>
                <c:pt idx="3">
                  <c:v>86708.052896462119</c:v>
                </c:pt>
                <c:pt idx="4">
                  <c:v>88259.545990311773</c:v>
                </c:pt>
                <c:pt idx="5">
                  <c:v>63347.772142219961</c:v>
                </c:pt>
                <c:pt idx="6">
                  <c:v>71940.082903438393</c:v>
                </c:pt>
                <c:pt idx="7">
                  <c:v>61699.047320720041</c:v>
                </c:pt>
                <c:pt idx="8">
                  <c:v>69676.250304369401</c:v>
                </c:pt>
                <c:pt idx="9">
                  <c:v>30307.582512931756</c:v>
                </c:pt>
                <c:pt idx="10">
                  <c:v>62821.383245691672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A8F-861E-0F9A85BADE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SWHS'!$D$2:$D$12</c:f>
              <c:numCache>
                <c:formatCode>_(* #,##0_);_(* \(#,##0\);_(* "-"??_);_(@_)</c:formatCode>
                <c:ptCount val="11"/>
                <c:pt idx="0">
                  <c:v>48501</c:v>
                </c:pt>
                <c:pt idx="1">
                  <c:v>57929</c:v>
                </c:pt>
                <c:pt idx="2">
                  <c:v>56862</c:v>
                </c:pt>
                <c:pt idx="3">
                  <c:v>78770</c:v>
                </c:pt>
                <c:pt idx="4">
                  <c:v>76651</c:v>
                </c:pt>
                <c:pt idx="5">
                  <c:v>63372</c:v>
                </c:pt>
                <c:pt idx="6">
                  <c:v>55161</c:v>
                </c:pt>
                <c:pt idx="7">
                  <c:v>53273</c:v>
                </c:pt>
                <c:pt idx="8">
                  <c:v>51643</c:v>
                </c:pt>
                <c:pt idx="9">
                  <c:v>29381</c:v>
                </c:pt>
                <c:pt idx="10">
                  <c:v>64044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A8F-861E-0F9A85BA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SWHS'!$C$13:$C$23</c:f>
              <c:numCache>
                <c:formatCode>_(* #,##0_);_(* \(#,##0\);_(* "-"??_);_(@_)</c:formatCode>
                <c:ptCount val="11"/>
                <c:pt idx="0">
                  <c:v>4284.4366812227072</c:v>
                </c:pt>
                <c:pt idx="1">
                  <c:v>3776.1442770118629</c:v>
                </c:pt>
                <c:pt idx="2">
                  <c:v>4475.3664881407803</c:v>
                </c:pt>
                <c:pt idx="3">
                  <c:v>5718.1397849462364</c:v>
                </c:pt>
                <c:pt idx="4">
                  <c:v>8126.5678935972783</c:v>
                </c:pt>
                <c:pt idx="5">
                  <c:v>9606.8674308497375</c:v>
                </c:pt>
                <c:pt idx="6">
                  <c:v>7580.0488400488402</c:v>
                </c:pt>
                <c:pt idx="7">
                  <c:v>10630.379506304387</c:v>
                </c:pt>
                <c:pt idx="8">
                  <c:v>10910.494473531124</c:v>
                </c:pt>
                <c:pt idx="9">
                  <c:v>4973.6383877159315</c:v>
                </c:pt>
                <c:pt idx="10">
                  <c:v>8856.750779741571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9-4B49-9FCE-0DED72C259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SWHS'!$D$13:$D$23</c:f>
              <c:numCache>
                <c:formatCode>_(* #,##0_);_(* \(#,##0\);_(* "-"??_);_(@_)</c:formatCode>
                <c:ptCount val="11"/>
                <c:pt idx="0">
                  <c:v>2756</c:v>
                </c:pt>
                <c:pt idx="1">
                  <c:v>3634</c:v>
                </c:pt>
                <c:pt idx="2">
                  <c:v>4518</c:v>
                </c:pt>
                <c:pt idx="3">
                  <c:v>6796</c:v>
                </c:pt>
                <c:pt idx="4">
                  <c:v>4586</c:v>
                </c:pt>
                <c:pt idx="5">
                  <c:v>5141</c:v>
                </c:pt>
                <c:pt idx="6">
                  <c:v>5890</c:v>
                </c:pt>
                <c:pt idx="7">
                  <c:v>6913</c:v>
                </c:pt>
                <c:pt idx="8">
                  <c:v>7115</c:v>
                </c:pt>
                <c:pt idx="9">
                  <c:v>3192</c:v>
                </c:pt>
                <c:pt idx="10">
                  <c:v>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9-4B49-9FCE-0DED72C2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SWHS'!$C$24:$C$34</c:f>
              <c:numCache>
                <c:formatCode>_(* #,##0_);_(* \(#,##0\);_(* "-"??_);_(@_)</c:formatCode>
                <c:ptCount val="11"/>
                <c:pt idx="0">
                  <c:v>21134.144125958821</c:v>
                </c:pt>
                <c:pt idx="1">
                  <c:v>30331.837840909095</c:v>
                </c:pt>
                <c:pt idx="2">
                  <c:v>22942.238805970148</c:v>
                </c:pt>
                <c:pt idx="3">
                  <c:v>32276.119924151324</c:v>
                </c:pt>
                <c:pt idx="4">
                  <c:v>31763.885700148439</c:v>
                </c:pt>
                <c:pt idx="5">
                  <c:v>40066.291818701371</c:v>
                </c:pt>
                <c:pt idx="6">
                  <c:v>41111.228360636691</c:v>
                </c:pt>
                <c:pt idx="7">
                  <c:v>50022.26901059274</c:v>
                </c:pt>
                <c:pt idx="8">
                  <c:v>59476.361216730038</c:v>
                </c:pt>
                <c:pt idx="9">
                  <c:v>22443.397890444958</c:v>
                </c:pt>
                <c:pt idx="10">
                  <c:v>41077.489980580918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F-4DB9-BE74-1C3FC46F81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SWHS'!$D$24:$D$34</c:f>
              <c:numCache>
                <c:formatCode>_(* #,##0_);_(* \(#,##0\);_(* "-"??_);_(@_)</c:formatCode>
                <c:ptCount val="11"/>
                <c:pt idx="0">
                  <c:v>11825</c:v>
                </c:pt>
                <c:pt idx="1">
                  <c:v>17511</c:v>
                </c:pt>
                <c:pt idx="2">
                  <c:v>21959</c:v>
                </c:pt>
                <c:pt idx="3">
                  <c:v>35145</c:v>
                </c:pt>
                <c:pt idx="4">
                  <c:v>29054</c:v>
                </c:pt>
                <c:pt idx="5">
                  <c:v>35220</c:v>
                </c:pt>
                <c:pt idx="6">
                  <c:v>29117</c:v>
                </c:pt>
                <c:pt idx="7">
                  <c:v>32006</c:v>
                </c:pt>
                <c:pt idx="8">
                  <c:v>24998</c:v>
                </c:pt>
                <c:pt idx="9">
                  <c:v>14399</c:v>
                </c:pt>
                <c:pt idx="10">
                  <c:v>29990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F-4DB9-BE74-1C3FC46F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SWHS'!$C$35:$C$45</c:f>
              <c:numCache>
                <c:formatCode>_(* #,##0_);_(* \(#,##0\);_(* "-"??_);_(@_)</c:formatCode>
                <c:ptCount val="11"/>
                <c:pt idx="0">
                  <c:v>11059.863872082973</c:v>
                </c:pt>
                <c:pt idx="1">
                  <c:v>12656.140350877193</c:v>
                </c:pt>
                <c:pt idx="2">
                  <c:v>10533.463803255974</c:v>
                </c:pt>
                <c:pt idx="3">
                  <c:v>18410.250883987203</c:v>
                </c:pt>
                <c:pt idx="4">
                  <c:v>13685.480355422331</c:v>
                </c:pt>
                <c:pt idx="5">
                  <c:v>7499.6278507924235</c:v>
                </c:pt>
                <c:pt idx="6">
                  <c:v>16078.017147192715</c:v>
                </c:pt>
                <c:pt idx="7">
                  <c:v>18860.883640705848</c:v>
                </c:pt>
                <c:pt idx="8">
                  <c:v>18193.663451672481</c:v>
                </c:pt>
                <c:pt idx="9">
                  <c:v>4399.5719163465646</c:v>
                </c:pt>
                <c:pt idx="10">
                  <c:v>15994.894678355353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B-47C6-8870-CB91D7B4F4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SWHS'!$D$35:$D$45</c:f>
              <c:numCache>
                <c:formatCode>_(* #,##0_);_(* \(#,##0\);_(* "-"??_);_(@_)</c:formatCode>
                <c:ptCount val="11"/>
                <c:pt idx="0">
                  <c:v>5719</c:v>
                </c:pt>
                <c:pt idx="1">
                  <c:v>7214</c:v>
                </c:pt>
                <c:pt idx="2">
                  <c:v>8726</c:v>
                </c:pt>
                <c:pt idx="3">
                  <c:v>12585</c:v>
                </c:pt>
                <c:pt idx="4">
                  <c:v>13962</c:v>
                </c:pt>
                <c:pt idx="5">
                  <c:v>13291</c:v>
                </c:pt>
                <c:pt idx="6">
                  <c:v>11503</c:v>
                </c:pt>
                <c:pt idx="7">
                  <c:v>12895</c:v>
                </c:pt>
                <c:pt idx="8">
                  <c:v>15348</c:v>
                </c:pt>
                <c:pt idx="9">
                  <c:v>6221</c:v>
                </c:pt>
                <c:pt idx="10">
                  <c:v>13311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B-47C6-8870-CB91D7B4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SWHS'!$C$46:$C$56</c:f>
              <c:numCache>
                <c:formatCode>_(* #,##0_);_(* \(#,##0\);_(* "-"??_);_(@_)</c:formatCode>
                <c:ptCount val="11"/>
                <c:pt idx="0">
                  <c:v>43385.656259472569</c:v>
                </c:pt>
                <c:pt idx="1">
                  <c:v>51250.239687848378</c:v>
                </c:pt>
                <c:pt idx="2">
                  <c:v>59046.842065821518</c:v>
                </c:pt>
                <c:pt idx="3">
                  <c:v>58838.073336968373</c:v>
                </c:pt>
                <c:pt idx="4">
                  <c:v>60956.645359656926</c:v>
                </c:pt>
                <c:pt idx="5">
                  <c:v>66405.532446281708</c:v>
                </c:pt>
                <c:pt idx="6">
                  <c:v>62909.834871736792</c:v>
                </c:pt>
                <c:pt idx="7">
                  <c:v>76774.8595505618</c:v>
                </c:pt>
                <c:pt idx="8">
                  <c:v>105817.34860446323</c:v>
                </c:pt>
                <c:pt idx="9">
                  <c:v>26303.649154865238</c:v>
                </c:pt>
                <c:pt idx="10">
                  <c:v>42574.636497865038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0-407C-9F58-119339BC6D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SWHS'!$D$46:$D$56</c:f>
              <c:numCache>
                <c:formatCode>_(* #,##0_);_(* \(#,##0\);_(* "-"??_);_(@_)</c:formatCode>
                <c:ptCount val="11"/>
                <c:pt idx="0">
                  <c:v>24780</c:v>
                </c:pt>
                <c:pt idx="1">
                  <c:v>26385</c:v>
                </c:pt>
                <c:pt idx="2">
                  <c:v>38158</c:v>
                </c:pt>
                <c:pt idx="3">
                  <c:v>50413</c:v>
                </c:pt>
                <c:pt idx="4">
                  <c:v>51671</c:v>
                </c:pt>
                <c:pt idx="5">
                  <c:v>47392</c:v>
                </c:pt>
                <c:pt idx="6">
                  <c:v>36726</c:v>
                </c:pt>
                <c:pt idx="7">
                  <c:v>47450</c:v>
                </c:pt>
                <c:pt idx="8">
                  <c:v>47461</c:v>
                </c:pt>
                <c:pt idx="9">
                  <c:v>20736</c:v>
                </c:pt>
                <c:pt idx="10">
                  <c:v>37582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0-407C-9F58-119339BC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SWHS'!$C$57:$C$67</c:f>
              <c:numCache>
                <c:formatCode>_(* #,##0_);_(* \(#,##0\);_(* "-"??_);_(@_)</c:formatCode>
                <c:ptCount val="11"/>
                <c:pt idx="0">
                  <c:v>17425.832645403378</c:v>
                </c:pt>
                <c:pt idx="1">
                  <c:v>21501.484048613747</c:v>
                </c:pt>
                <c:pt idx="2">
                  <c:v>22683.680191645457</c:v>
                </c:pt>
                <c:pt idx="3">
                  <c:v>24422.057259158752</c:v>
                </c:pt>
                <c:pt idx="4">
                  <c:v>33215.524335519505</c:v>
                </c:pt>
                <c:pt idx="5">
                  <c:v>27237.761702821725</c:v>
                </c:pt>
                <c:pt idx="6">
                  <c:v>28180.221332705438</c:v>
                </c:pt>
                <c:pt idx="7">
                  <c:v>39816.635899450121</c:v>
                </c:pt>
                <c:pt idx="8">
                  <c:v>39271.985999299963</c:v>
                </c:pt>
                <c:pt idx="9">
                  <c:v>15388.622535579058</c:v>
                </c:pt>
                <c:pt idx="10">
                  <c:v>31069.087000071548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608-AC36-2395BE269C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SWHS'!$D$57:$D$67</c:f>
              <c:numCache>
                <c:formatCode>_(* #,##0_);_(* \(#,##0\);_(* "-"??_);_(@_)</c:formatCode>
                <c:ptCount val="11"/>
                <c:pt idx="0">
                  <c:v>15576</c:v>
                </c:pt>
                <c:pt idx="1">
                  <c:v>15847</c:v>
                </c:pt>
                <c:pt idx="2">
                  <c:v>9700</c:v>
                </c:pt>
                <c:pt idx="3">
                  <c:v>9754</c:v>
                </c:pt>
                <c:pt idx="4">
                  <c:v>10892</c:v>
                </c:pt>
                <c:pt idx="5">
                  <c:v>9431</c:v>
                </c:pt>
                <c:pt idx="6">
                  <c:v>11530</c:v>
                </c:pt>
                <c:pt idx="7">
                  <c:v>11285</c:v>
                </c:pt>
                <c:pt idx="8">
                  <c:v>9794</c:v>
                </c:pt>
                <c:pt idx="9">
                  <c:v>9340</c:v>
                </c:pt>
                <c:pt idx="10">
                  <c:v>14771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608-AC36-2395BE26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harvests'!$D$152:$D$176</c:f>
            </c:numRef>
          </c:val>
          <c:smooth val="0"/>
          <c:extLst>
            <c:ext xmlns:c16="http://schemas.microsoft.com/office/drawing/2014/chart" uri="{C3380CC4-5D6E-409C-BE32-E72D297353CC}">
              <c16:uniqueId val="{00000000-7546-404E-83CA-3AFD902F012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harvests'!$N$152:$N$175</c:f>
              </c:numRef>
            </c:plus>
            <c:minus>
              <c:numRef>
                <c:f>'rockfish harvests'!$N$152:$N$175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harvests'!$O$152:$O$176</c:f>
            </c:numRef>
          </c:val>
          <c:smooth val="0"/>
          <c:extLst>
            <c:ext xmlns:c16="http://schemas.microsoft.com/office/drawing/2014/chart" uri="{C3380CC4-5D6E-409C-BE32-E72D297353CC}">
              <c16:uniqueId val="{00000001-7546-404E-83CA-3AFD902F012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harvests'!$N$152:$N$175</c:f>
              </c:numRef>
            </c:plus>
            <c:minus>
              <c:numRef>
                <c:f>'rockfish harvests'!$N$152:$N$175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harvests'!$K$152:$K$176</c:f>
            </c:numRef>
          </c:val>
          <c:smooth val="0"/>
          <c:extLst>
            <c:ext xmlns:c16="http://schemas.microsoft.com/office/drawing/2014/chart" uri="{C3380CC4-5D6E-409C-BE32-E72D297353CC}">
              <c16:uniqueId val="{00000002-7546-404E-83CA-3AFD902F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guiSWHS'!$C$2:$C$12</c:f>
              <c:numCache>
                <c:formatCode>General</c:formatCode>
                <c:ptCount val="11"/>
                <c:pt idx="0">
                  <c:v>11926</c:v>
                </c:pt>
                <c:pt idx="1">
                  <c:v>14290</c:v>
                </c:pt>
                <c:pt idx="2">
                  <c:v>15619</c:v>
                </c:pt>
                <c:pt idx="3">
                  <c:v>18453</c:v>
                </c:pt>
                <c:pt idx="4">
                  <c:v>17669</c:v>
                </c:pt>
                <c:pt idx="5">
                  <c:v>17707</c:v>
                </c:pt>
                <c:pt idx="6">
                  <c:v>20760</c:v>
                </c:pt>
                <c:pt idx="7">
                  <c:v>26949</c:v>
                </c:pt>
                <c:pt idx="8">
                  <c:v>22912</c:v>
                </c:pt>
                <c:pt idx="9">
                  <c:v>12619</c:v>
                </c:pt>
                <c:pt idx="10">
                  <c:v>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guiSWHS'!$G$2:$G$12</c:f>
                <c:numCache>
                  <c:formatCode>General</c:formatCode>
                  <c:ptCount val="11"/>
                  <c:pt idx="0">
                    <c:v>3854.4724029916301</c:v>
                  </c:pt>
                  <c:pt idx="1">
                    <c:v>2636.8125861731246</c:v>
                  </c:pt>
                  <c:pt idx="2">
                    <c:v>2074.9715667940195</c:v>
                  </c:pt>
                  <c:pt idx="3">
                    <c:v>2626.6606701499413</c:v>
                  </c:pt>
                  <c:pt idx="4">
                    <c:v>2116.2818181693806</c:v>
                  </c:pt>
                  <c:pt idx="5">
                    <c:v>2269.3745384653898</c:v>
                  </c:pt>
                  <c:pt idx="6">
                    <c:v>3200.116538858862</c:v>
                  </c:pt>
                  <c:pt idx="7">
                    <c:v>2343.0648412520886</c:v>
                  </c:pt>
                  <c:pt idx="8">
                    <c:v>2076.4464903589424</c:v>
                  </c:pt>
                  <c:pt idx="9">
                    <c:v>1915.4055914262469</c:v>
                  </c:pt>
                  <c:pt idx="10">
                    <c:v>3863.5179895104238</c:v>
                  </c:pt>
                </c:numCache>
              </c:numRef>
            </c:plus>
            <c:minus>
              <c:numRef>
                <c:f>'logbook v guiSWHS'!$G$2:$G$12</c:f>
                <c:numCache>
                  <c:formatCode>General</c:formatCode>
                  <c:ptCount val="11"/>
                  <c:pt idx="0">
                    <c:v>3854.4724029916301</c:v>
                  </c:pt>
                  <c:pt idx="1">
                    <c:v>2636.8125861731246</c:v>
                  </c:pt>
                  <c:pt idx="2">
                    <c:v>2074.9715667940195</c:v>
                  </c:pt>
                  <c:pt idx="3">
                    <c:v>2626.6606701499413</c:v>
                  </c:pt>
                  <c:pt idx="4">
                    <c:v>2116.2818181693806</c:v>
                  </c:pt>
                  <c:pt idx="5">
                    <c:v>2269.3745384653898</c:v>
                  </c:pt>
                  <c:pt idx="6">
                    <c:v>3200.116538858862</c:v>
                  </c:pt>
                  <c:pt idx="7">
                    <c:v>2343.0648412520886</c:v>
                  </c:pt>
                  <c:pt idx="8">
                    <c:v>2076.4464903589424</c:v>
                  </c:pt>
                  <c:pt idx="9">
                    <c:v>1915.4055914262469</c:v>
                  </c:pt>
                  <c:pt idx="10">
                    <c:v>3863.5179895104238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guiSWHS'!$D$2:$D$12</c:f>
              <c:numCache>
                <c:formatCode>General</c:formatCode>
                <c:ptCount val="11"/>
                <c:pt idx="0">
                  <c:v>10660</c:v>
                </c:pt>
                <c:pt idx="1">
                  <c:v>10532</c:v>
                </c:pt>
                <c:pt idx="2">
                  <c:v>6679</c:v>
                </c:pt>
                <c:pt idx="3">
                  <c:v>7370</c:v>
                </c:pt>
                <c:pt idx="4">
                  <c:v>5794</c:v>
                </c:pt>
                <c:pt idx="5">
                  <c:v>6131</c:v>
                </c:pt>
                <c:pt idx="6">
                  <c:v>8494</c:v>
                </c:pt>
                <c:pt idx="7">
                  <c:v>7638</c:v>
                </c:pt>
                <c:pt idx="8">
                  <c:v>5714</c:v>
                </c:pt>
                <c:pt idx="9">
                  <c:v>7659</c:v>
                </c:pt>
                <c:pt idx="10">
                  <c:v>13977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guiSWHS'!$C$14:$C$24</c:f>
              <c:numCache>
                <c:formatCode>General</c:formatCode>
                <c:ptCount val="11"/>
                <c:pt idx="0">
                  <c:v>17328</c:v>
                </c:pt>
                <c:pt idx="1">
                  <c:v>20908</c:v>
                </c:pt>
                <c:pt idx="2">
                  <c:v>24779</c:v>
                </c:pt>
                <c:pt idx="3">
                  <c:v>25686</c:v>
                </c:pt>
                <c:pt idx="4">
                  <c:v>29160</c:v>
                </c:pt>
                <c:pt idx="5">
                  <c:v>32540</c:v>
                </c:pt>
                <c:pt idx="6">
                  <c:v>30249</c:v>
                </c:pt>
                <c:pt idx="7">
                  <c:v>42049</c:v>
                </c:pt>
                <c:pt idx="8">
                  <c:v>35867</c:v>
                </c:pt>
                <c:pt idx="9">
                  <c:v>11107</c:v>
                </c:pt>
                <c:pt idx="10">
                  <c:v>28388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guiSWHS'!$G$14:$G$24</c:f>
                <c:numCache>
                  <c:formatCode>General</c:formatCode>
                  <c:ptCount val="11"/>
                  <c:pt idx="0">
                    <c:v>2448.6377800412611</c:v>
                  </c:pt>
                  <c:pt idx="1">
                    <c:v>2230.6140040142195</c:v>
                  </c:pt>
                  <c:pt idx="2">
                    <c:v>3551.6665507166285</c:v>
                  </c:pt>
                  <c:pt idx="3">
                    <c:v>3795.8266059200118</c:v>
                  </c:pt>
                  <c:pt idx="4">
                    <c:v>4297.3453597524858</c:v>
                  </c:pt>
                  <c:pt idx="5">
                    <c:v>4958.4297115917707</c:v>
                  </c:pt>
                  <c:pt idx="6">
                    <c:v>3262.3530751620592</c:v>
                  </c:pt>
                  <c:pt idx="7">
                    <c:v>4112.306965611544</c:v>
                  </c:pt>
                  <c:pt idx="8">
                    <c:v>3210.9592002614672</c:v>
                  </c:pt>
                  <c:pt idx="9">
                    <c:v>1855.6500861268028</c:v>
                  </c:pt>
                  <c:pt idx="10">
                    <c:v>5419.5776802898945</c:v>
                  </c:pt>
                </c:numCache>
              </c:numRef>
            </c:plus>
            <c:minus>
              <c:numRef>
                <c:f>'logbook v guiSWHS'!$G$14:$G$24</c:f>
                <c:numCache>
                  <c:formatCode>General</c:formatCode>
                  <c:ptCount val="11"/>
                  <c:pt idx="0">
                    <c:v>2448.6377800412611</c:v>
                  </c:pt>
                  <c:pt idx="1">
                    <c:v>2230.6140040142195</c:v>
                  </c:pt>
                  <c:pt idx="2">
                    <c:v>3551.6665507166285</c:v>
                  </c:pt>
                  <c:pt idx="3">
                    <c:v>3795.8266059200118</c:v>
                  </c:pt>
                  <c:pt idx="4">
                    <c:v>4297.3453597524858</c:v>
                  </c:pt>
                  <c:pt idx="5">
                    <c:v>4958.4297115917707</c:v>
                  </c:pt>
                  <c:pt idx="6">
                    <c:v>3262.3530751620592</c:v>
                  </c:pt>
                  <c:pt idx="7">
                    <c:v>4112.306965611544</c:v>
                  </c:pt>
                  <c:pt idx="8">
                    <c:v>3210.9592002614672</c:v>
                  </c:pt>
                  <c:pt idx="9">
                    <c:v>1855.6500861268028</c:v>
                  </c:pt>
                  <c:pt idx="10">
                    <c:v>5419.5776802898945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guiSWHS'!$D$14:$D$24</c:f>
              <c:numCache>
                <c:formatCode>General</c:formatCode>
                <c:ptCount val="11"/>
                <c:pt idx="0">
                  <c:v>9897</c:v>
                </c:pt>
                <c:pt idx="1">
                  <c:v>10764</c:v>
                </c:pt>
                <c:pt idx="2">
                  <c:v>16013</c:v>
                </c:pt>
                <c:pt idx="3">
                  <c:v>22008</c:v>
                </c:pt>
                <c:pt idx="4">
                  <c:v>24718</c:v>
                </c:pt>
                <c:pt idx="5">
                  <c:v>23223</c:v>
                </c:pt>
                <c:pt idx="6">
                  <c:v>17659</c:v>
                </c:pt>
                <c:pt idx="7">
                  <c:v>25988</c:v>
                </c:pt>
                <c:pt idx="8">
                  <c:v>16087</c:v>
                </c:pt>
                <c:pt idx="9">
                  <c:v>8756</c:v>
                </c:pt>
                <c:pt idx="10">
                  <c:v>25059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guiSWHS'!$C$26:$C$36</c:f>
              <c:numCache>
                <c:formatCode>General</c:formatCode>
                <c:ptCount val="11"/>
                <c:pt idx="0">
                  <c:v>8950</c:v>
                </c:pt>
                <c:pt idx="1">
                  <c:v>8600</c:v>
                </c:pt>
                <c:pt idx="2">
                  <c:v>6970</c:v>
                </c:pt>
                <c:pt idx="3">
                  <c:v>8688</c:v>
                </c:pt>
                <c:pt idx="4">
                  <c:v>9156</c:v>
                </c:pt>
                <c:pt idx="5">
                  <c:v>5839</c:v>
                </c:pt>
                <c:pt idx="6">
                  <c:v>9211</c:v>
                </c:pt>
                <c:pt idx="7">
                  <c:v>11024</c:v>
                </c:pt>
                <c:pt idx="8">
                  <c:v>11553</c:v>
                </c:pt>
                <c:pt idx="9">
                  <c:v>3314</c:v>
                </c:pt>
                <c:pt idx="10">
                  <c:v>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guiSWHS'!$G$26:$G$36</c:f>
                <c:numCache>
                  <c:formatCode>General</c:formatCode>
                  <c:ptCount val="11"/>
                  <c:pt idx="0">
                    <c:v>2077.055543547121</c:v>
                  </c:pt>
                  <c:pt idx="1">
                    <c:v>1771.7728952016525</c:v>
                  </c:pt>
                  <c:pt idx="2">
                    <c:v>2389.2442441359995</c:v>
                  </c:pt>
                  <c:pt idx="3">
                    <c:v>2664.4357077629033</c:v>
                  </c:pt>
                  <c:pt idx="4">
                    <c:v>2974.0030129193301</c:v>
                  </c:pt>
                  <c:pt idx="5">
                    <c:v>3382.6179587306874</c:v>
                  </c:pt>
                  <c:pt idx="6">
                    <c:v>2797.5905977950333</c:v>
                  </c:pt>
                  <c:pt idx="7">
                    <c:v>2935.5887742647451</c:v>
                  </c:pt>
                  <c:pt idx="8">
                    <c:v>3095.4136766885977</c:v>
                  </c:pt>
                  <c:pt idx="9">
                    <c:v>1438.7822870281352</c:v>
                  </c:pt>
                  <c:pt idx="10">
                    <c:v>2729.9039676859775</c:v>
                  </c:pt>
                </c:numCache>
              </c:numRef>
            </c:plus>
            <c:minus>
              <c:numRef>
                <c:f>'logbook v guiSWHS'!$G$26:$G$36</c:f>
                <c:numCache>
                  <c:formatCode>General</c:formatCode>
                  <c:ptCount val="11"/>
                  <c:pt idx="0">
                    <c:v>2077.055543547121</c:v>
                  </c:pt>
                  <c:pt idx="1">
                    <c:v>1771.7728952016525</c:v>
                  </c:pt>
                  <c:pt idx="2">
                    <c:v>2389.2442441359995</c:v>
                  </c:pt>
                  <c:pt idx="3">
                    <c:v>2664.4357077629033</c:v>
                  </c:pt>
                  <c:pt idx="4">
                    <c:v>2974.0030129193301</c:v>
                  </c:pt>
                  <c:pt idx="5">
                    <c:v>3382.6179587306874</c:v>
                  </c:pt>
                  <c:pt idx="6">
                    <c:v>2797.5905977950333</c:v>
                  </c:pt>
                  <c:pt idx="7">
                    <c:v>2935.5887742647451</c:v>
                  </c:pt>
                  <c:pt idx="8">
                    <c:v>3095.4136766885977</c:v>
                  </c:pt>
                  <c:pt idx="9">
                    <c:v>1438.7822870281352</c:v>
                  </c:pt>
                  <c:pt idx="10">
                    <c:v>2729.9039676859775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guiSWHS'!$D$26:$D$36</c:f>
              <c:numCache>
                <c:formatCode>General</c:formatCode>
                <c:ptCount val="11"/>
                <c:pt idx="0">
                  <c:v>4628</c:v>
                </c:pt>
                <c:pt idx="1">
                  <c:v>4902</c:v>
                </c:pt>
                <c:pt idx="2">
                  <c:v>5774</c:v>
                </c:pt>
                <c:pt idx="3">
                  <c:v>5939</c:v>
                </c:pt>
                <c:pt idx="4">
                  <c:v>9341</c:v>
                </c:pt>
                <c:pt idx="5">
                  <c:v>10348</c:v>
                </c:pt>
                <c:pt idx="6">
                  <c:v>6590</c:v>
                </c:pt>
                <c:pt idx="7">
                  <c:v>7537</c:v>
                </c:pt>
                <c:pt idx="8">
                  <c:v>9746</c:v>
                </c:pt>
                <c:pt idx="9">
                  <c:v>4686</c:v>
                </c:pt>
                <c:pt idx="10">
                  <c:v>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guiSWHS'!$C$38:$C$48</c:f>
              <c:numCache>
                <c:formatCode>General</c:formatCode>
                <c:ptCount val="11"/>
                <c:pt idx="0">
                  <c:v>13281</c:v>
                </c:pt>
                <c:pt idx="1">
                  <c:v>15243</c:v>
                </c:pt>
                <c:pt idx="2">
                  <c:v>14770</c:v>
                </c:pt>
                <c:pt idx="3">
                  <c:v>19857</c:v>
                </c:pt>
                <c:pt idx="4">
                  <c:v>22095</c:v>
                </c:pt>
                <c:pt idx="5">
                  <c:v>25877</c:v>
                </c:pt>
                <c:pt idx="6">
                  <c:v>24305</c:v>
                </c:pt>
                <c:pt idx="7">
                  <c:v>34673</c:v>
                </c:pt>
                <c:pt idx="8">
                  <c:v>36293</c:v>
                </c:pt>
                <c:pt idx="9">
                  <c:v>17585</c:v>
                </c:pt>
                <c:pt idx="10">
                  <c:v>33151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guiSWHS'!$G$38:$G$48</c:f>
                <c:numCache>
                  <c:formatCode>General</c:formatCode>
                  <c:ptCount val="11"/>
                  <c:pt idx="0">
                    <c:v>2185.2582289913703</c:v>
                  </c:pt>
                  <c:pt idx="1">
                    <c:v>2785.768303432867</c:v>
                  </c:pt>
                  <c:pt idx="2">
                    <c:v>3607.1746425913043</c:v>
                  </c:pt>
                  <c:pt idx="3">
                    <c:v>5592.0206396278727</c:v>
                  </c:pt>
                  <c:pt idx="4">
                    <c:v>6594.1656620871108</c:v>
                  </c:pt>
                  <c:pt idx="5">
                    <c:v>5141.0157036749979</c:v>
                  </c:pt>
                  <c:pt idx="6">
                    <c:v>4456.7630123876752</c:v>
                  </c:pt>
                  <c:pt idx="7">
                    <c:v>5540.7361844338839</c:v>
                  </c:pt>
                  <c:pt idx="8">
                    <c:v>4216.164546214558</c:v>
                  </c:pt>
                  <c:pt idx="9">
                    <c:v>3602.6392275718767</c:v>
                  </c:pt>
                  <c:pt idx="10">
                    <c:v>6056.9624052150493</c:v>
                  </c:pt>
                </c:numCache>
              </c:numRef>
            </c:plus>
            <c:minus>
              <c:numRef>
                <c:f>'logbook v guiSWHS'!$G$38:$G$48</c:f>
                <c:numCache>
                  <c:formatCode>General</c:formatCode>
                  <c:ptCount val="11"/>
                  <c:pt idx="0">
                    <c:v>2185.2582289913703</c:v>
                  </c:pt>
                  <c:pt idx="1">
                    <c:v>2785.768303432867</c:v>
                  </c:pt>
                  <c:pt idx="2">
                    <c:v>3607.1746425913043</c:v>
                  </c:pt>
                  <c:pt idx="3">
                    <c:v>5592.0206396278727</c:v>
                  </c:pt>
                  <c:pt idx="4">
                    <c:v>6594.1656620871108</c:v>
                  </c:pt>
                  <c:pt idx="5">
                    <c:v>5141.0157036749979</c:v>
                  </c:pt>
                  <c:pt idx="6">
                    <c:v>4456.7630123876752</c:v>
                  </c:pt>
                  <c:pt idx="7">
                    <c:v>5540.7361844338839</c:v>
                  </c:pt>
                  <c:pt idx="8">
                    <c:v>4216.164546214558</c:v>
                  </c:pt>
                  <c:pt idx="9">
                    <c:v>3602.6392275718767</c:v>
                  </c:pt>
                  <c:pt idx="10">
                    <c:v>6056.9624052150493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guiSWHS'!$D$38:$D$48</c:f>
              <c:numCache>
                <c:formatCode>General</c:formatCode>
                <c:ptCount val="11"/>
                <c:pt idx="0">
                  <c:v>7431</c:v>
                </c:pt>
                <c:pt idx="1">
                  <c:v>8800</c:v>
                </c:pt>
                <c:pt idx="2">
                  <c:v>14137</c:v>
                </c:pt>
                <c:pt idx="3">
                  <c:v>21622</c:v>
                </c:pt>
                <c:pt idx="4">
                  <c:v>20210</c:v>
                </c:pt>
                <c:pt idx="5">
                  <c:v>22747</c:v>
                </c:pt>
                <c:pt idx="6">
                  <c:v>17214</c:v>
                </c:pt>
                <c:pt idx="7">
                  <c:v>22185</c:v>
                </c:pt>
                <c:pt idx="8">
                  <c:v>15254</c:v>
                </c:pt>
                <c:pt idx="9">
                  <c:v>11282</c:v>
                </c:pt>
                <c:pt idx="10">
                  <c:v>24203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IBS/EYKT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guiSWHS'!$C$50:$C$60</c:f>
              <c:numCache>
                <c:formatCode>General</c:formatCode>
                <c:ptCount val="11"/>
                <c:pt idx="0">
                  <c:v>2848</c:v>
                </c:pt>
                <c:pt idx="1">
                  <c:v>3241</c:v>
                </c:pt>
                <c:pt idx="2">
                  <c:v>3884</c:v>
                </c:pt>
                <c:pt idx="3">
                  <c:v>4695</c:v>
                </c:pt>
                <c:pt idx="4">
                  <c:v>5729</c:v>
                </c:pt>
                <c:pt idx="5">
                  <c:v>7499</c:v>
                </c:pt>
                <c:pt idx="6">
                  <c:v>6324</c:v>
                </c:pt>
                <c:pt idx="7">
                  <c:v>8659</c:v>
                </c:pt>
                <c:pt idx="8">
                  <c:v>7908</c:v>
                </c:pt>
                <c:pt idx="9">
                  <c:v>4059</c:v>
                </c:pt>
                <c:pt idx="10">
                  <c:v>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guiSWHS'!$G$50:$G$60</c:f>
                <c:numCache>
                  <c:formatCode>General</c:formatCode>
                  <c:ptCount val="11"/>
                  <c:pt idx="0">
                    <c:v>822.39195820576788</c:v>
                  </c:pt>
                  <c:pt idx="1">
                    <c:v>1443.4112211008528</c:v>
                  </c:pt>
                  <c:pt idx="2">
                    <c:v>1686.7436416341491</c:v>
                  </c:pt>
                  <c:pt idx="3">
                    <c:v>1899.3530917647804</c:v>
                  </c:pt>
                  <c:pt idx="4">
                    <c:v>1358.2003311420717</c:v>
                  </c:pt>
                  <c:pt idx="5">
                    <c:v>1501.5836852356174</c:v>
                  </c:pt>
                  <c:pt idx="6">
                    <c:v>1914.3095929595693</c:v>
                  </c:pt>
                  <c:pt idx="7">
                    <c:v>1756.1967841023791</c:v>
                  </c:pt>
                  <c:pt idx="8">
                    <c:v>1862.4958855601749</c:v>
                  </c:pt>
                  <c:pt idx="9">
                    <c:v>909.58409663331338</c:v>
                  </c:pt>
                  <c:pt idx="10">
                    <c:v>2198.6279647370193</c:v>
                  </c:pt>
                </c:numCache>
              </c:numRef>
            </c:plus>
            <c:minus>
              <c:numRef>
                <c:f>'logbook v guiSWHS'!$G$50:$G$60</c:f>
                <c:numCache>
                  <c:formatCode>General</c:formatCode>
                  <c:ptCount val="11"/>
                  <c:pt idx="0">
                    <c:v>822.39195820576788</c:v>
                  </c:pt>
                  <c:pt idx="1">
                    <c:v>1443.4112211008528</c:v>
                  </c:pt>
                  <c:pt idx="2">
                    <c:v>1686.7436416341491</c:v>
                  </c:pt>
                  <c:pt idx="3">
                    <c:v>1899.3530917647804</c:v>
                  </c:pt>
                  <c:pt idx="4">
                    <c:v>1358.2003311420717</c:v>
                  </c:pt>
                  <c:pt idx="5">
                    <c:v>1501.5836852356174</c:v>
                  </c:pt>
                  <c:pt idx="6">
                    <c:v>1914.3095929595693</c:v>
                  </c:pt>
                  <c:pt idx="7">
                    <c:v>1756.1967841023791</c:v>
                  </c:pt>
                  <c:pt idx="8">
                    <c:v>1862.4958855601749</c:v>
                  </c:pt>
                  <c:pt idx="9">
                    <c:v>909.58409663331338</c:v>
                  </c:pt>
                  <c:pt idx="10">
                    <c:v>2198.6279647370193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guiSWHS'!$D$50:$D$60</c:f>
              <c:numCache>
                <c:formatCode>General</c:formatCode>
                <c:ptCount val="11"/>
                <c:pt idx="0">
                  <c:v>1832</c:v>
                </c:pt>
                <c:pt idx="1">
                  <c:v>3119</c:v>
                </c:pt>
                <c:pt idx="2">
                  <c:v>3921</c:v>
                </c:pt>
                <c:pt idx="3">
                  <c:v>5580</c:v>
                </c:pt>
                <c:pt idx="4">
                  <c:v>3233</c:v>
                </c:pt>
                <c:pt idx="5">
                  <c:v>4013</c:v>
                </c:pt>
                <c:pt idx="6">
                  <c:v>4914</c:v>
                </c:pt>
                <c:pt idx="7">
                  <c:v>5631</c:v>
                </c:pt>
                <c:pt idx="8">
                  <c:v>5157</c:v>
                </c:pt>
                <c:pt idx="9">
                  <c:v>2605</c:v>
                </c:pt>
                <c:pt idx="10">
                  <c:v>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guiSWHS'!$C$62:$C$72</c:f>
              <c:numCache>
                <c:formatCode>General</c:formatCode>
                <c:ptCount val="11"/>
                <c:pt idx="0">
                  <c:v>58843</c:v>
                </c:pt>
                <c:pt idx="1">
                  <c:v>57675</c:v>
                </c:pt>
                <c:pt idx="2">
                  <c:v>60735</c:v>
                </c:pt>
                <c:pt idx="3">
                  <c:v>73709</c:v>
                </c:pt>
                <c:pt idx="4">
                  <c:v>80105</c:v>
                </c:pt>
                <c:pt idx="5">
                  <c:v>54908</c:v>
                </c:pt>
                <c:pt idx="6">
                  <c:v>57388</c:v>
                </c:pt>
                <c:pt idx="7">
                  <c:v>55460</c:v>
                </c:pt>
                <c:pt idx="8">
                  <c:v>59842</c:v>
                </c:pt>
                <c:pt idx="9">
                  <c:v>24728</c:v>
                </c:pt>
                <c:pt idx="10">
                  <c:v>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guiSWHS'!$G$62:$G$72</c:f>
                <c:numCache>
                  <c:formatCode>General</c:formatCode>
                  <c:ptCount val="11"/>
                  <c:pt idx="0">
                    <c:v>6272.8213813808761</c:v>
                  </c:pt>
                  <c:pt idx="1">
                    <c:v>7250.8673670933786</c:v>
                  </c:pt>
                  <c:pt idx="2">
                    <c:v>6959.4972091084519</c:v>
                  </c:pt>
                  <c:pt idx="3">
                    <c:v>8825.9436871100588</c:v>
                  </c:pt>
                  <c:pt idx="4">
                    <c:v>8993.768068308189</c:v>
                  </c:pt>
                  <c:pt idx="5">
                    <c:v>6886.1864494668807</c:v>
                  </c:pt>
                  <c:pt idx="6">
                    <c:v>6217.6683852453798</c:v>
                  </c:pt>
                  <c:pt idx="7">
                    <c:v>7399.6012573384332</c:v>
                  </c:pt>
                  <c:pt idx="8">
                    <c:v>6060.1220112806877</c:v>
                  </c:pt>
                  <c:pt idx="9">
                    <c:v>3354.6403833588042</c:v>
                  </c:pt>
                  <c:pt idx="10">
                    <c:v>8024.0122819553735</c:v>
                  </c:pt>
                </c:numCache>
              </c:numRef>
            </c:plus>
            <c:minus>
              <c:numRef>
                <c:f>'logbook v guiSWHS'!$G$62:$G$72</c:f>
                <c:numCache>
                  <c:formatCode>General</c:formatCode>
                  <c:ptCount val="11"/>
                  <c:pt idx="0">
                    <c:v>6272.8213813808761</c:v>
                  </c:pt>
                  <c:pt idx="1">
                    <c:v>7250.8673670933786</c:v>
                  </c:pt>
                  <c:pt idx="2">
                    <c:v>6959.4972091084519</c:v>
                  </c:pt>
                  <c:pt idx="3">
                    <c:v>8825.9436871100588</c:v>
                  </c:pt>
                  <c:pt idx="4">
                    <c:v>8993.768068308189</c:v>
                  </c:pt>
                  <c:pt idx="5">
                    <c:v>6886.1864494668807</c:v>
                  </c:pt>
                  <c:pt idx="6">
                    <c:v>6217.6683852453798</c:v>
                  </c:pt>
                  <c:pt idx="7">
                    <c:v>7399.6012573384332</c:v>
                  </c:pt>
                  <c:pt idx="8">
                    <c:v>6060.1220112806877</c:v>
                  </c:pt>
                  <c:pt idx="9">
                    <c:v>3354.6403833588042</c:v>
                  </c:pt>
                  <c:pt idx="10">
                    <c:v>8024.0122819553735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guiSWHS'!$D$62:$D$72</c:f>
              <c:numCache>
                <c:formatCode>General</c:formatCode>
                <c:ptCount val="11"/>
                <c:pt idx="0">
                  <c:v>41675</c:v>
                </c:pt>
                <c:pt idx="1">
                  <c:v>52345</c:v>
                </c:pt>
                <c:pt idx="2">
                  <c:v>49080</c:v>
                </c:pt>
                <c:pt idx="3">
                  <c:v>66961</c:v>
                </c:pt>
                <c:pt idx="4">
                  <c:v>69569</c:v>
                </c:pt>
                <c:pt idx="5">
                  <c:v>54929</c:v>
                </c:pt>
                <c:pt idx="6">
                  <c:v>44003</c:v>
                </c:pt>
                <c:pt idx="7">
                  <c:v>47886</c:v>
                </c:pt>
                <c:pt idx="8">
                  <c:v>44354</c:v>
                </c:pt>
                <c:pt idx="9">
                  <c:v>23972</c:v>
                </c:pt>
                <c:pt idx="10">
                  <c:v>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guiSWHS'!$C$74:$C$84</c:f>
              <c:numCache>
                <c:formatCode>General</c:formatCode>
                <c:ptCount val="11"/>
                <c:pt idx="0">
                  <c:v>3052</c:v>
                </c:pt>
                <c:pt idx="1">
                  <c:v>3025</c:v>
                </c:pt>
                <c:pt idx="2">
                  <c:v>2487</c:v>
                </c:pt>
                <c:pt idx="3">
                  <c:v>2843</c:v>
                </c:pt>
                <c:pt idx="4">
                  <c:v>3919</c:v>
                </c:pt>
                <c:pt idx="5">
                  <c:v>5287</c:v>
                </c:pt>
                <c:pt idx="6">
                  <c:v>4756</c:v>
                </c:pt>
                <c:pt idx="7">
                  <c:v>5694</c:v>
                </c:pt>
                <c:pt idx="8">
                  <c:v>6782</c:v>
                </c:pt>
                <c:pt idx="9">
                  <c:v>5835</c:v>
                </c:pt>
                <c:pt idx="10">
                  <c:v>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guiSWHS'!$G$74:$G$84</c:f>
                <c:numCache>
                  <c:formatCode>General</c:formatCode>
                  <c:ptCount val="11"/>
                  <c:pt idx="0">
                    <c:v>1182.1655205116524</c:v>
                  </c:pt>
                  <c:pt idx="1">
                    <c:v>843.38620324125384</c:v>
                  </c:pt>
                  <c:pt idx="2">
                    <c:v>1552.4038303843438</c:v>
                  </c:pt>
                  <c:pt idx="3">
                    <c:v>1229.4563285582651</c:v>
                  </c:pt>
                  <c:pt idx="4">
                    <c:v>1290.4648128417155</c:v>
                  </c:pt>
                  <c:pt idx="5">
                    <c:v>2149.0362263526181</c:v>
                  </c:pt>
                  <c:pt idx="6">
                    <c:v>1761.763438294246</c:v>
                  </c:pt>
                  <c:pt idx="7">
                    <c:v>2100.8145021836531</c:v>
                  </c:pt>
                  <c:pt idx="8">
                    <c:v>2035.9967795887944</c:v>
                  </c:pt>
                  <c:pt idx="9">
                    <c:v>1285.386929167601</c:v>
                  </c:pt>
                  <c:pt idx="10">
                    <c:v>3012.8568070073452</c:v>
                  </c:pt>
                </c:numCache>
              </c:numRef>
            </c:plus>
            <c:minus>
              <c:numRef>
                <c:f>'logbook v guiSWHS'!$G$74:$G$84</c:f>
                <c:numCache>
                  <c:formatCode>General</c:formatCode>
                  <c:ptCount val="11"/>
                  <c:pt idx="0">
                    <c:v>1182.1655205116524</c:v>
                  </c:pt>
                  <c:pt idx="1">
                    <c:v>843.38620324125384</c:v>
                  </c:pt>
                  <c:pt idx="2">
                    <c:v>1552.4038303843438</c:v>
                  </c:pt>
                  <c:pt idx="3">
                    <c:v>1229.4563285582651</c:v>
                  </c:pt>
                  <c:pt idx="4">
                    <c:v>1290.4648128417155</c:v>
                  </c:pt>
                  <c:pt idx="5">
                    <c:v>2149.0362263526181</c:v>
                  </c:pt>
                  <c:pt idx="6">
                    <c:v>1761.763438294246</c:v>
                  </c:pt>
                  <c:pt idx="7">
                    <c:v>2100.8145021836531</c:v>
                  </c:pt>
                  <c:pt idx="8">
                    <c:v>2035.9967795887944</c:v>
                  </c:pt>
                  <c:pt idx="9">
                    <c:v>1285.386929167601</c:v>
                  </c:pt>
                  <c:pt idx="10">
                    <c:v>3012.8568070073452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guiSWHS'!$D$74:$D$84</c:f>
              <c:numCache>
                <c:formatCode>General</c:formatCode>
                <c:ptCount val="11"/>
                <c:pt idx="0">
                  <c:v>1879</c:v>
                </c:pt>
                <c:pt idx="1">
                  <c:v>1969</c:v>
                </c:pt>
                <c:pt idx="2">
                  <c:v>3854</c:v>
                </c:pt>
                <c:pt idx="3">
                  <c:v>2246</c:v>
                </c:pt>
                <c:pt idx="4">
                  <c:v>2803</c:v>
                </c:pt>
                <c:pt idx="5">
                  <c:v>5009</c:v>
                </c:pt>
                <c:pt idx="6">
                  <c:v>4033</c:v>
                </c:pt>
                <c:pt idx="7">
                  <c:v>4452</c:v>
                </c:pt>
                <c:pt idx="8">
                  <c:v>4471</c:v>
                </c:pt>
                <c:pt idx="9">
                  <c:v>3343</c:v>
                </c:pt>
                <c:pt idx="10">
                  <c:v>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guiSWHS'!$C$86:$C$96</c:f>
              <c:numCache>
                <c:formatCode>General</c:formatCode>
                <c:ptCount val="11"/>
                <c:pt idx="0">
                  <c:v>5</c:v>
                </c:pt>
                <c:pt idx="1">
                  <c:v>13</c:v>
                </c:pt>
                <c:pt idx="2">
                  <c:v>0</c:v>
                </c:pt>
                <c:pt idx="3">
                  <c:v>44</c:v>
                </c:pt>
                <c:pt idx="4">
                  <c:v>21</c:v>
                </c:pt>
                <c:pt idx="5">
                  <c:v>1</c:v>
                </c:pt>
                <c:pt idx="6">
                  <c:v>7</c:v>
                </c:pt>
                <c:pt idx="7">
                  <c:v>105</c:v>
                </c:pt>
                <c:pt idx="8">
                  <c:v>91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0-4F33-97EB-E401E8BE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guiSWHS'!$G$86:$G$96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139.61685951458404</c:v>
                  </c:pt>
                  <c:pt idx="2">
                    <c:v>266.0071920090889</c:v>
                  </c:pt>
                  <c:pt idx="3">
                    <c:v>135.54345359610093</c:v>
                  </c:pt>
                  <c:pt idx="4">
                    <c:v>520.29437222930244</c:v>
                  </c:pt>
                  <c:pt idx="5">
                    <c:v>160.94232883331824</c:v>
                  </c:pt>
                  <c:pt idx="6">
                    <c:v>0</c:v>
                  </c:pt>
                  <c:pt idx="7">
                    <c:v>71.220227558945382</c:v>
                  </c:pt>
                  <c:pt idx="8">
                    <c:v>498.26357695465396</c:v>
                  </c:pt>
                  <c:pt idx="9">
                    <c:v>487.70025212344746</c:v>
                  </c:pt>
                  <c:pt idx="10">
                    <c:v>552.32962592589161</c:v>
                  </c:pt>
                </c:numCache>
              </c:numRef>
            </c:plus>
            <c:minus>
              <c:numRef>
                <c:f>'logbook v guiSWHS'!$G$86:$G$96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139.61685951458404</c:v>
                  </c:pt>
                  <c:pt idx="2">
                    <c:v>266.0071920090889</c:v>
                  </c:pt>
                  <c:pt idx="3">
                    <c:v>135.54345359610093</c:v>
                  </c:pt>
                  <c:pt idx="4">
                    <c:v>520.29437222930244</c:v>
                  </c:pt>
                  <c:pt idx="5">
                    <c:v>160.94232883331824</c:v>
                  </c:pt>
                  <c:pt idx="6">
                    <c:v>0</c:v>
                  </c:pt>
                  <c:pt idx="7">
                    <c:v>71.220227558945382</c:v>
                  </c:pt>
                  <c:pt idx="8">
                    <c:v>498.26357695465396</c:v>
                  </c:pt>
                  <c:pt idx="9">
                    <c:v>487.70025212344746</c:v>
                  </c:pt>
                  <c:pt idx="10">
                    <c:v>552.32962592589161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guiSWHS'!$D$86:$D$96</c:f>
              <c:numCache>
                <c:formatCode>General</c:formatCode>
                <c:ptCount val="11"/>
                <c:pt idx="0">
                  <c:v>0</c:v>
                </c:pt>
                <c:pt idx="1">
                  <c:v>70</c:v>
                </c:pt>
                <c:pt idx="2">
                  <c:v>137</c:v>
                </c:pt>
                <c:pt idx="3">
                  <c:v>71</c:v>
                </c:pt>
                <c:pt idx="4">
                  <c:v>274</c:v>
                </c:pt>
                <c:pt idx="5">
                  <c:v>81</c:v>
                </c:pt>
                <c:pt idx="6">
                  <c:v>0</c:v>
                </c:pt>
                <c:pt idx="7">
                  <c:v>35</c:v>
                </c:pt>
                <c:pt idx="8">
                  <c:v>460</c:v>
                </c:pt>
                <c:pt idx="9">
                  <c:v>437</c:v>
                </c:pt>
                <c:pt idx="10">
                  <c:v>554.20000000000005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0-4F33-97EB-E401E8BE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SOKO2SAP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guiSWHS'!$C$98:$C$108</c:f>
              <c:numCache>
                <c:formatCode>General</c:formatCode>
                <c:ptCount val="11"/>
                <c:pt idx="0">
                  <c:v>749</c:v>
                </c:pt>
                <c:pt idx="1">
                  <c:v>1039</c:v>
                </c:pt>
                <c:pt idx="2">
                  <c:v>1104</c:v>
                </c:pt>
                <c:pt idx="3">
                  <c:v>715</c:v>
                </c:pt>
                <c:pt idx="4">
                  <c:v>662</c:v>
                </c:pt>
                <c:pt idx="5">
                  <c:v>811</c:v>
                </c:pt>
                <c:pt idx="6">
                  <c:v>727</c:v>
                </c:pt>
                <c:pt idx="7">
                  <c:v>781</c:v>
                </c:pt>
                <c:pt idx="8">
                  <c:v>762</c:v>
                </c:pt>
                <c:pt idx="9">
                  <c:v>811</c:v>
                </c:pt>
                <c:pt idx="10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guiSWHS'!$G$98:$G$108</c:f>
                <c:numCache>
                  <c:formatCode>General</c:formatCode>
                  <c:ptCount val="11"/>
                  <c:pt idx="0">
                    <c:v>150.90300354744312</c:v>
                  </c:pt>
                  <c:pt idx="1">
                    <c:v>366.30411483408847</c:v>
                  </c:pt>
                  <c:pt idx="2">
                    <c:v>694.33203921485438</c:v>
                  </c:pt>
                  <c:pt idx="3">
                    <c:v>660.52204921369434</c:v>
                  </c:pt>
                  <c:pt idx="4">
                    <c:v>204.9344130029364</c:v>
                  </c:pt>
                  <c:pt idx="5">
                    <c:v>35.671305706649058</c:v>
                  </c:pt>
                  <c:pt idx="6">
                    <c:v>0</c:v>
                  </c:pt>
                  <c:pt idx="7">
                    <c:v>0</c:v>
                  </c:pt>
                  <c:pt idx="8">
                    <c:v>418.24009289299693</c:v>
                  </c:pt>
                  <c:pt idx="9">
                    <c:v>417.47880698034737</c:v>
                  </c:pt>
                  <c:pt idx="10">
                    <c:v>539.1595287772999</c:v>
                  </c:pt>
                </c:numCache>
              </c:numRef>
            </c:plus>
            <c:minus>
              <c:numRef>
                <c:f>'logbook v guiSWHS'!$G$98:$G$108</c:f>
                <c:numCache>
                  <c:formatCode>General</c:formatCode>
                  <c:ptCount val="11"/>
                  <c:pt idx="0">
                    <c:v>150.90300354744312</c:v>
                  </c:pt>
                  <c:pt idx="1">
                    <c:v>366.30411483408847</c:v>
                  </c:pt>
                  <c:pt idx="2">
                    <c:v>694.33203921485438</c:v>
                  </c:pt>
                  <c:pt idx="3">
                    <c:v>660.52204921369434</c:v>
                  </c:pt>
                  <c:pt idx="4">
                    <c:v>204.9344130029364</c:v>
                  </c:pt>
                  <c:pt idx="5">
                    <c:v>35.671305706649058</c:v>
                  </c:pt>
                  <c:pt idx="6">
                    <c:v>0</c:v>
                  </c:pt>
                  <c:pt idx="7">
                    <c:v>0</c:v>
                  </c:pt>
                  <c:pt idx="8">
                    <c:v>418.24009289299693</c:v>
                  </c:pt>
                  <c:pt idx="9">
                    <c:v>417.47880698034737</c:v>
                  </c:pt>
                  <c:pt idx="10">
                    <c:v>539.1595287772999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guiSWHS'!$D$98:$D$108</c:f>
              <c:numCache>
                <c:formatCode>General</c:formatCode>
                <c:ptCount val="11"/>
                <c:pt idx="0">
                  <c:v>77</c:v>
                </c:pt>
                <c:pt idx="1">
                  <c:v>257</c:v>
                </c:pt>
                <c:pt idx="2">
                  <c:v>396</c:v>
                </c:pt>
                <c:pt idx="3">
                  <c:v>390</c:v>
                </c:pt>
                <c:pt idx="4">
                  <c:v>107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325</c:v>
                </c:pt>
                <c:pt idx="9">
                  <c:v>316</c:v>
                </c:pt>
                <c:pt idx="10">
                  <c:v>529.66666666666697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guiSWHS'!$C$110:$C$120</c:f>
              <c:numCache>
                <c:formatCode>General</c:formatCode>
                <c:ptCount val="11"/>
                <c:pt idx="0">
                  <c:v>3046</c:v>
                </c:pt>
                <c:pt idx="1">
                  <c:v>4677</c:v>
                </c:pt>
                <c:pt idx="2">
                  <c:v>4808</c:v>
                </c:pt>
                <c:pt idx="3">
                  <c:v>4731</c:v>
                </c:pt>
                <c:pt idx="4">
                  <c:v>6321</c:v>
                </c:pt>
                <c:pt idx="5">
                  <c:v>10123</c:v>
                </c:pt>
                <c:pt idx="6">
                  <c:v>8376</c:v>
                </c:pt>
                <c:pt idx="7">
                  <c:v>13009</c:v>
                </c:pt>
                <c:pt idx="8">
                  <c:v>16061</c:v>
                </c:pt>
                <c:pt idx="9">
                  <c:v>9784</c:v>
                </c:pt>
                <c:pt idx="10">
                  <c:v>14326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guiSWHS'!$G$110:$G$120</c:f>
                <c:numCache>
                  <c:formatCode>General</c:formatCode>
                  <c:ptCount val="11"/>
                  <c:pt idx="0">
                    <c:v>1021.8006563492104</c:v>
                  </c:pt>
                  <c:pt idx="1">
                    <c:v>1235.7295011635058</c:v>
                  </c:pt>
                  <c:pt idx="2">
                    <c:v>1271.1493304105352</c:v>
                  </c:pt>
                  <c:pt idx="3">
                    <c:v>1814.3177723593421</c:v>
                  </c:pt>
                  <c:pt idx="4">
                    <c:v>1719.8905850006029</c:v>
                  </c:pt>
                  <c:pt idx="5">
                    <c:v>2116.6154532249157</c:v>
                  </c:pt>
                  <c:pt idx="6">
                    <c:v>1948.4923223644039</c:v>
                  </c:pt>
                  <c:pt idx="7">
                    <c:v>2186.5533116669258</c:v>
                  </c:pt>
                  <c:pt idx="8">
                    <c:v>1985.4209891941011</c:v>
                  </c:pt>
                  <c:pt idx="9">
                    <c:v>1286.8499655941705</c:v>
                  </c:pt>
                  <c:pt idx="10">
                    <c:v>2973.3767601371542</c:v>
                  </c:pt>
                </c:numCache>
              </c:numRef>
            </c:plus>
            <c:minus>
              <c:numRef>
                <c:f>'logbook v guiSWHS'!$G$110:$G$120</c:f>
                <c:numCache>
                  <c:formatCode>General</c:formatCode>
                  <c:ptCount val="11"/>
                  <c:pt idx="0">
                    <c:v>1021.8006563492104</c:v>
                  </c:pt>
                  <c:pt idx="1">
                    <c:v>1235.7295011635058</c:v>
                  </c:pt>
                  <c:pt idx="2">
                    <c:v>1271.1493304105352</c:v>
                  </c:pt>
                  <c:pt idx="3">
                    <c:v>1814.3177723593421</c:v>
                  </c:pt>
                  <c:pt idx="4">
                    <c:v>1719.8905850006029</c:v>
                  </c:pt>
                  <c:pt idx="5">
                    <c:v>2116.6154532249157</c:v>
                  </c:pt>
                  <c:pt idx="6">
                    <c:v>1948.4923223644039</c:v>
                  </c:pt>
                  <c:pt idx="7">
                    <c:v>2186.5533116669258</c:v>
                  </c:pt>
                  <c:pt idx="8">
                    <c:v>1985.4209891941011</c:v>
                  </c:pt>
                  <c:pt idx="9">
                    <c:v>1286.8499655941705</c:v>
                  </c:pt>
                  <c:pt idx="10">
                    <c:v>2973.3767601371542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guiSWHS'!$D$110:$D$120</c:f>
              <c:numCache>
                <c:formatCode>General</c:formatCode>
                <c:ptCount val="11"/>
                <c:pt idx="0">
                  <c:v>3090</c:v>
                </c:pt>
                <c:pt idx="1">
                  <c:v>3725</c:v>
                </c:pt>
                <c:pt idx="2">
                  <c:v>4037</c:v>
                </c:pt>
                <c:pt idx="3">
                  <c:v>6907</c:v>
                </c:pt>
                <c:pt idx="4">
                  <c:v>6611</c:v>
                </c:pt>
                <c:pt idx="5">
                  <c:v>9545</c:v>
                </c:pt>
                <c:pt idx="6">
                  <c:v>8163</c:v>
                </c:pt>
                <c:pt idx="7">
                  <c:v>8296</c:v>
                </c:pt>
                <c:pt idx="8">
                  <c:v>7349</c:v>
                </c:pt>
                <c:pt idx="9">
                  <c:v>4920</c:v>
                </c:pt>
                <c:pt idx="10">
                  <c:v>12552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harvests'!$D$177:$D$201</c:f>
            </c:numRef>
          </c:val>
          <c:smooth val="0"/>
          <c:extLst>
            <c:ext xmlns:c16="http://schemas.microsoft.com/office/drawing/2014/chart" uri="{C3380CC4-5D6E-409C-BE32-E72D297353CC}">
              <c16:uniqueId val="{00000000-29ED-4D76-B10A-1D7C76678B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harvests'!$N$177:$N$200</c:f>
              </c:numRef>
            </c:plus>
            <c:minus>
              <c:numRef>
                <c:f>'rockfish harvests'!$N$177:$N$200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harvests'!$O$177:$O$201</c:f>
            </c:numRef>
          </c:val>
          <c:smooth val="0"/>
          <c:extLst>
            <c:ext xmlns:c16="http://schemas.microsoft.com/office/drawing/2014/chart" uri="{C3380CC4-5D6E-409C-BE32-E72D297353CC}">
              <c16:uniqueId val="{00000001-29ED-4D76-B10A-1D7C76678B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harvests'!$N$177:$N$200</c:f>
              </c:numRef>
            </c:plus>
            <c:minus>
              <c:numRef>
                <c:f>'rockfish harvests'!$N$177:$N$200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harvests'!$K$177:$K$201</c:f>
            </c:numRef>
          </c:val>
          <c:smooth val="0"/>
          <c:extLst>
            <c:ext xmlns:c16="http://schemas.microsoft.com/office/drawing/2014/chart" uri="{C3380CC4-5D6E-409C-BE32-E72D297353CC}">
              <c16:uniqueId val="{00000002-29ED-4D76-B10A-1D7C7667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guiSWHS'!$C$122:$C$132</c:f>
              <c:numCache>
                <c:formatCode>General</c:formatCode>
                <c:ptCount val="11"/>
                <c:pt idx="0">
                  <c:v>1928</c:v>
                </c:pt>
                <c:pt idx="1">
                  <c:v>3433</c:v>
                </c:pt>
                <c:pt idx="2">
                  <c:v>2207</c:v>
                </c:pt>
                <c:pt idx="3">
                  <c:v>3551</c:v>
                </c:pt>
                <c:pt idx="4">
                  <c:v>2787</c:v>
                </c:pt>
                <c:pt idx="5">
                  <c:v>3561</c:v>
                </c:pt>
                <c:pt idx="6">
                  <c:v>3933</c:v>
                </c:pt>
                <c:pt idx="7">
                  <c:v>3914</c:v>
                </c:pt>
                <c:pt idx="8">
                  <c:v>5680</c:v>
                </c:pt>
                <c:pt idx="9">
                  <c:v>1507</c:v>
                </c:pt>
                <c:pt idx="10">
                  <c:v>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guiSWHS'!$G$122:$G$132</c:f>
                <c:numCache>
                  <c:formatCode>General</c:formatCode>
                  <c:ptCount val="11"/>
                  <c:pt idx="0">
                    <c:v>948.16019157514063</c:v>
                  </c:pt>
                  <c:pt idx="1">
                    <c:v>1666.5325556720804</c:v>
                  </c:pt>
                  <c:pt idx="2">
                    <c:v>1157.2627930446074</c:v>
                  </c:pt>
                  <c:pt idx="3">
                    <c:v>1509.7187493419203</c:v>
                  </c:pt>
                  <c:pt idx="4">
                    <c:v>1258.2064190106485</c:v>
                  </c:pt>
                  <c:pt idx="5">
                    <c:v>1682.9690923969843</c:v>
                  </c:pt>
                  <c:pt idx="6">
                    <c:v>1037.9356929883372</c:v>
                  </c:pt>
                  <c:pt idx="7">
                    <c:v>1607.4561975093275</c:v>
                  </c:pt>
                  <c:pt idx="8">
                    <c:v>1441.7006184359504</c:v>
                  </c:pt>
                  <c:pt idx="9">
                    <c:v>946.58509023535635</c:v>
                  </c:pt>
                  <c:pt idx="10">
                    <c:v>3012.8568070073452</c:v>
                  </c:pt>
                </c:numCache>
              </c:numRef>
            </c:plus>
            <c:minus>
              <c:numRef>
                <c:f>'logbook v guiSWHS'!$G$122:$G$132</c:f>
                <c:numCache>
                  <c:formatCode>General</c:formatCode>
                  <c:ptCount val="11"/>
                  <c:pt idx="0">
                    <c:v>948.16019157514063</c:v>
                  </c:pt>
                  <c:pt idx="1">
                    <c:v>1666.5325556720804</c:v>
                  </c:pt>
                  <c:pt idx="2">
                    <c:v>1157.2627930446074</c:v>
                  </c:pt>
                  <c:pt idx="3">
                    <c:v>1509.7187493419203</c:v>
                  </c:pt>
                  <c:pt idx="4">
                    <c:v>1258.2064190106485</c:v>
                  </c:pt>
                  <c:pt idx="5">
                    <c:v>1682.9690923969843</c:v>
                  </c:pt>
                  <c:pt idx="6">
                    <c:v>1037.9356929883372</c:v>
                  </c:pt>
                  <c:pt idx="7">
                    <c:v>1607.4561975093275</c:v>
                  </c:pt>
                  <c:pt idx="8">
                    <c:v>1441.7006184359504</c:v>
                  </c:pt>
                  <c:pt idx="9">
                    <c:v>946.58509023535635</c:v>
                  </c:pt>
                  <c:pt idx="10">
                    <c:v>3012.8568070073452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guiSWHS'!$D$122:$D$132</c:f>
              <c:numCache>
                <c:formatCode>General</c:formatCode>
                <c:ptCount val="11"/>
                <c:pt idx="0">
                  <c:v>1611</c:v>
                </c:pt>
                <c:pt idx="1">
                  <c:v>3279</c:v>
                </c:pt>
                <c:pt idx="2">
                  <c:v>2108</c:v>
                </c:pt>
                <c:pt idx="3">
                  <c:v>3029</c:v>
                </c:pt>
                <c:pt idx="4">
                  <c:v>2033</c:v>
                </c:pt>
                <c:pt idx="5">
                  <c:v>2512</c:v>
                </c:pt>
                <c:pt idx="6">
                  <c:v>2144</c:v>
                </c:pt>
                <c:pt idx="7">
                  <c:v>3004</c:v>
                </c:pt>
                <c:pt idx="8">
                  <c:v>1831</c:v>
                </c:pt>
                <c:pt idx="9">
                  <c:v>2289</c:v>
                </c:pt>
                <c:pt idx="10">
                  <c:v>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guiSWHS'!$C$134:$C$144</c:f>
              <c:numCache>
                <c:formatCode>General</c:formatCode>
                <c:ptCount val="11"/>
                <c:pt idx="0">
                  <c:v>1366</c:v>
                </c:pt>
                <c:pt idx="1">
                  <c:v>1747</c:v>
                </c:pt>
                <c:pt idx="2">
                  <c:v>1983</c:v>
                </c:pt>
                <c:pt idx="3">
                  <c:v>2396</c:v>
                </c:pt>
                <c:pt idx="4">
                  <c:v>2031</c:v>
                </c:pt>
                <c:pt idx="5">
                  <c:v>3337</c:v>
                </c:pt>
                <c:pt idx="6">
                  <c:v>2899</c:v>
                </c:pt>
                <c:pt idx="7">
                  <c:v>4291</c:v>
                </c:pt>
                <c:pt idx="8">
                  <c:v>6954</c:v>
                </c:pt>
                <c:pt idx="9">
                  <c:v>4035</c:v>
                </c:pt>
                <c:pt idx="10">
                  <c:v>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guiSWHS'!$G$134:$G$144</c:f>
                <c:numCache>
                  <c:formatCode>General</c:formatCode>
                  <c:ptCount val="11"/>
                  <c:pt idx="0">
                    <c:v>599.66529350434166</c:v>
                  </c:pt>
                  <c:pt idx="1">
                    <c:v>378.88682284212871</c:v>
                  </c:pt>
                  <c:pt idx="2">
                    <c:v>1056.9724265686207</c:v>
                  </c:pt>
                  <c:pt idx="3">
                    <c:v>1169.9813784713683</c:v>
                  </c:pt>
                  <c:pt idx="4">
                    <c:v>1504.4895212878375</c:v>
                  </c:pt>
                  <c:pt idx="5">
                    <c:v>2149.0362263526181</c:v>
                  </c:pt>
                  <c:pt idx="6">
                    <c:v>1037.9356929883372</c:v>
                  </c:pt>
                  <c:pt idx="7">
                    <c:v>2018.535440696264</c:v>
                  </c:pt>
                  <c:pt idx="8">
                    <c:v>2035.9967795887944</c:v>
                  </c:pt>
                  <c:pt idx="9">
                    <c:v>946.58509023535635</c:v>
                  </c:pt>
                  <c:pt idx="10">
                    <c:v>3012.8568070073452</c:v>
                  </c:pt>
                </c:numCache>
              </c:numRef>
            </c:plus>
            <c:minus>
              <c:numRef>
                <c:f>'logbook v guiSWHS'!$G$134:$G$144</c:f>
                <c:numCache>
                  <c:formatCode>General</c:formatCode>
                  <c:ptCount val="11"/>
                  <c:pt idx="0">
                    <c:v>599.66529350434166</c:v>
                  </c:pt>
                  <c:pt idx="1">
                    <c:v>378.88682284212871</c:v>
                  </c:pt>
                  <c:pt idx="2">
                    <c:v>1056.9724265686207</c:v>
                  </c:pt>
                  <c:pt idx="3">
                    <c:v>1169.9813784713683</c:v>
                  </c:pt>
                  <c:pt idx="4">
                    <c:v>1504.4895212878375</c:v>
                  </c:pt>
                  <c:pt idx="5">
                    <c:v>2149.0362263526181</c:v>
                  </c:pt>
                  <c:pt idx="6">
                    <c:v>1037.9356929883372</c:v>
                  </c:pt>
                  <c:pt idx="7">
                    <c:v>2018.535440696264</c:v>
                  </c:pt>
                  <c:pt idx="8">
                    <c:v>2035.9967795887944</c:v>
                  </c:pt>
                  <c:pt idx="9">
                    <c:v>946.58509023535635</c:v>
                  </c:pt>
                  <c:pt idx="10">
                    <c:v>3012.8568070073452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guiSWHS'!$D$134:$D$144</c:f>
              <c:numCache>
                <c:formatCode>General</c:formatCode>
                <c:ptCount val="11"/>
                <c:pt idx="0">
                  <c:v>991</c:v>
                </c:pt>
                <c:pt idx="1">
                  <c:v>612</c:v>
                </c:pt>
                <c:pt idx="2">
                  <c:v>2072</c:v>
                </c:pt>
                <c:pt idx="3">
                  <c:v>2239</c:v>
                </c:pt>
                <c:pt idx="4">
                  <c:v>1753</c:v>
                </c:pt>
                <c:pt idx="5">
                  <c:v>5009</c:v>
                </c:pt>
                <c:pt idx="6">
                  <c:v>2144</c:v>
                </c:pt>
                <c:pt idx="7">
                  <c:v>3896</c:v>
                </c:pt>
                <c:pt idx="8">
                  <c:v>4471</c:v>
                </c:pt>
                <c:pt idx="9">
                  <c:v>2289</c:v>
                </c:pt>
                <c:pt idx="10">
                  <c:v>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guiSWHS'!$C$146:$C$156</c:f>
              <c:numCache>
                <c:formatCode>General</c:formatCode>
                <c:ptCount val="11"/>
                <c:pt idx="0">
                  <c:v>30322</c:v>
                </c:pt>
                <c:pt idx="1">
                  <c:v>27771</c:v>
                </c:pt>
                <c:pt idx="2">
                  <c:v>30558</c:v>
                </c:pt>
                <c:pt idx="3">
                  <c:v>37025</c:v>
                </c:pt>
                <c:pt idx="4">
                  <c:v>45883</c:v>
                </c:pt>
                <c:pt idx="5">
                  <c:v>56991</c:v>
                </c:pt>
                <c:pt idx="6">
                  <c:v>38626</c:v>
                </c:pt>
                <c:pt idx="7">
                  <c:v>50115</c:v>
                </c:pt>
                <c:pt idx="8">
                  <c:v>64565</c:v>
                </c:pt>
                <c:pt idx="9">
                  <c:v>43363</c:v>
                </c:pt>
                <c:pt idx="10">
                  <c:v>83097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guiSWHS'!$G$146:$G$156</c:f>
                <c:numCache>
                  <c:formatCode>General</c:formatCode>
                  <c:ptCount val="11"/>
                  <c:pt idx="0">
                    <c:v>3598.79607791536</c:v>
                  </c:pt>
                  <c:pt idx="1">
                    <c:v>3068.9067909528671</c:v>
                  </c:pt>
                  <c:pt idx="2">
                    <c:v>3361.2354758100887</c:v>
                  </c:pt>
                  <c:pt idx="3">
                    <c:v>4059.0646801675625</c:v>
                  </c:pt>
                  <c:pt idx="4">
                    <c:v>4244.8841347709658</c:v>
                  </c:pt>
                  <c:pt idx="5">
                    <c:v>5115.2069085839375</c:v>
                  </c:pt>
                  <c:pt idx="6">
                    <c:v>4847.1398470405447</c:v>
                  </c:pt>
                  <c:pt idx="7">
                    <c:v>5031.2082870146241</c:v>
                  </c:pt>
                  <c:pt idx="8">
                    <c:v>5480.1612900779</c:v>
                  </c:pt>
                  <c:pt idx="9">
                    <c:v>3846.4308370654012</c:v>
                  </c:pt>
                  <c:pt idx="10">
                    <c:v>5876.8627106576687</c:v>
                  </c:pt>
                </c:numCache>
              </c:numRef>
            </c:plus>
            <c:minus>
              <c:numRef>
                <c:f>'logbook v guiSWHS'!$G$146:$G$156</c:f>
                <c:numCache>
                  <c:formatCode>General</c:formatCode>
                  <c:ptCount val="11"/>
                  <c:pt idx="0">
                    <c:v>3598.79607791536</c:v>
                  </c:pt>
                  <c:pt idx="1">
                    <c:v>3068.9067909528671</c:v>
                  </c:pt>
                  <c:pt idx="2">
                    <c:v>3361.2354758100887</c:v>
                  </c:pt>
                  <c:pt idx="3">
                    <c:v>4059.0646801675625</c:v>
                  </c:pt>
                  <c:pt idx="4">
                    <c:v>4244.8841347709658</c:v>
                  </c:pt>
                  <c:pt idx="5">
                    <c:v>5115.2069085839375</c:v>
                  </c:pt>
                  <c:pt idx="6">
                    <c:v>4847.1398470405447</c:v>
                  </c:pt>
                  <c:pt idx="7">
                    <c:v>5031.2082870146241</c:v>
                  </c:pt>
                  <c:pt idx="8">
                    <c:v>5480.1612900779</c:v>
                  </c:pt>
                  <c:pt idx="9">
                    <c:v>3846.4308370654012</c:v>
                  </c:pt>
                  <c:pt idx="10">
                    <c:v>5876.8627106576687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guiSWHS'!$D$146:$D$156</c:f>
              <c:numCache>
                <c:formatCode>General</c:formatCode>
                <c:ptCount val="11"/>
                <c:pt idx="0">
                  <c:v>26745</c:v>
                </c:pt>
                <c:pt idx="1">
                  <c:v>25298</c:v>
                </c:pt>
                <c:pt idx="2">
                  <c:v>29220</c:v>
                </c:pt>
                <c:pt idx="3">
                  <c:v>32841</c:v>
                </c:pt>
                <c:pt idx="4">
                  <c:v>38015</c:v>
                </c:pt>
                <c:pt idx="5">
                  <c:v>54312</c:v>
                </c:pt>
                <c:pt idx="6">
                  <c:v>39626</c:v>
                </c:pt>
                <c:pt idx="7">
                  <c:v>44958</c:v>
                </c:pt>
                <c:pt idx="8">
                  <c:v>54358</c:v>
                </c:pt>
                <c:pt idx="9">
                  <c:v>38289</c:v>
                </c:pt>
                <c:pt idx="10">
                  <c:v>59688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guiSWHS'!$C$158:$C$168</c:f>
              <c:numCache>
                <c:formatCode>General</c:formatCode>
                <c:ptCount val="11"/>
                <c:pt idx="0">
                  <c:v>6904</c:v>
                </c:pt>
                <c:pt idx="1">
                  <c:v>6813</c:v>
                </c:pt>
                <c:pt idx="2">
                  <c:v>9965</c:v>
                </c:pt>
                <c:pt idx="3">
                  <c:v>11896</c:v>
                </c:pt>
                <c:pt idx="4">
                  <c:v>12377</c:v>
                </c:pt>
                <c:pt idx="5">
                  <c:v>13580</c:v>
                </c:pt>
                <c:pt idx="6">
                  <c:v>6719</c:v>
                </c:pt>
                <c:pt idx="7">
                  <c:v>8479</c:v>
                </c:pt>
                <c:pt idx="8">
                  <c:v>9881</c:v>
                </c:pt>
                <c:pt idx="9">
                  <c:v>4479</c:v>
                </c:pt>
                <c:pt idx="10">
                  <c:v>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guiSWHS'!$G$158:$G$168</c:f>
                <c:numCache>
                  <c:formatCode>General</c:formatCode>
                  <c:ptCount val="11"/>
                  <c:pt idx="0">
                    <c:v>1977.5882330737427</c:v>
                  </c:pt>
                  <c:pt idx="1">
                    <c:v>2183.1246915654319</c:v>
                  </c:pt>
                  <c:pt idx="2">
                    <c:v>1682.3837318889355</c:v>
                  </c:pt>
                  <c:pt idx="3">
                    <c:v>3731.7236800160631</c:v>
                  </c:pt>
                  <c:pt idx="4">
                    <c:v>2444.6302503000306</c:v>
                  </c:pt>
                  <c:pt idx="5">
                    <c:v>2488.0994994320445</c:v>
                  </c:pt>
                  <c:pt idx="6">
                    <c:v>2817.0992887102434</c:v>
                  </c:pt>
                  <c:pt idx="7">
                    <c:v>2098.0848922597506</c:v>
                  </c:pt>
                  <c:pt idx="8">
                    <c:v>1935.7365497203782</c:v>
                  </c:pt>
                  <c:pt idx="9">
                    <c:v>1039.0268428148763</c:v>
                  </c:pt>
                  <c:pt idx="10">
                    <c:v>2699.8369930683284</c:v>
                  </c:pt>
                </c:numCache>
              </c:numRef>
            </c:plus>
            <c:minus>
              <c:numRef>
                <c:f>'logbook v guiSWHS'!$G$158:$G$168</c:f>
                <c:numCache>
                  <c:formatCode>General</c:formatCode>
                  <c:ptCount val="11"/>
                  <c:pt idx="0">
                    <c:v>1977.5882330737427</c:v>
                  </c:pt>
                  <c:pt idx="1">
                    <c:v>2183.1246915654319</c:v>
                  </c:pt>
                  <c:pt idx="2">
                    <c:v>1682.3837318889355</c:v>
                  </c:pt>
                  <c:pt idx="3">
                    <c:v>3731.7236800160631</c:v>
                  </c:pt>
                  <c:pt idx="4">
                    <c:v>2444.6302503000306</c:v>
                  </c:pt>
                  <c:pt idx="5">
                    <c:v>2488.0994994320445</c:v>
                  </c:pt>
                  <c:pt idx="6">
                    <c:v>2817.0992887102434</c:v>
                  </c:pt>
                  <c:pt idx="7">
                    <c:v>2098.0848922597506</c:v>
                  </c:pt>
                  <c:pt idx="8">
                    <c:v>1935.7365497203782</c:v>
                  </c:pt>
                  <c:pt idx="9">
                    <c:v>1039.0268428148763</c:v>
                  </c:pt>
                  <c:pt idx="10">
                    <c:v>2699.8369930683284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guiSWHS'!$D$158:$D$168</c:f>
              <c:numCache>
                <c:formatCode>General</c:formatCode>
                <c:ptCount val="11"/>
                <c:pt idx="0">
                  <c:v>5586</c:v>
                </c:pt>
                <c:pt idx="1">
                  <c:v>6484</c:v>
                </c:pt>
                <c:pt idx="2">
                  <c:v>5313</c:v>
                </c:pt>
                <c:pt idx="3">
                  <c:v>14189</c:v>
                </c:pt>
                <c:pt idx="4">
                  <c:v>8808</c:v>
                </c:pt>
                <c:pt idx="5">
                  <c:v>7013</c:v>
                </c:pt>
                <c:pt idx="6">
                  <c:v>8635</c:v>
                </c:pt>
                <c:pt idx="7">
                  <c:v>6486</c:v>
                </c:pt>
                <c:pt idx="8">
                  <c:v>7481</c:v>
                </c:pt>
                <c:pt idx="9">
                  <c:v>2696</c:v>
                </c:pt>
                <c:pt idx="10">
                  <c:v>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guiSWHS'!$C$170:$C$180</c:f>
              <c:numCache>
                <c:formatCode>General</c:formatCode>
                <c:ptCount val="11"/>
                <c:pt idx="0">
                  <c:v>11367</c:v>
                </c:pt>
                <c:pt idx="1">
                  <c:v>13580</c:v>
                </c:pt>
                <c:pt idx="2">
                  <c:v>14209</c:v>
                </c:pt>
                <c:pt idx="3">
                  <c:v>14913</c:v>
                </c:pt>
                <c:pt idx="4">
                  <c:v>20073</c:v>
                </c:pt>
                <c:pt idx="5">
                  <c:v>28893</c:v>
                </c:pt>
                <c:pt idx="6">
                  <c:v>16300</c:v>
                </c:pt>
                <c:pt idx="7">
                  <c:v>12107</c:v>
                </c:pt>
                <c:pt idx="8">
                  <c:v>15083</c:v>
                </c:pt>
                <c:pt idx="9">
                  <c:v>9001</c:v>
                </c:pt>
                <c:pt idx="10">
                  <c:v>16848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guiSWHS'!$G$170:$G$180</c:f>
                <c:numCache>
                  <c:formatCode>General</c:formatCode>
                  <c:ptCount val="11"/>
                  <c:pt idx="0">
                    <c:v>965.05736693435711</c:v>
                  </c:pt>
                  <c:pt idx="1">
                    <c:v>1799.7066564262941</c:v>
                  </c:pt>
                  <c:pt idx="2">
                    <c:v>1370.5528482959735</c:v>
                  </c:pt>
                  <c:pt idx="3">
                    <c:v>2530.4803948084527</c:v>
                  </c:pt>
                  <c:pt idx="4">
                    <c:v>1852.1582448586753</c:v>
                  </c:pt>
                  <c:pt idx="5">
                    <c:v>2290.362971518146</c:v>
                  </c:pt>
                  <c:pt idx="6">
                    <c:v>1826.8093505632278</c:v>
                  </c:pt>
                  <c:pt idx="7">
                    <c:v>2271.5763287114714</c:v>
                  </c:pt>
                  <c:pt idx="8">
                    <c:v>2434.2719322148273</c:v>
                  </c:pt>
                  <c:pt idx="9">
                    <c:v>1867.7603697598602</c:v>
                  </c:pt>
                  <c:pt idx="10">
                    <c:v>3202.4908613095245</c:v>
                  </c:pt>
                </c:numCache>
              </c:numRef>
            </c:plus>
            <c:minus>
              <c:numRef>
                <c:f>'logbook v guiSWHS'!$G$170:$G$180</c:f>
                <c:numCache>
                  <c:formatCode>General</c:formatCode>
                  <c:ptCount val="11"/>
                  <c:pt idx="0">
                    <c:v>965.05736693435711</c:v>
                  </c:pt>
                  <c:pt idx="1">
                    <c:v>1799.7066564262941</c:v>
                  </c:pt>
                  <c:pt idx="2">
                    <c:v>1370.5528482959735</c:v>
                  </c:pt>
                  <c:pt idx="3">
                    <c:v>2530.4803948084527</c:v>
                  </c:pt>
                  <c:pt idx="4">
                    <c:v>1852.1582448586753</c:v>
                  </c:pt>
                  <c:pt idx="5">
                    <c:v>2290.362971518146</c:v>
                  </c:pt>
                  <c:pt idx="6">
                    <c:v>1826.8093505632278</c:v>
                  </c:pt>
                  <c:pt idx="7">
                    <c:v>2271.5763287114714</c:v>
                  </c:pt>
                  <c:pt idx="8">
                    <c:v>2434.2719322148273</c:v>
                  </c:pt>
                  <c:pt idx="9">
                    <c:v>1867.7603697598602</c:v>
                  </c:pt>
                  <c:pt idx="10">
                    <c:v>3202.4908613095245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guiSWHS'!$D$170:$D$180</c:f>
              <c:numCache>
                <c:formatCode>General</c:formatCode>
                <c:ptCount val="11"/>
                <c:pt idx="0">
                  <c:v>3774</c:v>
                </c:pt>
                <c:pt idx="1">
                  <c:v>6613</c:v>
                </c:pt>
                <c:pt idx="2">
                  <c:v>6102</c:v>
                </c:pt>
                <c:pt idx="3">
                  <c:v>9046</c:v>
                </c:pt>
                <c:pt idx="4">
                  <c:v>8996</c:v>
                </c:pt>
                <c:pt idx="5">
                  <c:v>10302</c:v>
                </c:pt>
                <c:pt idx="6">
                  <c:v>8241</c:v>
                </c:pt>
                <c:pt idx="7">
                  <c:v>9514</c:v>
                </c:pt>
                <c:pt idx="8">
                  <c:v>13138</c:v>
                </c:pt>
                <c:pt idx="9">
                  <c:v>8645</c:v>
                </c:pt>
                <c:pt idx="10">
                  <c:v>13179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guiSWHS'!$C$182:$C$192</c:f>
              <c:numCache>
                <c:formatCode>General</c:formatCode>
                <c:ptCount val="11"/>
                <c:pt idx="0">
                  <c:v>15590</c:v>
                </c:pt>
                <c:pt idx="1">
                  <c:v>16566</c:v>
                </c:pt>
                <c:pt idx="2">
                  <c:v>19818</c:v>
                </c:pt>
                <c:pt idx="3">
                  <c:v>21309</c:v>
                </c:pt>
                <c:pt idx="4">
                  <c:v>24516</c:v>
                </c:pt>
                <c:pt idx="5">
                  <c:v>29349</c:v>
                </c:pt>
                <c:pt idx="6">
                  <c:v>28647</c:v>
                </c:pt>
                <c:pt idx="7">
                  <c:v>27142</c:v>
                </c:pt>
                <c:pt idx="8">
                  <c:v>33682</c:v>
                </c:pt>
                <c:pt idx="9">
                  <c:v>29279</c:v>
                </c:pt>
                <c:pt idx="10">
                  <c:v>38638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guiSWHS'!$G$182:$G$192</c:f>
                <c:numCache>
                  <c:formatCode>General</c:formatCode>
                  <c:ptCount val="11"/>
                  <c:pt idx="0">
                    <c:v>1960.0851244594733</c:v>
                  </c:pt>
                  <c:pt idx="1">
                    <c:v>2543.7366296082746</c:v>
                  </c:pt>
                  <c:pt idx="2">
                    <c:v>2506.7176078124266</c:v>
                  </c:pt>
                  <c:pt idx="3">
                    <c:v>2128.5773654640543</c:v>
                  </c:pt>
                  <c:pt idx="4">
                    <c:v>2935.4290003873994</c:v>
                  </c:pt>
                  <c:pt idx="5">
                    <c:v>3185.0416219360927</c:v>
                  </c:pt>
                  <c:pt idx="6">
                    <c:v>2462.6599842622791</c:v>
                  </c:pt>
                  <c:pt idx="7">
                    <c:v>3549.1061531153982</c:v>
                  </c:pt>
                  <c:pt idx="8">
                    <c:v>2456.5688327636176</c:v>
                  </c:pt>
                  <c:pt idx="9">
                    <c:v>1670.3048014937899</c:v>
                  </c:pt>
                  <c:pt idx="10">
                    <c:v>2444.4087414222531</c:v>
                  </c:pt>
                </c:numCache>
              </c:numRef>
            </c:plus>
            <c:minus>
              <c:numRef>
                <c:f>'logbook v guiSWHS'!$G$182:$G$192</c:f>
                <c:numCache>
                  <c:formatCode>General</c:formatCode>
                  <c:ptCount val="11"/>
                  <c:pt idx="0">
                    <c:v>1960.0851244594733</c:v>
                  </c:pt>
                  <c:pt idx="1">
                    <c:v>2543.7366296082746</c:v>
                  </c:pt>
                  <c:pt idx="2">
                    <c:v>2506.7176078124266</c:v>
                  </c:pt>
                  <c:pt idx="3">
                    <c:v>2128.5773654640543</c:v>
                  </c:pt>
                  <c:pt idx="4">
                    <c:v>2935.4290003873994</c:v>
                  </c:pt>
                  <c:pt idx="5">
                    <c:v>3185.0416219360927</c:v>
                  </c:pt>
                  <c:pt idx="6">
                    <c:v>2462.6599842622791</c:v>
                  </c:pt>
                  <c:pt idx="7">
                    <c:v>3549.1061531153982</c:v>
                  </c:pt>
                  <c:pt idx="8">
                    <c:v>2456.5688327636176</c:v>
                  </c:pt>
                  <c:pt idx="9">
                    <c:v>1670.3048014937899</c:v>
                  </c:pt>
                  <c:pt idx="10">
                    <c:v>2444.4087414222531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guiSWHS'!$D$182:$D$192</c:f>
              <c:numCache>
                <c:formatCode>General</c:formatCode>
                <c:ptCount val="11"/>
                <c:pt idx="0">
                  <c:v>9523</c:v>
                </c:pt>
                <c:pt idx="1">
                  <c:v>11672</c:v>
                </c:pt>
                <c:pt idx="2">
                  <c:v>12255</c:v>
                </c:pt>
                <c:pt idx="3">
                  <c:v>10778</c:v>
                </c:pt>
                <c:pt idx="4">
                  <c:v>14327</c:v>
                </c:pt>
                <c:pt idx="5">
                  <c:v>19835</c:v>
                </c:pt>
                <c:pt idx="6">
                  <c:v>10418</c:v>
                </c:pt>
                <c:pt idx="7">
                  <c:v>11327</c:v>
                </c:pt>
                <c:pt idx="8">
                  <c:v>9235</c:v>
                </c:pt>
                <c:pt idx="9">
                  <c:v>7465</c:v>
                </c:pt>
                <c:pt idx="10">
                  <c:v>12079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harvests'!$D$202:$D$226</c:f>
            </c:numRef>
          </c:val>
          <c:smooth val="0"/>
          <c:extLst>
            <c:ext xmlns:c16="http://schemas.microsoft.com/office/drawing/2014/chart" uri="{C3380CC4-5D6E-409C-BE32-E72D297353CC}">
              <c16:uniqueId val="{00000000-539C-4FAA-87CF-DA7DE85944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harvests'!$N$202:$N$225</c:f>
              </c:numRef>
            </c:plus>
            <c:minus>
              <c:numRef>
                <c:f>'rockfish harvests'!$N$202:$N$225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harvests'!$O$202:$O$226</c:f>
            </c:numRef>
          </c:val>
          <c:smooth val="0"/>
          <c:extLst>
            <c:ext xmlns:c16="http://schemas.microsoft.com/office/drawing/2014/chart" uri="{C3380CC4-5D6E-409C-BE32-E72D297353CC}">
              <c16:uniqueId val="{00000001-539C-4FAA-87CF-DA7DE85944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harvests'!$N$202:$N$225</c:f>
              </c:numRef>
            </c:plus>
            <c:minus>
              <c:numRef>
                <c:f>'rockfish harvests'!$N$202:$N$225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harvests'!$K$202:$K$226</c:f>
            </c:numRef>
          </c:val>
          <c:smooth val="0"/>
          <c:extLst>
            <c:ext xmlns:c16="http://schemas.microsoft.com/office/drawing/2014/chart" uri="{C3380CC4-5D6E-409C-BE32-E72D297353CC}">
              <c16:uniqueId val="{00000002-539C-4FAA-87CF-DA7DE859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13" Type="http://schemas.openxmlformats.org/officeDocument/2006/relationships/chart" Target="../charts/chart82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2" Type="http://schemas.openxmlformats.org/officeDocument/2006/relationships/chart" Target="../charts/chart71.xml"/><Relationship Id="rId16" Type="http://schemas.openxmlformats.org/officeDocument/2006/relationships/chart" Target="../charts/chart85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5" Type="http://schemas.openxmlformats.org/officeDocument/2006/relationships/chart" Target="../charts/chart8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4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09EF3-50F9-48CF-A2D0-AE6C3772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0</xdr:row>
      <xdr:rowOff>0</xdr:rowOff>
    </xdr:from>
    <xdr:to>
      <xdr:col>15</xdr:col>
      <xdr:colOff>419100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9BE21-3226-489B-B0C2-9A99ACE0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5A678-56C7-4863-A0B3-C3686E92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76200</xdr:rowOff>
    </xdr:from>
    <xdr:to>
      <xdr:col>7</xdr:col>
      <xdr:colOff>504825</xdr:colOff>
      <xdr:row>53</xdr:row>
      <xdr:rowOff>166689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188FE-B59B-4DE4-8BCE-0B0EE70C3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7414D-6408-4E9A-BF7D-954312346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37</xdr:row>
      <xdr:rowOff>76200</xdr:rowOff>
    </xdr:from>
    <xdr:to>
      <xdr:col>15</xdr:col>
      <xdr:colOff>438150</xdr:colOff>
      <xdr:row>53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FE538-B57A-44FD-A9FE-D4762ACA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7</xdr:col>
      <xdr:colOff>504825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7D5D9D-2125-43EA-B867-C04BD1B5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476250</xdr:colOff>
      <xdr:row>37</xdr:row>
      <xdr:rowOff>66675</xdr:rowOff>
    </xdr:from>
    <xdr:to>
      <xdr:col>23</xdr:col>
      <xdr:colOff>371475</xdr:colOff>
      <xdr:row>53</xdr:row>
      <xdr:rowOff>157164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346DBB-865A-4E07-9852-12A4BB87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400050</xdr:colOff>
      <xdr:row>37</xdr:row>
      <xdr:rowOff>76200</xdr:rowOff>
    </xdr:from>
    <xdr:to>
      <xdr:col>31</xdr:col>
      <xdr:colOff>295275</xdr:colOff>
      <xdr:row>53</xdr:row>
      <xdr:rowOff>166689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EC7A0C-F2AD-4626-AC5E-FDF0A64BF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58</xdr:row>
      <xdr:rowOff>85725</xdr:rowOff>
    </xdr:from>
    <xdr:to>
      <xdr:col>7</xdr:col>
      <xdr:colOff>504825</xdr:colOff>
      <xdr:row>74</xdr:row>
      <xdr:rowOff>176214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B6D1FD-8662-4B3B-93D3-1A530CB3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523875</xdr:colOff>
      <xdr:row>58</xdr:row>
      <xdr:rowOff>85725</xdr:rowOff>
    </xdr:from>
    <xdr:to>
      <xdr:col>15</xdr:col>
      <xdr:colOff>419100</xdr:colOff>
      <xdr:row>74</xdr:row>
      <xdr:rowOff>176214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A38999-307D-469F-82F1-278B3E1EF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447675</xdr:colOff>
      <xdr:row>58</xdr:row>
      <xdr:rowOff>85725</xdr:rowOff>
    </xdr:from>
    <xdr:to>
      <xdr:col>23</xdr:col>
      <xdr:colOff>342900</xdr:colOff>
      <xdr:row>74</xdr:row>
      <xdr:rowOff>176214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33C75F-FCA1-43E1-B1D3-EDDC808E5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381000</xdr:colOff>
      <xdr:row>58</xdr:row>
      <xdr:rowOff>95250</xdr:rowOff>
    </xdr:from>
    <xdr:to>
      <xdr:col>31</xdr:col>
      <xdr:colOff>276225</xdr:colOff>
      <xdr:row>74</xdr:row>
      <xdr:rowOff>185739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51F4E9-2F32-4429-8C1E-0D53BC25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504825</xdr:colOff>
      <xdr:row>91</xdr:row>
      <xdr:rowOff>90489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792893-8498-47B9-9166-C8C0861C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514350</xdr:colOff>
      <xdr:row>74</xdr:row>
      <xdr:rowOff>180975</xdr:rowOff>
    </xdr:from>
    <xdr:to>
      <xdr:col>15</xdr:col>
      <xdr:colOff>409575</xdr:colOff>
      <xdr:row>91</xdr:row>
      <xdr:rowOff>80964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C4E6E3-8EB8-49A4-8B98-08129A91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123825</xdr:rowOff>
    </xdr:from>
    <xdr:to>
      <xdr:col>15</xdr:col>
      <xdr:colOff>428625</xdr:colOff>
      <xdr:row>33</xdr:row>
      <xdr:rowOff>23814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37797E-6BAF-4994-A22B-4F697422B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314325</xdr:colOff>
      <xdr:row>37</xdr:row>
      <xdr:rowOff>85725</xdr:rowOff>
    </xdr:from>
    <xdr:to>
      <xdr:col>39</xdr:col>
      <xdr:colOff>209550</xdr:colOff>
      <xdr:row>53</xdr:row>
      <xdr:rowOff>176214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7C19E1-55BF-4F7B-B4A5-62FA3ED9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447675</xdr:colOff>
      <xdr:row>75</xdr:row>
      <xdr:rowOff>0</xdr:rowOff>
    </xdr:from>
    <xdr:to>
      <xdr:col>23</xdr:col>
      <xdr:colOff>342900</xdr:colOff>
      <xdr:row>91</xdr:row>
      <xdr:rowOff>90489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562F1F-939D-4231-BB0D-9E426F8FC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B666C-E1C4-4EC7-B19D-E73290C2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B27A5A-7FFA-4664-A4E8-A9A7EEED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04F69-56D8-4CB8-94D3-AC0BFEF59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9525</xdr:rowOff>
    </xdr:from>
    <xdr:to>
      <xdr:col>7</xdr:col>
      <xdr:colOff>504825</xdr:colOff>
      <xdr:row>52</xdr:row>
      <xdr:rowOff>100014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A478FA-CFAA-4191-898E-8F1A9968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371475</xdr:colOff>
      <xdr:row>0</xdr:row>
      <xdr:rowOff>0</xdr:rowOff>
    </xdr:from>
    <xdr:to>
      <xdr:col>31</xdr:col>
      <xdr:colOff>266700</xdr:colOff>
      <xdr:row>16</xdr:row>
      <xdr:rowOff>90489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372E1DA-3E7A-4EF0-B77A-9D2FC2F16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36</xdr:row>
      <xdr:rowOff>19050</xdr:rowOff>
    </xdr:from>
    <xdr:to>
      <xdr:col>15</xdr:col>
      <xdr:colOff>438150</xdr:colOff>
      <xdr:row>52</xdr:row>
      <xdr:rowOff>109539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9C2FC7-769A-4EE9-A556-1F52772C1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66675</xdr:rowOff>
    </xdr:from>
    <xdr:to>
      <xdr:col>7</xdr:col>
      <xdr:colOff>504825</xdr:colOff>
      <xdr:row>32</xdr:row>
      <xdr:rowOff>157164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91EF26-AAA9-43DB-926D-265C00040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466725</xdr:colOff>
      <xdr:row>36</xdr:row>
      <xdr:rowOff>9525</xdr:rowOff>
    </xdr:from>
    <xdr:to>
      <xdr:col>23</xdr:col>
      <xdr:colOff>361950</xdr:colOff>
      <xdr:row>52</xdr:row>
      <xdr:rowOff>100014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1D389D-F356-49CD-A505-8DA3020CA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390525</xdr:colOff>
      <xdr:row>36</xdr:row>
      <xdr:rowOff>0</xdr:rowOff>
    </xdr:from>
    <xdr:to>
      <xdr:col>31</xdr:col>
      <xdr:colOff>285750</xdr:colOff>
      <xdr:row>52</xdr:row>
      <xdr:rowOff>90489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83A112-4F43-4350-B744-05DD7B18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504825</xdr:colOff>
      <xdr:row>72</xdr:row>
      <xdr:rowOff>90489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192D4FF-FE29-424D-A88A-F9FBBFD31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504825</xdr:colOff>
      <xdr:row>72</xdr:row>
      <xdr:rowOff>90489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0FDD6E-5332-42A0-BA2D-B5D357BC5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504825</xdr:colOff>
      <xdr:row>72</xdr:row>
      <xdr:rowOff>90489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55358F-D307-4D71-AA7C-48F76DAB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504825</xdr:colOff>
      <xdr:row>72</xdr:row>
      <xdr:rowOff>90489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B1AEF65-46EA-4833-B656-2ED8E19C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7</xdr:col>
      <xdr:colOff>504825</xdr:colOff>
      <xdr:row>89</xdr:row>
      <xdr:rowOff>90489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7B30C32-F476-4FF6-8536-E6AC23D2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15</xdr:col>
      <xdr:colOff>504825</xdr:colOff>
      <xdr:row>89</xdr:row>
      <xdr:rowOff>90489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77AA64E-97E3-43CC-9870-07317F9C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133350</xdr:rowOff>
    </xdr:from>
    <xdr:to>
      <xdr:col>15</xdr:col>
      <xdr:colOff>428625</xdr:colOff>
      <xdr:row>33</xdr:row>
      <xdr:rowOff>33339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8BA86FF-E4C1-4875-879A-CADFA158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323850</xdr:colOff>
      <xdr:row>36</xdr:row>
      <xdr:rowOff>0</xdr:rowOff>
    </xdr:from>
    <xdr:to>
      <xdr:col>39</xdr:col>
      <xdr:colOff>219075</xdr:colOff>
      <xdr:row>52</xdr:row>
      <xdr:rowOff>90489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2B8130-9C03-4186-B284-8FD629C6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23</xdr:col>
      <xdr:colOff>504825</xdr:colOff>
      <xdr:row>89</xdr:row>
      <xdr:rowOff>90489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C008C11-82D2-4F39-8856-CAA6749B7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0E67E-08C7-4481-9CAA-F242F42E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2A0C4-C868-49FB-9A3A-58D836E3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9525</xdr:rowOff>
    </xdr:from>
    <xdr:to>
      <xdr:col>23</xdr:col>
      <xdr:colOff>342900</xdr:colOff>
      <xdr:row>16</xdr:row>
      <xdr:rowOff>100014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6AE38-8A37-4747-8D5F-5CC634FD8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504825</xdr:colOff>
      <xdr:row>51</xdr:row>
      <xdr:rowOff>90489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6E8A2-8CC3-49DD-9191-38D114ED4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E695E-85F2-4610-A32D-3B867E55B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35</xdr:row>
      <xdr:rowOff>9525</xdr:rowOff>
    </xdr:from>
    <xdr:to>
      <xdr:col>15</xdr:col>
      <xdr:colOff>447675</xdr:colOff>
      <xdr:row>51</xdr:row>
      <xdr:rowOff>100014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6393A0-6E77-4731-B738-1704CD35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16</xdr:row>
      <xdr:rowOff>123825</xdr:rowOff>
    </xdr:from>
    <xdr:to>
      <xdr:col>7</xdr:col>
      <xdr:colOff>523875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E70D40-A21A-43AF-9905-C883E1105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485775</xdr:colOff>
      <xdr:row>34</xdr:row>
      <xdr:rowOff>180975</xdr:rowOff>
    </xdr:from>
    <xdr:to>
      <xdr:col>23</xdr:col>
      <xdr:colOff>381000</xdr:colOff>
      <xdr:row>51</xdr:row>
      <xdr:rowOff>80964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A2EABD-A3EB-413C-9E77-02228F239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409575</xdr:colOff>
      <xdr:row>35</xdr:row>
      <xdr:rowOff>0</xdr:rowOff>
    </xdr:from>
    <xdr:to>
      <xdr:col>31</xdr:col>
      <xdr:colOff>304800</xdr:colOff>
      <xdr:row>51</xdr:row>
      <xdr:rowOff>90489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BEBBE6-39CB-4E99-BCBE-D582B64FE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504825</xdr:colOff>
      <xdr:row>71</xdr:row>
      <xdr:rowOff>90489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499A34-25DF-418A-873F-BEA681E9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571500</xdr:colOff>
      <xdr:row>54</xdr:row>
      <xdr:rowOff>180975</xdr:rowOff>
    </xdr:from>
    <xdr:to>
      <xdr:col>15</xdr:col>
      <xdr:colOff>466725</xdr:colOff>
      <xdr:row>71</xdr:row>
      <xdr:rowOff>80964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38AF7D-C630-47A5-BC3D-503C675C3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514350</xdr:colOff>
      <xdr:row>54</xdr:row>
      <xdr:rowOff>180975</xdr:rowOff>
    </xdr:from>
    <xdr:to>
      <xdr:col>23</xdr:col>
      <xdr:colOff>409575</xdr:colOff>
      <xdr:row>71</xdr:row>
      <xdr:rowOff>80964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A3D5CA-B999-4E55-B6D3-89D4937C9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466725</xdr:colOff>
      <xdr:row>55</xdr:row>
      <xdr:rowOff>0</xdr:rowOff>
    </xdr:from>
    <xdr:to>
      <xdr:col>31</xdr:col>
      <xdr:colOff>361950</xdr:colOff>
      <xdr:row>71</xdr:row>
      <xdr:rowOff>90489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EA122E-6544-4560-8AD9-C26D46AD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104775</xdr:rowOff>
    </xdr:from>
    <xdr:to>
      <xdr:col>7</xdr:col>
      <xdr:colOff>504825</xdr:colOff>
      <xdr:row>88</xdr:row>
      <xdr:rowOff>4764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C3E50E-7813-411B-A243-D945EE728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581025</xdr:colOff>
      <xdr:row>71</xdr:row>
      <xdr:rowOff>95250</xdr:rowOff>
    </xdr:from>
    <xdr:to>
      <xdr:col>15</xdr:col>
      <xdr:colOff>476250</xdr:colOff>
      <xdr:row>87</xdr:row>
      <xdr:rowOff>185739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D4F96E-E995-468E-884A-0EA8A995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542925</xdr:colOff>
      <xdr:row>16</xdr:row>
      <xdr:rowOff>142875</xdr:rowOff>
    </xdr:from>
    <xdr:to>
      <xdr:col>15</xdr:col>
      <xdr:colOff>438150</xdr:colOff>
      <xdr:row>33</xdr:row>
      <xdr:rowOff>42864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0F3014-3888-4620-8659-20808D19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352425</xdr:colOff>
      <xdr:row>35</xdr:row>
      <xdr:rowOff>19050</xdr:rowOff>
    </xdr:from>
    <xdr:to>
      <xdr:col>39</xdr:col>
      <xdr:colOff>247650</xdr:colOff>
      <xdr:row>51</xdr:row>
      <xdr:rowOff>109539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2DCD4A-FBC6-4D81-8BD1-7A5389D09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504825</xdr:colOff>
      <xdr:row>71</xdr:row>
      <xdr:rowOff>95250</xdr:rowOff>
    </xdr:from>
    <xdr:to>
      <xdr:col>23</xdr:col>
      <xdr:colOff>400050</xdr:colOff>
      <xdr:row>87</xdr:row>
      <xdr:rowOff>185739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A871482-DE34-4876-ADF0-88EA2D389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23811</xdr:colOff>
      <xdr:row>0</xdr:row>
      <xdr:rowOff>0</xdr:rowOff>
    </xdr:from>
    <xdr:to>
      <xdr:col>47</xdr:col>
      <xdr:colOff>28574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86768-6C9D-4DA1-BB50-421C747B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142875</xdr:colOff>
      <xdr:row>32</xdr:row>
      <xdr:rowOff>104775</xdr:rowOff>
    </xdr:from>
    <xdr:to>
      <xdr:col>47</xdr:col>
      <xdr:colOff>147638</xdr:colOff>
      <xdr:row>63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B61A5-158F-48FF-8CE0-0EF42D9A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64</xdr:row>
      <xdr:rowOff>57150</xdr:rowOff>
    </xdr:from>
    <xdr:to>
      <xdr:col>47</xdr:col>
      <xdr:colOff>100013</xdr:colOff>
      <xdr:row>90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666EB4-377A-4DAD-940E-5D6F54E1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214311</xdr:colOff>
      <xdr:row>0</xdr:row>
      <xdr:rowOff>38100</xdr:rowOff>
    </xdr:from>
    <xdr:to>
      <xdr:col>40</xdr:col>
      <xdr:colOff>219074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C65AE-4931-40C1-8FC8-ACDC19A2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438150</xdr:colOff>
      <xdr:row>31</xdr:row>
      <xdr:rowOff>114300</xdr:rowOff>
    </xdr:from>
    <xdr:to>
      <xdr:col>40</xdr:col>
      <xdr:colOff>442913</xdr:colOff>
      <xdr:row>62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F616E-B63C-4E4F-B93F-05B817C0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295275</xdr:colOff>
      <xdr:row>62</xdr:row>
      <xdr:rowOff>161925</xdr:rowOff>
    </xdr:from>
    <xdr:to>
      <xdr:col>40</xdr:col>
      <xdr:colOff>300038</xdr:colOff>
      <xdr:row>89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F96F4-05AF-4266-A591-450722710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357186</xdr:colOff>
      <xdr:row>0</xdr:row>
      <xdr:rowOff>38100</xdr:rowOff>
    </xdr:from>
    <xdr:to>
      <xdr:col>32</xdr:col>
      <xdr:colOff>361949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84D7-22D7-4063-8D4C-44524871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31</xdr:row>
      <xdr:rowOff>95250</xdr:rowOff>
    </xdr:from>
    <xdr:to>
      <xdr:col>32</xdr:col>
      <xdr:colOff>366713</xdr:colOff>
      <xdr:row>61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3075A-ACE0-4737-A562-3FB9264C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361950</xdr:colOff>
      <xdr:row>61</xdr:row>
      <xdr:rowOff>161925</xdr:rowOff>
    </xdr:from>
    <xdr:to>
      <xdr:col>32</xdr:col>
      <xdr:colOff>366713</xdr:colOff>
      <xdr:row>88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85DA4-7FA7-4C79-A1DE-D4465632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61912</xdr:rowOff>
    </xdr:from>
    <xdr:to>
      <xdr:col>13</xdr:col>
      <xdr:colOff>285750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36D9A-2C48-48EB-93F1-C3C9CDAA1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17</xdr:row>
      <xdr:rowOff>76200</xdr:rowOff>
    </xdr:from>
    <xdr:to>
      <xdr:col>13</xdr:col>
      <xdr:colOff>276225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C38C1-2B3D-4D63-987F-FE4E30EB2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0</xdr:row>
      <xdr:rowOff>28575</xdr:rowOff>
    </xdr:from>
    <xdr:to>
      <xdr:col>20</xdr:col>
      <xdr:colOff>590550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EC63B-E7EB-4015-9A98-2BDD1D984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17</xdr:row>
      <xdr:rowOff>95250</xdr:rowOff>
    </xdr:from>
    <xdr:to>
      <xdr:col>21</xdr:col>
      <xdr:colOff>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2BBAC-D19B-401F-815C-181C5464D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37</xdr:row>
      <xdr:rowOff>152400</xdr:rowOff>
    </xdr:from>
    <xdr:to>
      <xdr:col>13</xdr:col>
      <xdr:colOff>295275</xdr:colOff>
      <xdr:row>58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C51CF9-EDB8-480D-9772-0AC2AAB92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295275</xdr:colOff>
      <xdr:row>37</xdr:row>
      <xdr:rowOff>161925</xdr:rowOff>
    </xdr:from>
    <xdr:to>
      <xdr:col>20</xdr:col>
      <xdr:colOff>600075</xdr:colOff>
      <xdr:row>58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65520C-4FF1-4A3A-8DD2-0E5904EB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547687</xdr:rowOff>
    </xdr:from>
    <xdr:to>
      <xdr:col>17</xdr:col>
      <xdr:colOff>476250</xdr:colOff>
      <xdr:row>27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BAC0A-F77D-458F-A453-0ECF513C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0</xdr:row>
      <xdr:rowOff>552450</xdr:rowOff>
    </xdr:from>
    <xdr:to>
      <xdr:col>27</xdr:col>
      <xdr:colOff>342901</xdr:colOff>
      <xdr:row>27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A3EAE-8E98-4F64-A047-0EE0B7BA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361950</xdr:colOff>
      <xdr:row>0</xdr:row>
      <xdr:rowOff>561975</xdr:rowOff>
    </xdr:from>
    <xdr:to>
      <xdr:col>37</xdr:col>
      <xdr:colOff>209551</xdr:colOff>
      <xdr:row>27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BB49F-9171-4189-854B-BE24B594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27</xdr:row>
      <xdr:rowOff>161925</xdr:rowOff>
    </xdr:from>
    <xdr:to>
      <xdr:col>17</xdr:col>
      <xdr:colOff>476251</xdr:colOff>
      <xdr:row>54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0424F-95BE-41EE-9802-8849381FA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476250</xdr:colOff>
      <xdr:row>27</xdr:row>
      <xdr:rowOff>142875</xdr:rowOff>
    </xdr:from>
    <xdr:to>
      <xdr:col>27</xdr:col>
      <xdr:colOff>323851</xdr:colOff>
      <xdr:row>54</xdr:row>
      <xdr:rowOff>128589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28B64-64AD-46B4-A870-D95DBB11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349250</xdr:colOff>
      <xdr:row>27</xdr:row>
      <xdr:rowOff>148166</xdr:rowOff>
    </xdr:from>
    <xdr:to>
      <xdr:col>37</xdr:col>
      <xdr:colOff>192618</xdr:colOff>
      <xdr:row>54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86104-DE8D-4D82-B0A7-CBE4E2652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423333</xdr:colOff>
      <xdr:row>62</xdr:row>
      <xdr:rowOff>169334</xdr:rowOff>
    </xdr:from>
    <xdr:to>
      <xdr:col>17</xdr:col>
      <xdr:colOff>266700</xdr:colOff>
      <xdr:row>89</xdr:row>
      <xdr:rowOff>148168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6F16B-23D4-4B0F-B34E-60B0B05F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211666</xdr:colOff>
      <xdr:row>62</xdr:row>
      <xdr:rowOff>169334</xdr:rowOff>
    </xdr:from>
    <xdr:to>
      <xdr:col>27</xdr:col>
      <xdr:colOff>55034</xdr:colOff>
      <xdr:row>89</xdr:row>
      <xdr:rowOff>148168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CB9803-1A9F-4795-906E-1E0154FD9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31751</xdr:colOff>
      <xdr:row>62</xdr:row>
      <xdr:rowOff>169333</xdr:rowOff>
    </xdr:from>
    <xdr:to>
      <xdr:col>36</xdr:col>
      <xdr:colOff>488952</xdr:colOff>
      <xdr:row>89</xdr:row>
      <xdr:rowOff>148167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934EC-C0F7-4A4A-BFBC-63F46D720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402167</xdr:colOff>
      <xdr:row>89</xdr:row>
      <xdr:rowOff>158750</xdr:rowOff>
    </xdr:from>
    <xdr:to>
      <xdr:col>17</xdr:col>
      <xdr:colOff>245534</xdr:colOff>
      <xdr:row>115</xdr:row>
      <xdr:rowOff>137584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A9EE2-C284-4403-BEE4-E13E83982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201083</xdr:colOff>
      <xdr:row>89</xdr:row>
      <xdr:rowOff>137583</xdr:rowOff>
    </xdr:from>
    <xdr:to>
      <xdr:col>27</xdr:col>
      <xdr:colOff>44451</xdr:colOff>
      <xdr:row>115</xdr:row>
      <xdr:rowOff>116417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77C0C4-FCE6-49C2-BEB5-ADE452DD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21167</xdr:colOff>
      <xdr:row>89</xdr:row>
      <xdr:rowOff>148167</xdr:rowOff>
    </xdr:from>
    <xdr:to>
      <xdr:col>36</xdr:col>
      <xdr:colOff>478368</xdr:colOff>
      <xdr:row>115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433752-05FA-41FE-A53B-7B1DEFB90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402167</xdr:colOff>
      <xdr:row>115</xdr:row>
      <xdr:rowOff>116417</xdr:rowOff>
    </xdr:from>
    <xdr:to>
      <xdr:col>17</xdr:col>
      <xdr:colOff>245534</xdr:colOff>
      <xdr:row>145</xdr:row>
      <xdr:rowOff>95251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EB6101-7E8F-4200-ADD8-9F19E3C59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201083</xdr:colOff>
      <xdr:row>115</xdr:row>
      <xdr:rowOff>116417</xdr:rowOff>
    </xdr:from>
    <xdr:to>
      <xdr:col>27</xdr:col>
      <xdr:colOff>44451</xdr:colOff>
      <xdr:row>145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36C6-597F-4F3E-80E1-681CDBE03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31750</xdr:colOff>
      <xdr:row>115</xdr:row>
      <xdr:rowOff>105834</xdr:rowOff>
    </xdr:from>
    <xdr:to>
      <xdr:col>36</xdr:col>
      <xdr:colOff>488951</xdr:colOff>
      <xdr:row>145</xdr:row>
      <xdr:rowOff>84668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A20C1F-4FEA-49FB-8E8E-DE7D45B04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381000</xdr:colOff>
      <xdr:row>145</xdr:row>
      <xdr:rowOff>95250</xdr:rowOff>
    </xdr:from>
    <xdr:to>
      <xdr:col>17</xdr:col>
      <xdr:colOff>224367</xdr:colOff>
      <xdr:row>171</xdr:row>
      <xdr:rowOff>74084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C75871-2C17-4018-9E21-0027637F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TS\Scott%20Meyer%20Data\Rockfish%20Harvest%20Est\R_code\species_comp_Region2_for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ckfish%20SF%20Harvest%20reconstruction\R%20code\species_comp_Region1_for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ies_comp_Region2_forR"/>
    </sheetNames>
    <sheetDataSet>
      <sheetData sheetId="0">
        <row r="27">
          <cell r="AD27">
            <v>0.55421686699999995</v>
          </cell>
          <cell r="AE27">
            <v>3.0129330000000002E-3</v>
          </cell>
        </row>
        <row r="66">
          <cell r="G66">
            <v>52</v>
          </cell>
          <cell r="AD66">
            <v>0.59615384599999999</v>
          </cell>
          <cell r="AE66">
            <v>4.7206749999999997E-3</v>
          </cell>
          <cell r="AF66">
            <v>0.44818734100000002</v>
          </cell>
          <cell r="AG66">
            <v>2.4617974000000001E-2</v>
          </cell>
        </row>
        <row r="68">
          <cell r="G68">
            <v>62</v>
          </cell>
          <cell r="AD68">
            <v>0.467741935</v>
          </cell>
          <cell r="AE68">
            <v>4.0813020000000002E-3</v>
          </cell>
          <cell r="AF68">
            <v>0.44818734100000002</v>
          </cell>
          <cell r="AG68">
            <v>2.4617974000000001E-2</v>
          </cell>
        </row>
        <row r="72">
          <cell r="G72">
            <v>54</v>
          </cell>
          <cell r="AD72">
            <v>0.42592592600000001</v>
          </cell>
          <cell r="AE72">
            <v>4.613453E-3</v>
          </cell>
          <cell r="AF72">
            <v>0.44818734100000002</v>
          </cell>
          <cell r="AG72">
            <v>2.4617974000000001E-2</v>
          </cell>
        </row>
        <row r="73">
          <cell r="G73">
            <v>321</v>
          </cell>
          <cell r="AD73">
            <v>0.26168224299999998</v>
          </cell>
          <cell r="AE73">
            <v>6.0376500000000003E-4</v>
          </cell>
          <cell r="AF73">
            <v>0.44818734100000002</v>
          </cell>
          <cell r="AG73">
            <v>2.4617974000000001E-2</v>
          </cell>
        </row>
        <row r="74">
          <cell r="G74">
            <v>82</v>
          </cell>
          <cell r="AD74">
            <v>0.365853659</v>
          </cell>
          <cell r="AE74">
            <v>2.8642559999999999E-3</v>
          </cell>
          <cell r="AF74">
            <v>0.44818734100000002</v>
          </cell>
          <cell r="AG74">
            <v>2.4617974000000001E-2</v>
          </cell>
        </row>
        <row r="75">
          <cell r="G75">
            <v>190</v>
          </cell>
          <cell r="AD75">
            <v>0.18421052600000001</v>
          </cell>
          <cell r="AE75">
            <v>7.9511600000000001E-4</v>
          </cell>
          <cell r="AF75">
            <v>0.44818734100000002</v>
          </cell>
          <cell r="AG75">
            <v>2.4617974000000001E-2</v>
          </cell>
        </row>
        <row r="76">
          <cell r="G76">
            <v>69</v>
          </cell>
          <cell r="AD76">
            <v>0.40579710099999999</v>
          </cell>
          <cell r="AE76">
            <v>3.545968E-3</v>
          </cell>
          <cell r="AF76">
            <v>0.44818734100000002</v>
          </cell>
          <cell r="AG76">
            <v>2.4617974000000001E-2</v>
          </cell>
        </row>
        <row r="77">
          <cell r="G77">
            <v>146</v>
          </cell>
          <cell r="AD77">
            <v>0.40410958899999999</v>
          </cell>
          <cell r="AE77">
            <v>1.6607239999999999E-3</v>
          </cell>
          <cell r="AF77">
            <v>0.44818734100000002</v>
          </cell>
          <cell r="AG77">
            <v>2.4617974000000001E-2</v>
          </cell>
        </row>
        <row r="78">
          <cell r="G78">
            <v>63</v>
          </cell>
          <cell r="AD78">
            <v>0.428571429</v>
          </cell>
          <cell r="AE78">
            <v>3.9499670000000004E-3</v>
          </cell>
          <cell r="AF78">
            <v>0.44818734100000002</v>
          </cell>
          <cell r="AG78">
            <v>2.4617974000000001E-2</v>
          </cell>
        </row>
        <row r="79">
          <cell r="G79">
            <v>105</v>
          </cell>
          <cell r="AD79">
            <v>0.39047619</v>
          </cell>
          <cell r="AE79">
            <v>2.2885050000000001E-3</v>
          </cell>
          <cell r="AF79">
            <v>0.44818734100000002</v>
          </cell>
          <cell r="AG79">
            <v>2.4617974000000001E-2</v>
          </cell>
        </row>
        <row r="80">
          <cell r="G80">
            <v>74</v>
          </cell>
          <cell r="AD80">
            <v>0.60810810800000004</v>
          </cell>
          <cell r="AE80">
            <v>3.264557E-3</v>
          </cell>
          <cell r="AF80">
            <v>0.44818734100000002</v>
          </cell>
          <cell r="AG80">
            <v>2.4617974000000001E-2</v>
          </cell>
        </row>
        <row r="81">
          <cell r="G81">
            <v>287</v>
          </cell>
          <cell r="AD81">
            <v>0.487804878</v>
          </cell>
          <cell r="AE81">
            <v>8.7360599999999997E-4</v>
          </cell>
          <cell r="AF81">
            <v>0.44818734100000002</v>
          </cell>
          <cell r="AG81">
            <v>2.4617974000000001E-2</v>
          </cell>
        </row>
        <row r="82">
          <cell r="G82">
            <v>270</v>
          </cell>
          <cell r="AD82">
            <v>0.8</v>
          </cell>
          <cell r="AE82">
            <v>5.9479599999999997E-4</v>
          </cell>
          <cell r="AF82">
            <v>0.44818734100000002</v>
          </cell>
          <cell r="AG82">
            <v>2.4617974000000001E-2</v>
          </cell>
        </row>
        <row r="89">
          <cell r="D89">
            <v>60</v>
          </cell>
          <cell r="J89">
            <v>0</v>
          </cell>
          <cell r="K89">
            <v>0</v>
          </cell>
          <cell r="L89">
            <v>1.6067861999999999E-2</v>
          </cell>
          <cell r="M89">
            <v>3.0588399999999997E-4</v>
          </cell>
          <cell r="N89">
            <v>0.65</v>
          </cell>
          <cell r="O89">
            <v>3.8559319999999998E-3</v>
          </cell>
          <cell r="P89">
            <v>0.42417996299999999</v>
          </cell>
          <cell r="Q89">
            <v>2.9257476000000001E-2</v>
          </cell>
        </row>
        <row r="91">
          <cell r="D91">
            <v>56</v>
          </cell>
          <cell r="J91">
            <v>0</v>
          </cell>
          <cell r="K91">
            <v>0</v>
          </cell>
          <cell r="L91">
            <v>1.6067861999999999E-2</v>
          </cell>
          <cell r="M91">
            <v>3.0588399999999997E-4</v>
          </cell>
          <cell r="N91">
            <v>0.53571428600000004</v>
          </cell>
          <cell r="O91">
            <v>4.5222630000000003E-3</v>
          </cell>
          <cell r="P91">
            <v>0.42417996299999999</v>
          </cell>
          <cell r="Q91">
            <v>2.9257476000000001E-2</v>
          </cell>
        </row>
        <row r="99">
          <cell r="D99">
            <v>103</v>
          </cell>
          <cell r="J99">
            <v>0</v>
          </cell>
          <cell r="K99">
            <v>0</v>
          </cell>
          <cell r="L99">
            <v>1.6067861999999999E-2</v>
          </cell>
          <cell r="M99">
            <v>3.0588399999999997E-4</v>
          </cell>
        </row>
        <row r="100">
          <cell r="D100">
            <v>165</v>
          </cell>
          <cell r="J100">
            <v>0</v>
          </cell>
          <cell r="K100">
            <v>0</v>
          </cell>
          <cell r="L100">
            <v>1.6067861999999999E-2</v>
          </cell>
          <cell r="M100">
            <v>3.0588399999999997E-4</v>
          </cell>
        </row>
        <row r="101">
          <cell r="D101">
            <v>150</v>
          </cell>
          <cell r="J101">
            <v>0.02</v>
          </cell>
          <cell r="K101">
            <v>1.3154400000000001E-4</v>
          </cell>
          <cell r="L101">
            <v>1.6067861999999999E-2</v>
          </cell>
          <cell r="M101">
            <v>3.0588399999999997E-4</v>
          </cell>
        </row>
        <row r="102">
          <cell r="D102">
            <v>63</v>
          </cell>
          <cell r="J102">
            <v>1.5873016E-2</v>
          </cell>
          <cell r="K102">
            <v>2.5195300000000002E-4</v>
          </cell>
          <cell r="L102">
            <v>1.6067861999999999E-2</v>
          </cell>
          <cell r="M102">
            <v>3.0588399999999997E-4</v>
          </cell>
        </row>
        <row r="103">
          <cell r="D103">
            <v>78</v>
          </cell>
          <cell r="J103">
            <v>5.1282051000000002E-2</v>
          </cell>
          <cell r="K103">
            <v>6.3184700000000005E-4</v>
          </cell>
          <cell r="L103">
            <v>1.6067861999999999E-2</v>
          </cell>
          <cell r="M103">
            <v>3.0588399999999997E-4</v>
          </cell>
        </row>
        <row r="104">
          <cell r="D104">
            <v>121</v>
          </cell>
          <cell r="J104">
            <v>3.3057850999999999E-2</v>
          </cell>
          <cell r="K104">
            <v>2.6637500000000001E-4</v>
          </cell>
          <cell r="L104">
            <v>1.6067861999999999E-2</v>
          </cell>
          <cell r="M104">
            <v>3.0588399999999997E-4</v>
          </cell>
        </row>
        <row r="105">
          <cell r="D105">
            <v>158</v>
          </cell>
          <cell r="J105">
            <v>2.5316456000000001E-2</v>
          </cell>
          <cell r="K105">
            <v>1.57169E-4</v>
          </cell>
          <cell r="L105">
            <v>1.6067861999999999E-2</v>
          </cell>
          <cell r="M105">
            <v>3.0588399999999997E-4</v>
          </cell>
        </row>
        <row r="106">
          <cell r="D106">
            <v>107</v>
          </cell>
          <cell r="J106">
            <v>0</v>
          </cell>
          <cell r="K106">
            <v>0</v>
          </cell>
          <cell r="L106">
            <v>1.6067861999999999E-2</v>
          </cell>
          <cell r="M106">
            <v>3.0588399999999997E-4</v>
          </cell>
        </row>
        <row r="107">
          <cell r="D107">
            <v>81</v>
          </cell>
          <cell r="J107">
            <v>3.7037037000000002E-2</v>
          </cell>
          <cell r="K107">
            <v>4.4581599999999997E-4</v>
          </cell>
          <cell r="L107">
            <v>1.6067861999999999E-2</v>
          </cell>
          <cell r="M107">
            <v>3.0588399999999997E-4</v>
          </cell>
        </row>
        <row r="108">
          <cell r="D108">
            <v>171</v>
          </cell>
          <cell r="J108">
            <v>1.7543860000000001E-2</v>
          </cell>
          <cell r="K108">
            <v>1.01389E-4</v>
          </cell>
          <cell r="L108">
            <v>1.6067861999999999E-2</v>
          </cell>
          <cell r="M108">
            <v>3.0588399999999997E-4</v>
          </cell>
        </row>
        <row r="109">
          <cell r="D109">
            <v>228</v>
          </cell>
          <cell r="J109">
            <v>8.7719300000000007E-3</v>
          </cell>
          <cell r="K109">
            <v>3.8303899999999998E-5</v>
          </cell>
          <cell r="L109">
            <v>1.6067861999999999E-2</v>
          </cell>
          <cell r="M109">
            <v>3.0588399999999997E-4</v>
          </cell>
        </row>
        <row r="126">
          <cell r="G126">
            <v>50</v>
          </cell>
          <cell r="AD126">
            <v>1</v>
          </cell>
          <cell r="AE126">
            <v>0</v>
          </cell>
          <cell r="AF126">
            <v>0.94230769199999997</v>
          </cell>
          <cell r="AG126">
            <v>2.7314359999999998E-3</v>
          </cell>
        </row>
        <row r="133">
          <cell r="G133">
            <v>52</v>
          </cell>
          <cell r="AD133">
            <v>0.90384615400000001</v>
          </cell>
          <cell r="AE133">
            <v>1.704084E-3</v>
          </cell>
          <cell r="AF133">
            <v>0.94230769199999997</v>
          </cell>
          <cell r="AG133">
            <v>2.7314359999999998E-3</v>
          </cell>
        </row>
        <row r="134">
          <cell r="G134">
            <v>117</v>
          </cell>
          <cell r="AD134">
            <v>0.92307692299999999</v>
          </cell>
          <cell r="AE134">
            <v>6.1211999999999996E-4</v>
          </cell>
          <cell r="AF134">
            <v>0.94230769199999997</v>
          </cell>
          <cell r="AG134">
            <v>2.7314359999999998E-3</v>
          </cell>
        </row>
        <row r="136">
          <cell r="G136">
            <v>35</v>
          </cell>
          <cell r="AF136">
            <v>0.94230769199999997</v>
          </cell>
          <cell r="AG136">
            <v>2.7314359999999998E-3</v>
          </cell>
        </row>
        <row r="169">
          <cell r="G169">
            <v>101</v>
          </cell>
          <cell r="AD169">
            <v>0.88760331599999998</v>
          </cell>
          <cell r="AE169">
            <v>9.97637E-4</v>
          </cell>
          <cell r="AF169">
            <v>0.87135088800000005</v>
          </cell>
          <cell r="AG169">
            <v>2.5705039999999999E-3</v>
          </cell>
        </row>
        <row r="170">
          <cell r="G170">
            <v>241</v>
          </cell>
          <cell r="AD170">
            <v>0.93184353799999997</v>
          </cell>
          <cell r="AE170">
            <v>2.6463000000000002E-4</v>
          </cell>
          <cell r="AF170">
            <v>0.87135088800000005</v>
          </cell>
          <cell r="AG170">
            <v>2.5705039999999999E-3</v>
          </cell>
        </row>
        <row r="171">
          <cell r="G171">
            <v>99</v>
          </cell>
          <cell r="AD171">
            <v>0.87924992300000004</v>
          </cell>
          <cell r="AE171">
            <v>1.083362E-3</v>
          </cell>
          <cell r="AF171">
            <v>0.87135088800000005</v>
          </cell>
          <cell r="AG171">
            <v>2.5705039999999999E-3</v>
          </cell>
        </row>
        <row r="172">
          <cell r="G172">
            <v>163</v>
          </cell>
          <cell r="AD172">
            <v>0.91030543200000003</v>
          </cell>
          <cell r="AE172">
            <v>5.0400900000000003E-4</v>
          </cell>
          <cell r="AF172">
            <v>0.87135088800000005</v>
          </cell>
          <cell r="AG172">
            <v>2.5705039999999999E-3</v>
          </cell>
        </row>
        <row r="173">
          <cell r="G173">
            <v>211</v>
          </cell>
          <cell r="AD173">
            <v>0.88527489999999998</v>
          </cell>
          <cell r="AE173">
            <v>4.83635E-4</v>
          </cell>
          <cell r="AF173">
            <v>0.87135088800000005</v>
          </cell>
          <cell r="AG173">
            <v>2.5705039999999999E-3</v>
          </cell>
        </row>
        <row r="174">
          <cell r="G174">
            <v>504</v>
          </cell>
          <cell r="AD174">
            <v>0.892801917</v>
          </cell>
          <cell r="AE174">
            <v>1.9027200000000001E-4</v>
          </cell>
          <cell r="AF174">
            <v>0.87135088800000005</v>
          </cell>
          <cell r="AG174">
            <v>2.5705039999999999E-3</v>
          </cell>
        </row>
        <row r="175">
          <cell r="G175">
            <v>636</v>
          </cell>
          <cell r="AD175">
            <v>0.90127856799999995</v>
          </cell>
          <cell r="AE175">
            <v>1.4011899999999999E-4</v>
          </cell>
          <cell r="AF175">
            <v>0.87135088800000005</v>
          </cell>
          <cell r="AG175">
            <v>2.5705039999999999E-3</v>
          </cell>
        </row>
        <row r="176">
          <cell r="G176">
            <v>365</v>
          </cell>
          <cell r="AD176">
            <v>0.91241422000000005</v>
          </cell>
          <cell r="AE176">
            <v>2.19545E-4</v>
          </cell>
          <cell r="AF176">
            <v>0.87135088800000005</v>
          </cell>
          <cell r="AG176">
            <v>2.5705039999999999E-3</v>
          </cell>
        </row>
        <row r="177">
          <cell r="G177">
            <v>572</v>
          </cell>
          <cell r="AD177">
            <v>0.91806032699999995</v>
          </cell>
          <cell r="AE177">
            <v>1.3174399999999999E-4</v>
          </cell>
          <cell r="AF177">
            <v>0.87135088800000005</v>
          </cell>
          <cell r="AG177">
            <v>2.5705039999999999E-3</v>
          </cell>
        </row>
        <row r="178">
          <cell r="G178">
            <v>532</v>
          </cell>
          <cell r="AD178">
            <v>0.96377290800000004</v>
          </cell>
          <cell r="AE178">
            <v>6.5752699999999998E-5</v>
          </cell>
          <cell r="AF178">
            <v>0.87135088800000005</v>
          </cell>
          <cell r="AG178">
            <v>2.5705039999999999E-3</v>
          </cell>
        </row>
        <row r="179">
          <cell r="G179">
            <v>574</v>
          </cell>
          <cell r="AD179">
            <v>0.95413883899999996</v>
          </cell>
          <cell r="AE179">
            <v>7.6366300000000001E-5</v>
          </cell>
          <cell r="AF179">
            <v>0.87135088800000005</v>
          </cell>
          <cell r="AG179">
            <v>2.5705039999999999E-3</v>
          </cell>
        </row>
        <row r="180">
          <cell r="G180">
            <v>791</v>
          </cell>
          <cell r="AD180">
            <v>0.82317551899999997</v>
          </cell>
          <cell r="AE180">
            <v>1.8425000000000001E-4</v>
          </cell>
          <cell r="AF180">
            <v>0.87135088800000005</v>
          </cell>
          <cell r="AG180">
            <v>2.5705039999999999E-3</v>
          </cell>
        </row>
        <row r="181">
          <cell r="G181">
            <v>861</v>
          </cell>
          <cell r="AD181">
            <v>0.85620829099999995</v>
          </cell>
          <cell r="AE181">
            <v>1.43158E-4</v>
          </cell>
          <cell r="AF181">
            <v>0.87135088800000005</v>
          </cell>
          <cell r="AG181">
            <v>2.5705039999999999E-3</v>
          </cell>
        </row>
        <row r="182">
          <cell r="G182">
            <v>707</v>
          </cell>
          <cell r="AD182">
            <v>0.79315106300000005</v>
          </cell>
          <cell r="AE182">
            <v>2.3238299999999999E-4</v>
          </cell>
          <cell r="AF182">
            <v>0.87135088800000005</v>
          </cell>
          <cell r="AG182">
            <v>2.5705039999999999E-3</v>
          </cell>
        </row>
        <row r="183">
          <cell r="G183">
            <v>653</v>
          </cell>
          <cell r="AD183">
            <v>0.88672560300000003</v>
          </cell>
          <cell r="AE183">
            <v>1.5405400000000001E-4</v>
          </cell>
          <cell r="AF183">
            <v>0.87135088800000005</v>
          </cell>
          <cell r="AG183">
            <v>2.5705039999999999E-3</v>
          </cell>
        </row>
        <row r="184">
          <cell r="G184">
            <v>978</v>
          </cell>
          <cell r="AD184">
            <v>0.81632559500000001</v>
          </cell>
          <cell r="AE184">
            <v>1.53468E-4</v>
          </cell>
          <cell r="AF184">
            <v>0.87135088800000005</v>
          </cell>
          <cell r="AG184">
            <v>2.5705039999999999E-3</v>
          </cell>
        </row>
        <row r="185">
          <cell r="G185">
            <v>762</v>
          </cell>
          <cell r="AD185">
            <v>0.84300274100000006</v>
          </cell>
          <cell r="AE185">
            <v>1.7391499999999999E-4</v>
          </cell>
          <cell r="AF185">
            <v>0.87135088800000005</v>
          </cell>
          <cell r="AG185">
            <v>2.5705039999999999E-3</v>
          </cell>
        </row>
        <row r="186">
          <cell r="G186">
            <v>422</v>
          </cell>
          <cell r="AD186">
            <v>0.82899436900000001</v>
          </cell>
          <cell r="AE186">
            <v>3.3672900000000002E-4</v>
          </cell>
          <cell r="AF186">
            <v>0.87135088800000005</v>
          </cell>
          <cell r="AG186">
            <v>2.5705039999999999E-3</v>
          </cell>
        </row>
        <row r="187">
          <cell r="G187">
            <v>1187</v>
          </cell>
          <cell r="AD187">
            <v>0.852560981</v>
          </cell>
          <cell r="AE187">
            <v>1.05987E-4</v>
          </cell>
          <cell r="AF187">
            <v>0.87135088800000005</v>
          </cell>
          <cell r="AG187">
            <v>2.5705039999999999E-3</v>
          </cell>
        </row>
        <row r="188">
          <cell r="G188">
            <v>471</v>
          </cell>
          <cell r="AD188">
            <v>0.82740575500000002</v>
          </cell>
          <cell r="AE188">
            <v>3.0384100000000001E-4</v>
          </cell>
          <cell r="AF188">
            <v>0.87135088800000005</v>
          </cell>
          <cell r="AG188">
            <v>2.5705039999999999E-3</v>
          </cell>
        </row>
        <row r="189">
          <cell r="G189">
            <v>850</v>
          </cell>
          <cell r="AD189">
            <v>0.82521329899999996</v>
          </cell>
          <cell r="AE189">
            <v>1.6988999999999999E-4</v>
          </cell>
          <cell r="AF189">
            <v>0.87135088800000005</v>
          </cell>
          <cell r="AG189">
            <v>2.5705039999999999E-3</v>
          </cell>
        </row>
        <row r="190">
          <cell r="G190">
            <v>909</v>
          </cell>
          <cell r="AD190">
            <v>0.78021243900000004</v>
          </cell>
          <cell r="AE190">
            <v>1.88856E-4</v>
          </cell>
          <cell r="AF190">
            <v>0.87135088800000005</v>
          </cell>
          <cell r="AG190">
            <v>2.5705039999999999E-3</v>
          </cell>
        </row>
        <row r="196">
          <cell r="D196">
            <v>165</v>
          </cell>
          <cell r="N196">
            <v>0.77499063599999995</v>
          </cell>
          <cell r="O196">
            <v>1.063294E-3</v>
          </cell>
          <cell r="P196">
            <v>0.67107474</v>
          </cell>
          <cell r="Q196">
            <v>7.256406E-3</v>
          </cell>
        </row>
        <row r="197">
          <cell r="D197">
            <v>151</v>
          </cell>
          <cell r="N197">
            <v>0.57976282899999998</v>
          </cell>
          <cell r="O197">
            <v>1.624253E-3</v>
          </cell>
          <cell r="P197">
            <v>0.67107474</v>
          </cell>
          <cell r="Q197">
            <v>7.256406E-3</v>
          </cell>
        </row>
        <row r="198">
          <cell r="D198">
            <v>136</v>
          </cell>
          <cell r="N198">
            <v>0.74264705900000005</v>
          </cell>
          <cell r="O198">
            <v>1.4157219999999999E-3</v>
          </cell>
          <cell r="P198">
            <v>0.67107474</v>
          </cell>
          <cell r="Q198">
            <v>7.256406E-3</v>
          </cell>
        </row>
        <row r="199">
          <cell r="D199">
            <v>166</v>
          </cell>
          <cell r="N199">
            <v>0.73493975899999997</v>
          </cell>
          <cell r="O199">
            <v>1.1806259999999999E-3</v>
          </cell>
          <cell r="P199">
            <v>0.67107474</v>
          </cell>
          <cell r="Q199">
            <v>7.256406E-3</v>
          </cell>
        </row>
        <row r="200">
          <cell r="D200">
            <v>279</v>
          </cell>
          <cell r="N200">
            <v>0.75615469700000004</v>
          </cell>
          <cell r="O200">
            <v>6.6325499999999996E-4</v>
          </cell>
          <cell r="P200">
            <v>0.67107474</v>
          </cell>
          <cell r="Q200">
            <v>7.256406E-3</v>
          </cell>
        </row>
        <row r="201">
          <cell r="D201">
            <v>307</v>
          </cell>
          <cell r="N201">
            <v>0.80010162399999996</v>
          </cell>
          <cell r="O201">
            <v>5.2267700000000004E-4</v>
          </cell>
          <cell r="P201">
            <v>0.67107474</v>
          </cell>
          <cell r="Q201">
            <v>7.256406E-3</v>
          </cell>
        </row>
        <row r="202">
          <cell r="D202">
            <v>440</v>
          </cell>
          <cell r="N202">
            <v>0.72031376300000005</v>
          </cell>
          <cell r="O202">
            <v>4.58911E-4</v>
          </cell>
          <cell r="P202">
            <v>0.67107474</v>
          </cell>
          <cell r="Q202">
            <v>7.256406E-3</v>
          </cell>
        </row>
        <row r="203">
          <cell r="D203">
            <v>244</v>
          </cell>
          <cell r="N203">
            <v>0.65745444099999995</v>
          </cell>
          <cell r="O203">
            <v>9.2678200000000002E-4</v>
          </cell>
          <cell r="P203">
            <v>0.67107474</v>
          </cell>
          <cell r="Q203">
            <v>7.256406E-3</v>
          </cell>
        </row>
        <row r="204">
          <cell r="D204">
            <v>312</v>
          </cell>
          <cell r="N204">
            <v>0.59946611999999999</v>
          </cell>
          <cell r="O204">
            <v>7.7204699999999999E-4</v>
          </cell>
          <cell r="P204">
            <v>0.67107474</v>
          </cell>
          <cell r="Q204">
            <v>7.256406E-3</v>
          </cell>
        </row>
        <row r="205">
          <cell r="D205">
            <v>256</v>
          </cell>
          <cell r="N205">
            <v>0.69551280599999998</v>
          </cell>
          <cell r="O205">
            <v>8.3048900000000001E-4</v>
          </cell>
          <cell r="P205">
            <v>0.67107474</v>
          </cell>
          <cell r="Q205">
            <v>7.256406E-3</v>
          </cell>
        </row>
        <row r="206">
          <cell r="D206">
            <v>219</v>
          </cell>
          <cell r="N206">
            <v>0.69406392699999997</v>
          </cell>
          <cell r="O206">
            <v>9.7403300000000002E-4</v>
          </cell>
          <cell r="P206">
            <v>0.67107474</v>
          </cell>
          <cell r="Q206">
            <v>7.256406E-3</v>
          </cell>
        </row>
        <row r="207">
          <cell r="D207">
            <v>554</v>
          </cell>
          <cell r="N207">
            <v>0.67383496099999995</v>
          </cell>
          <cell r="O207">
            <v>3.9743500000000002E-4</v>
          </cell>
          <cell r="P207">
            <v>0.67107474</v>
          </cell>
          <cell r="Q207">
            <v>7.256406E-3</v>
          </cell>
        </row>
        <row r="208">
          <cell r="D208">
            <v>546</v>
          </cell>
          <cell r="N208">
            <v>0.676178744</v>
          </cell>
          <cell r="O208">
            <v>4.0176300000000002E-4</v>
          </cell>
          <cell r="P208">
            <v>0.67107474</v>
          </cell>
          <cell r="Q208">
            <v>7.256406E-3</v>
          </cell>
        </row>
        <row r="209">
          <cell r="D209">
            <v>387</v>
          </cell>
          <cell r="N209">
            <v>0.49397571499999998</v>
          </cell>
          <cell r="O209">
            <v>6.4757400000000004E-4</v>
          </cell>
          <cell r="P209">
            <v>0.67107474</v>
          </cell>
          <cell r="Q209">
            <v>7.256406E-3</v>
          </cell>
        </row>
        <row r="210">
          <cell r="D210">
            <v>522</v>
          </cell>
          <cell r="N210">
            <v>0.62068968700000005</v>
          </cell>
          <cell r="O210">
            <v>4.5188900000000002E-4</v>
          </cell>
          <cell r="P210">
            <v>0.67107474</v>
          </cell>
          <cell r="Q210">
            <v>7.256406E-3</v>
          </cell>
        </row>
        <row r="211">
          <cell r="D211">
            <v>646</v>
          </cell>
          <cell r="N211">
            <v>0.78481222799999995</v>
          </cell>
          <cell r="O211">
            <v>2.61833E-4</v>
          </cell>
          <cell r="P211">
            <v>0.67107474</v>
          </cell>
          <cell r="Q211">
            <v>7.256406E-3</v>
          </cell>
        </row>
        <row r="212">
          <cell r="D212">
            <v>529</v>
          </cell>
          <cell r="N212">
            <v>0.67737336199999998</v>
          </cell>
          <cell r="O212">
            <v>4.1389900000000002E-4</v>
          </cell>
          <cell r="P212">
            <v>0.67107474</v>
          </cell>
          <cell r="Q212">
            <v>7.256406E-3</v>
          </cell>
        </row>
        <row r="213">
          <cell r="D213">
            <v>517</v>
          </cell>
          <cell r="N213">
            <v>0.72616414699999998</v>
          </cell>
          <cell r="O213">
            <v>3.8536799999999997E-4</v>
          </cell>
          <cell r="P213">
            <v>0.67107474</v>
          </cell>
          <cell r="Q213">
            <v>7.256406E-3</v>
          </cell>
        </row>
        <row r="214">
          <cell r="D214">
            <v>451</v>
          </cell>
          <cell r="N214">
            <v>0.60664232900000004</v>
          </cell>
          <cell r="O214">
            <v>5.3028299999999999E-4</v>
          </cell>
          <cell r="P214">
            <v>0.67107474</v>
          </cell>
          <cell r="Q214">
            <v>7.256406E-3</v>
          </cell>
        </row>
        <row r="215">
          <cell r="D215">
            <v>213</v>
          </cell>
          <cell r="N215">
            <v>0.67233394599999996</v>
          </cell>
          <cell r="O215">
            <v>1.0391560000000001E-3</v>
          </cell>
          <cell r="P215">
            <v>0.67107474</v>
          </cell>
          <cell r="Q215">
            <v>7.256406E-3</v>
          </cell>
        </row>
        <row r="216">
          <cell r="D216">
            <v>366</v>
          </cell>
          <cell r="N216">
            <v>0.56036244700000004</v>
          </cell>
          <cell r="O216">
            <v>6.7494899999999999E-4</v>
          </cell>
          <cell r="P216">
            <v>0.67107474</v>
          </cell>
          <cell r="Q216">
            <v>7.256406E-3</v>
          </cell>
        </row>
        <row r="217">
          <cell r="D217">
            <v>360</v>
          </cell>
          <cell r="N217">
            <v>0.51586905000000005</v>
          </cell>
          <cell r="O217">
            <v>6.9567700000000001E-4</v>
          </cell>
          <cell r="P217">
            <v>0.67107474</v>
          </cell>
          <cell r="Q217">
            <v>7.256406E-3</v>
          </cell>
        </row>
        <row r="223">
          <cell r="G223">
            <v>97</v>
          </cell>
          <cell r="AD223">
            <v>0.80412371100000002</v>
          </cell>
          <cell r="AE223">
            <v>1.640716E-3</v>
          </cell>
          <cell r="AF223">
            <v>0.77283169600000001</v>
          </cell>
          <cell r="AG223">
            <v>1.6729417999999999E-2</v>
          </cell>
        </row>
        <row r="250">
          <cell r="D250">
            <v>90</v>
          </cell>
          <cell r="J250">
            <v>3.3333333E-2</v>
          </cell>
          <cell r="K250">
            <v>3.62047E-4</v>
          </cell>
          <cell r="L250">
            <v>3.0639151E-2</v>
          </cell>
          <cell r="M250">
            <v>7.0238699999999995E-4</v>
          </cell>
          <cell r="N250">
            <v>0.83333333300000001</v>
          </cell>
          <cell r="O250">
            <v>1.5605490000000001E-3</v>
          </cell>
          <cell r="P250">
            <v>0.75033909600000004</v>
          </cell>
          <cell r="Q250">
            <v>6.1451120000000003E-3</v>
          </cell>
        </row>
        <row r="251">
          <cell r="D251">
            <v>223</v>
          </cell>
          <cell r="J251">
            <v>2.6905829999999999E-2</v>
          </cell>
          <cell r="K251">
            <v>1.1793700000000001E-4</v>
          </cell>
          <cell r="L251">
            <v>3.0639151E-2</v>
          </cell>
          <cell r="M251">
            <v>7.0238699999999995E-4</v>
          </cell>
          <cell r="N251">
            <v>0.71300448400000005</v>
          </cell>
          <cell r="O251">
            <v>9.2175299999999998E-4</v>
          </cell>
          <cell r="P251">
            <v>0.75033909600000004</v>
          </cell>
          <cell r="Q251">
            <v>6.1451120000000003E-3</v>
          </cell>
        </row>
        <row r="252">
          <cell r="D252">
            <v>195</v>
          </cell>
          <cell r="J252">
            <v>5.1282050000000003E-3</v>
          </cell>
          <cell r="K252">
            <v>2.6298499999999999E-5</v>
          </cell>
          <cell r="L252">
            <v>3.0639151E-2</v>
          </cell>
          <cell r="M252">
            <v>7.0238699999999995E-4</v>
          </cell>
          <cell r="N252">
            <v>0.743589744</v>
          </cell>
          <cell r="O252">
            <v>9.828040000000001E-4</v>
          </cell>
          <cell r="P252">
            <v>0.75033909600000004</v>
          </cell>
          <cell r="Q252">
            <v>6.1451120000000003E-3</v>
          </cell>
        </row>
        <row r="253">
          <cell r="D253">
            <v>89</v>
          </cell>
          <cell r="J253">
            <v>0</v>
          </cell>
          <cell r="K253">
            <v>0</v>
          </cell>
          <cell r="L253">
            <v>3.0639151E-2</v>
          </cell>
          <cell r="M253">
            <v>7.0238699999999995E-4</v>
          </cell>
          <cell r="N253">
            <v>0.82022471900000005</v>
          </cell>
          <cell r="O253">
            <v>1.6756379999999999E-3</v>
          </cell>
          <cell r="P253">
            <v>0.75033909600000004</v>
          </cell>
          <cell r="Q253">
            <v>6.1451120000000003E-3</v>
          </cell>
        </row>
        <row r="254">
          <cell r="D254">
            <v>166</v>
          </cell>
          <cell r="J254">
            <v>6.6265060000000001E-2</v>
          </cell>
          <cell r="K254">
            <v>3.7499400000000002E-4</v>
          </cell>
          <cell r="L254">
            <v>3.0639151E-2</v>
          </cell>
          <cell r="M254">
            <v>7.0238699999999995E-4</v>
          </cell>
          <cell r="N254">
            <v>0.60843373499999998</v>
          </cell>
          <cell r="O254">
            <v>1.443892E-3</v>
          </cell>
          <cell r="P254">
            <v>0.75033909600000004</v>
          </cell>
          <cell r="Q254">
            <v>6.1451120000000003E-3</v>
          </cell>
        </row>
        <row r="255">
          <cell r="D255">
            <v>187</v>
          </cell>
          <cell r="J255">
            <v>5.3475939999999998E-3</v>
          </cell>
          <cell r="K255">
            <v>2.85968E-5</v>
          </cell>
          <cell r="L255">
            <v>3.0639151E-2</v>
          </cell>
          <cell r="M255">
            <v>7.0238699999999995E-4</v>
          </cell>
          <cell r="N255">
            <v>0.73262032099999996</v>
          </cell>
          <cell r="O255">
            <v>1.05316E-3</v>
          </cell>
          <cell r="P255">
            <v>0.75033909600000004</v>
          </cell>
          <cell r="Q255">
            <v>6.1451120000000003E-3</v>
          </cell>
        </row>
        <row r="256">
          <cell r="D256">
            <v>118</v>
          </cell>
          <cell r="J256">
            <v>4.2372881000000001E-2</v>
          </cell>
          <cell r="K256">
            <v>3.4681600000000001E-4</v>
          </cell>
          <cell r="L256">
            <v>3.0639151E-2</v>
          </cell>
          <cell r="M256">
            <v>7.0238699999999995E-4</v>
          </cell>
          <cell r="N256">
            <v>0.77966101700000001</v>
          </cell>
          <cell r="O256">
            <v>1.4682880000000001E-3</v>
          </cell>
          <cell r="P256">
            <v>0.75033909600000004</v>
          </cell>
          <cell r="Q256">
            <v>6.1451120000000003E-3</v>
          </cell>
        </row>
        <row r="257">
          <cell r="D257">
            <v>174</v>
          </cell>
          <cell r="J257">
            <v>5.747126E-3</v>
          </cell>
          <cell r="K257">
            <v>3.3029499999999999E-5</v>
          </cell>
          <cell r="L257">
            <v>3.0639151E-2</v>
          </cell>
          <cell r="M257">
            <v>7.0238699999999995E-4</v>
          </cell>
          <cell r="N257">
            <v>0.82183908000000006</v>
          </cell>
          <cell r="O257">
            <v>8.4635600000000004E-4</v>
          </cell>
          <cell r="P257">
            <v>0.75033909600000004</v>
          </cell>
          <cell r="Q257">
            <v>6.1451120000000003E-3</v>
          </cell>
        </row>
        <row r="258">
          <cell r="D258">
            <v>104</v>
          </cell>
          <cell r="J258">
            <v>3.8461538000000003E-2</v>
          </cell>
          <cell r="K258">
            <v>3.5905099999999999E-4</v>
          </cell>
          <cell r="L258">
            <v>3.0639151E-2</v>
          </cell>
          <cell r="M258">
            <v>7.0238699999999995E-4</v>
          </cell>
          <cell r="N258">
            <v>0.79807692299999999</v>
          </cell>
          <cell r="O258">
            <v>1.564565E-3</v>
          </cell>
          <cell r="P258">
            <v>0.75033909600000004</v>
          </cell>
          <cell r="Q258">
            <v>6.1451120000000003E-3</v>
          </cell>
        </row>
        <row r="259">
          <cell r="D259">
            <v>85</v>
          </cell>
          <cell r="J259">
            <v>1.1764706E-2</v>
          </cell>
          <cell r="K259">
            <v>1.3840799999999999E-4</v>
          </cell>
          <cell r="L259">
            <v>3.0639151E-2</v>
          </cell>
          <cell r="M259">
            <v>7.0238699999999995E-4</v>
          </cell>
          <cell r="N259">
            <v>0.89411764699999996</v>
          </cell>
          <cell r="O259">
            <v>1.127039E-3</v>
          </cell>
          <cell r="P259">
            <v>0.75033909600000004</v>
          </cell>
          <cell r="Q259">
            <v>6.1451120000000003E-3</v>
          </cell>
        </row>
        <row r="260">
          <cell r="D260">
            <v>75</v>
          </cell>
          <cell r="J260">
            <v>1.3333332999999999E-2</v>
          </cell>
          <cell r="K260">
            <v>1.7777799999999999E-4</v>
          </cell>
          <cell r="L260">
            <v>3.0639151E-2</v>
          </cell>
          <cell r="M260">
            <v>7.0238699999999995E-4</v>
          </cell>
          <cell r="N260">
            <v>0.693333333</v>
          </cell>
          <cell r="O260">
            <v>2.873273E-3</v>
          </cell>
          <cell r="P260">
            <v>0.75033909600000004</v>
          </cell>
          <cell r="Q260">
            <v>6.1451120000000003E-3</v>
          </cell>
        </row>
        <row r="261">
          <cell r="D261">
            <v>68</v>
          </cell>
          <cell r="J261">
            <v>0.102941176</v>
          </cell>
          <cell r="K261">
            <v>1.378273E-3</v>
          </cell>
          <cell r="L261">
            <v>3.0639151E-2</v>
          </cell>
          <cell r="M261">
            <v>7.0238699999999995E-4</v>
          </cell>
          <cell r="N261">
            <v>0.55882352899999999</v>
          </cell>
          <cell r="O261">
            <v>3.6796979999999999E-3</v>
          </cell>
          <cell r="P261">
            <v>0.75033909600000004</v>
          </cell>
          <cell r="Q261">
            <v>6.1451120000000003E-3</v>
          </cell>
        </row>
        <row r="263">
          <cell r="D263">
            <v>71</v>
          </cell>
          <cell r="J263">
            <v>4.2253521000000002E-2</v>
          </cell>
          <cell r="K263">
            <v>5.7811699999999995E-4</v>
          </cell>
          <cell r="L263">
            <v>3.0639151E-2</v>
          </cell>
          <cell r="M263">
            <v>7.0238699999999995E-4</v>
          </cell>
          <cell r="N263">
            <v>0.71830985899999999</v>
          </cell>
          <cell r="O263">
            <v>2.890583E-3</v>
          </cell>
          <cell r="P263">
            <v>0.75033909600000004</v>
          </cell>
          <cell r="Q263">
            <v>6.1451120000000003E-3</v>
          </cell>
        </row>
        <row r="264">
          <cell r="D264">
            <v>153</v>
          </cell>
          <cell r="J264">
            <v>1.3071895E-2</v>
          </cell>
          <cell r="K264">
            <v>8.4875099999999997E-5</v>
          </cell>
          <cell r="L264">
            <v>3.0639151E-2</v>
          </cell>
          <cell r="M264">
            <v>7.0238699999999995E-4</v>
          </cell>
        </row>
        <row r="265">
          <cell r="D265">
            <v>163</v>
          </cell>
          <cell r="J265">
            <v>3.6809816000000002E-2</v>
          </cell>
          <cell r="K265">
            <v>2.1885700000000001E-4</v>
          </cell>
          <cell r="L265">
            <v>3.0639151E-2</v>
          </cell>
          <cell r="M265">
            <v>7.0238699999999995E-4</v>
          </cell>
        </row>
        <row r="266">
          <cell r="D266">
            <v>126</v>
          </cell>
          <cell r="J266">
            <v>7.9365079000000005E-2</v>
          </cell>
          <cell r="K266">
            <v>5.8452999999999999E-4</v>
          </cell>
          <cell r="L266">
            <v>3.0639151E-2</v>
          </cell>
          <cell r="M266">
            <v>7.0238699999999995E-4</v>
          </cell>
        </row>
        <row r="267">
          <cell r="D267">
            <v>380</v>
          </cell>
          <cell r="J267">
            <v>2.8947368000000001E-2</v>
          </cell>
          <cell r="K267">
            <v>7.4167300000000004E-5</v>
          </cell>
          <cell r="L267">
            <v>3.0639151E-2</v>
          </cell>
          <cell r="M267">
            <v>7.0238699999999995E-4</v>
          </cell>
        </row>
        <row r="268">
          <cell r="D268">
            <v>320</v>
          </cell>
          <cell r="J268">
            <v>1.5625E-2</v>
          </cell>
          <cell r="K268">
            <v>4.82159E-5</v>
          </cell>
          <cell r="L268">
            <v>3.0639151E-2</v>
          </cell>
          <cell r="M268">
            <v>7.0238699999999995E-4</v>
          </cell>
        </row>
        <row r="269">
          <cell r="D269">
            <v>330</v>
          </cell>
          <cell r="J269">
            <v>1.8181817999999999E-2</v>
          </cell>
          <cell r="K269">
            <v>5.4259099999999997E-5</v>
          </cell>
          <cell r="L269">
            <v>3.0639151E-2</v>
          </cell>
          <cell r="M269">
            <v>7.0238699999999995E-4</v>
          </cell>
        </row>
        <row r="270">
          <cell r="D270">
            <v>299</v>
          </cell>
          <cell r="J270">
            <v>2.006689E-2</v>
          </cell>
          <cell r="K270">
            <v>6.5987299999999998E-5</v>
          </cell>
          <cell r="L270">
            <v>3.0639151E-2</v>
          </cell>
          <cell r="M270">
            <v>7.0238699999999995E-4</v>
          </cell>
        </row>
        <row r="271">
          <cell r="D271">
            <v>240</v>
          </cell>
          <cell r="J271">
            <v>3.7499999999999999E-2</v>
          </cell>
          <cell r="K271">
            <v>1.5102E-4</v>
          </cell>
          <cell r="L271">
            <v>3.0639151E-2</v>
          </cell>
          <cell r="M271">
            <v>7.0238699999999995E-4</v>
          </cell>
        </row>
        <row r="277">
          <cell r="G277">
            <v>76</v>
          </cell>
          <cell r="AD277">
            <v>0.95776085700000002</v>
          </cell>
          <cell r="AE277">
            <v>5.3939999999999999E-4</v>
          </cell>
          <cell r="AF277">
            <v>0.84046642000000005</v>
          </cell>
          <cell r="AG277">
            <v>7.5210069999999997E-3</v>
          </cell>
        </row>
        <row r="278">
          <cell r="G278">
            <v>126</v>
          </cell>
          <cell r="AD278">
            <v>0.93727304600000005</v>
          </cell>
          <cell r="AE278">
            <v>4.70338E-4</v>
          </cell>
          <cell r="AF278">
            <v>0.84046642000000005</v>
          </cell>
          <cell r="AG278">
            <v>7.5210069999999997E-3</v>
          </cell>
        </row>
        <row r="279">
          <cell r="G279">
            <v>128</v>
          </cell>
          <cell r="AD279">
            <v>0.69376139599999997</v>
          </cell>
          <cell r="AE279">
            <v>1.6728859999999999E-3</v>
          </cell>
          <cell r="AF279">
            <v>0.84046642000000005</v>
          </cell>
          <cell r="AG279">
            <v>7.5210069999999997E-3</v>
          </cell>
        </row>
        <row r="280">
          <cell r="G280">
            <v>98</v>
          </cell>
          <cell r="AD280">
            <v>0.84953667499999996</v>
          </cell>
          <cell r="AE280">
            <v>1.3177740000000001E-3</v>
          </cell>
          <cell r="AF280">
            <v>0.84046642000000005</v>
          </cell>
          <cell r="AG280">
            <v>7.5210069999999997E-3</v>
          </cell>
        </row>
        <row r="281">
          <cell r="G281">
            <v>82</v>
          </cell>
          <cell r="AD281">
            <v>0.82339424400000005</v>
          </cell>
          <cell r="AE281">
            <v>1.795261E-3</v>
          </cell>
          <cell r="AF281">
            <v>0.84046642000000005</v>
          </cell>
          <cell r="AG281">
            <v>7.5210069999999997E-3</v>
          </cell>
        </row>
        <row r="282">
          <cell r="G282">
            <v>172</v>
          </cell>
          <cell r="AD282">
            <v>0.89467830500000001</v>
          </cell>
          <cell r="AE282">
            <v>5.5104700000000004E-4</v>
          </cell>
          <cell r="AF282">
            <v>0.84046642000000005</v>
          </cell>
          <cell r="AG282">
            <v>7.5210069999999997E-3</v>
          </cell>
        </row>
        <row r="283">
          <cell r="G283">
            <v>209</v>
          </cell>
          <cell r="AD283">
            <v>0.86418368700000003</v>
          </cell>
          <cell r="AE283">
            <v>5.6428000000000001E-4</v>
          </cell>
          <cell r="AF283">
            <v>0.84046642000000005</v>
          </cell>
          <cell r="AG283">
            <v>7.5210069999999997E-3</v>
          </cell>
        </row>
        <row r="284">
          <cell r="G284">
            <v>142</v>
          </cell>
          <cell r="AD284">
            <v>0.96964636800000004</v>
          </cell>
          <cell r="AE284">
            <v>2.0874000000000001E-4</v>
          </cell>
          <cell r="AF284">
            <v>0.84046642000000005</v>
          </cell>
          <cell r="AG284">
            <v>7.5210069999999997E-3</v>
          </cell>
        </row>
        <row r="285">
          <cell r="G285">
            <v>104</v>
          </cell>
          <cell r="AD285">
            <v>0.927193457</v>
          </cell>
          <cell r="AE285">
            <v>6.5539600000000004E-4</v>
          </cell>
          <cell r="AF285">
            <v>0.84046642000000005</v>
          </cell>
          <cell r="AG285">
            <v>7.5210069999999997E-3</v>
          </cell>
        </row>
        <row r="286">
          <cell r="G286">
            <v>227</v>
          </cell>
          <cell r="AD286">
            <v>0.91921996800000005</v>
          </cell>
          <cell r="AE286">
            <v>3.2855999999999998E-4</v>
          </cell>
          <cell r="AF286">
            <v>0.84046642000000005</v>
          </cell>
          <cell r="AG286">
            <v>7.5210069999999997E-3</v>
          </cell>
        </row>
        <row r="287">
          <cell r="G287">
            <v>143</v>
          </cell>
          <cell r="AD287">
            <v>0.82721429800000001</v>
          </cell>
          <cell r="AE287">
            <v>1.0065549999999999E-3</v>
          </cell>
          <cell r="AF287">
            <v>0.84046642000000005</v>
          </cell>
          <cell r="AG287">
            <v>7.5210069999999997E-3</v>
          </cell>
        </row>
        <row r="288">
          <cell r="G288">
            <v>222</v>
          </cell>
          <cell r="AD288">
            <v>0.861424631</v>
          </cell>
          <cell r="AE288">
            <v>5.4014600000000003E-4</v>
          </cell>
          <cell r="AF288">
            <v>0.84046642000000005</v>
          </cell>
          <cell r="AG288">
            <v>7.5210069999999997E-3</v>
          </cell>
        </row>
        <row r="289">
          <cell r="G289">
            <v>225</v>
          </cell>
          <cell r="AD289">
            <v>0.86930544399999998</v>
          </cell>
          <cell r="AE289">
            <v>5.0720300000000002E-4</v>
          </cell>
          <cell r="AF289">
            <v>0.84046642000000005</v>
          </cell>
          <cell r="AG289">
            <v>7.5210069999999997E-3</v>
          </cell>
        </row>
        <row r="290">
          <cell r="G290">
            <v>265</v>
          </cell>
          <cell r="AD290">
            <v>0.795681572</v>
          </cell>
          <cell r="AE290">
            <v>6.1580499999999998E-4</v>
          </cell>
          <cell r="AF290">
            <v>0.84046642000000005</v>
          </cell>
          <cell r="AG290">
            <v>7.5210069999999997E-3</v>
          </cell>
        </row>
        <row r="291">
          <cell r="G291">
            <v>340</v>
          </cell>
          <cell r="AD291">
            <v>0.84658620699999998</v>
          </cell>
          <cell r="AE291">
            <v>3.8312099999999999E-4</v>
          </cell>
          <cell r="AF291">
            <v>0.84046642000000005</v>
          </cell>
          <cell r="AG291">
            <v>7.5210069999999997E-3</v>
          </cell>
        </row>
        <row r="292">
          <cell r="G292">
            <v>371</v>
          </cell>
          <cell r="AD292">
            <v>0.79206865900000001</v>
          </cell>
          <cell r="AE292">
            <v>4.4512399999999998E-4</v>
          </cell>
          <cell r="AF292">
            <v>0.84046642000000005</v>
          </cell>
          <cell r="AG292">
            <v>7.5210069999999997E-3</v>
          </cell>
        </row>
        <row r="293">
          <cell r="G293">
            <v>516</v>
          </cell>
          <cell r="AD293">
            <v>0.78820150899999997</v>
          </cell>
          <cell r="AE293">
            <v>3.2415500000000002E-4</v>
          </cell>
          <cell r="AF293">
            <v>0.84046642000000005</v>
          </cell>
          <cell r="AG293">
            <v>7.5210069999999997E-3</v>
          </cell>
        </row>
        <row r="294">
          <cell r="G294">
            <v>352</v>
          </cell>
          <cell r="AD294">
            <v>0.84435566500000003</v>
          </cell>
          <cell r="AE294">
            <v>3.74414E-4</v>
          </cell>
          <cell r="AF294">
            <v>0.84046642000000005</v>
          </cell>
          <cell r="AG294">
            <v>7.5210069999999997E-3</v>
          </cell>
        </row>
        <row r="295">
          <cell r="G295">
            <v>597</v>
          </cell>
          <cell r="AD295">
            <v>0.62289141199999998</v>
          </cell>
          <cell r="AE295">
            <v>3.9412399999999998E-4</v>
          </cell>
          <cell r="AF295">
            <v>0.84046642000000005</v>
          </cell>
          <cell r="AG295">
            <v>7.5210069999999997E-3</v>
          </cell>
        </row>
        <row r="296">
          <cell r="G296">
            <v>348</v>
          </cell>
          <cell r="AD296">
            <v>0.71663333600000001</v>
          </cell>
          <cell r="AE296">
            <v>5.8521599999999995E-4</v>
          </cell>
          <cell r="AF296">
            <v>0.84046642000000005</v>
          </cell>
          <cell r="AG296">
            <v>7.5210069999999997E-3</v>
          </cell>
        </row>
        <row r="297">
          <cell r="G297">
            <v>300</v>
          </cell>
          <cell r="AD297">
            <v>0.90328051799999998</v>
          </cell>
          <cell r="AE297">
            <v>2.9219000000000001E-4</v>
          </cell>
          <cell r="AF297">
            <v>0.84046642000000005</v>
          </cell>
          <cell r="AG297">
            <v>7.5210069999999997E-3</v>
          </cell>
        </row>
        <row r="298">
          <cell r="G298">
            <v>249</v>
          </cell>
          <cell r="AD298">
            <v>0.78596997499999999</v>
          </cell>
          <cell r="AE298">
            <v>6.7831100000000002E-4</v>
          </cell>
          <cell r="AF298">
            <v>0.84046642000000005</v>
          </cell>
          <cell r="AG298">
            <v>7.5210069999999997E-3</v>
          </cell>
        </row>
        <row r="305">
          <cell r="D305">
            <v>194</v>
          </cell>
          <cell r="N305">
            <v>0.45590863100000001</v>
          </cell>
          <cell r="O305">
            <v>1.2852639999999999E-3</v>
          </cell>
          <cell r="P305">
            <v>0.38255798899999999</v>
          </cell>
          <cell r="Q305">
            <v>3.7726773999999998E-2</v>
          </cell>
        </row>
        <row r="306">
          <cell r="D306">
            <v>177</v>
          </cell>
          <cell r="N306">
            <v>0.64025618200000001</v>
          </cell>
          <cell r="O306">
            <v>1.3086829999999999E-3</v>
          </cell>
          <cell r="P306">
            <v>0.38255798899999999</v>
          </cell>
          <cell r="Q306">
            <v>3.7726773999999998E-2</v>
          </cell>
        </row>
        <row r="307">
          <cell r="D307">
            <v>243</v>
          </cell>
          <cell r="N307">
            <v>6.4680016000000007E-2</v>
          </cell>
          <cell r="O307">
            <v>2.49986E-4</v>
          </cell>
          <cell r="P307">
            <v>0.38255798899999999</v>
          </cell>
          <cell r="Q307">
            <v>3.7726773999999998E-2</v>
          </cell>
        </row>
        <row r="308">
          <cell r="D308">
            <v>193</v>
          </cell>
          <cell r="N308">
            <v>0.26346793699999999</v>
          </cell>
          <cell r="O308">
            <v>1.010691E-3</v>
          </cell>
          <cell r="P308">
            <v>0.38255798899999999</v>
          </cell>
          <cell r="Q308">
            <v>3.7726773999999998E-2</v>
          </cell>
        </row>
        <row r="309">
          <cell r="D309">
            <v>380</v>
          </cell>
          <cell r="N309">
            <v>0.57733725999999996</v>
          </cell>
          <cell r="O309">
            <v>6.4384900000000005E-4</v>
          </cell>
          <cell r="P309">
            <v>0.38255798899999999</v>
          </cell>
          <cell r="Q309">
            <v>3.7726773999999998E-2</v>
          </cell>
        </row>
        <row r="310">
          <cell r="D310">
            <v>243</v>
          </cell>
          <cell r="N310">
            <v>0.46125918799999999</v>
          </cell>
          <cell r="O310">
            <v>1.026856E-3</v>
          </cell>
          <cell r="P310">
            <v>0.38255798899999999</v>
          </cell>
          <cell r="Q310">
            <v>3.7726773999999998E-2</v>
          </cell>
        </row>
        <row r="311">
          <cell r="D311">
            <v>278</v>
          </cell>
          <cell r="N311">
            <v>7.200906E-3</v>
          </cell>
          <cell r="O311">
            <v>2.58089E-5</v>
          </cell>
          <cell r="P311">
            <v>0.38255798899999999</v>
          </cell>
          <cell r="Q311">
            <v>3.7726773999999998E-2</v>
          </cell>
        </row>
        <row r="312">
          <cell r="D312">
            <v>334</v>
          </cell>
          <cell r="N312">
            <v>0.49833717599999999</v>
          </cell>
          <cell r="O312">
            <v>7.5074199999999999E-4</v>
          </cell>
          <cell r="P312">
            <v>0.38255798899999999</v>
          </cell>
          <cell r="Q312">
            <v>3.7726773999999998E-2</v>
          </cell>
        </row>
        <row r="313">
          <cell r="D313">
            <v>318</v>
          </cell>
          <cell r="N313">
            <v>0.632294256</v>
          </cell>
          <cell r="O313">
            <v>7.3343300000000002E-4</v>
          </cell>
          <cell r="P313">
            <v>0.38255798899999999</v>
          </cell>
          <cell r="Q313">
            <v>3.7726773999999998E-2</v>
          </cell>
        </row>
        <row r="314">
          <cell r="D314">
            <v>533</v>
          </cell>
          <cell r="N314">
            <v>0.57020615699999999</v>
          </cell>
          <cell r="O314">
            <v>4.6066E-4</v>
          </cell>
          <cell r="P314">
            <v>0.38255798899999999</v>
          </cell>
          <cell r="Q314">
            <v>3.7726773999999998E-2</v>
          </cell>
        </row>
        <row r="315">
          <cell r="D315">
            <v>479</v>
          </cell>
          <cell r="N315">
            <v>0.33918759599999998</v>
          </cell>
          <cell r="O315">
            <v>4.6891100000000002E-4</v>
          </cell>
          <cell r="P315">
            <v>0.38255798899999999</v>
          </cell>
          <cell r="Q315">
            <v>3.7726773999999998E-2</v>
          </cell>
        </row>
        <row r="316">
          <cell r="D316">
            <v>466</v>
          </cell>
          <cell r="N316">
            <v>0.57179370600000001</v>
          </cell>
          <cell r="O316">
            <v>5.2654999999999998E-4</v>
          </cell>
          <cell r="P316">
            <v>0.38255798899999999</v>
          </cell>
          <cell r="Q316">
            <v>3.7726773999999998E-2</v>
          </cell>
        </row>
        <row r="317">
          <cell r="D317">
            <v>499</v>
          </cell>
          <cell r="N317">
            <v>0.59104858400000004</v>
          </cell>
          <cell r="O317">
            <v>4.8536199999999998E-4</v>
          </cell>
          <cell r="P317">
            <v>0.38255798899999999</v>
          </cell>
          <cell r="Q317">
            <v>3.7726773999999998E-2</v>
          </cell>
        </row>
        <row r="318">
          <cell r="D318">
            <v>454</v>
          </cell>
          <cell r="N318">
            <v>0.324685055</v>
          </cell>
          <cell r="O318">
            <v>4.8402800000000001E-4</v>
          </cell>
          <cell r="P318">
            <v>0.38255798899999999</v>
          </cell>
          <cell r="Q318">
            <v>3.7726773999999998E-2</v>
          </cell>
        </row>
        <row r="319">
          <cell r="D319">
            <v>651</v>
          </cell>
          <cell r="N319">
            <v>0.273217231</v>
          </cell>
          <cell r="O319">
            <v>3.0549199999999998E-4</v>
          </cell>
          <cell r="P319">
            <v>0.38255798899999999</v>
          </cell>
          <cell r="Q319">
            <v>3.7726773999999998E-2</v>
          </cell>
        </row>
        <row r="320">
          <cell r="D320">
            <v>495</v>
          </cell>
          <cell r="N320">
            <v>0.150144051</v>
          </cell>
          <cell r="O320">
            <v>2.5830100000000001E-4</v>
          </cell>
          <cell r="P320">
            <v>0.38255798899999999</v>
          </cell>
          <cell r="Q320">
            <v>3.7726773999999998E-2</v>
          </cell>
        </row>
        <row r="321">
          <cell r="D321">
            <v>493</v>
          </cell>
          <cell r="N321">
            <v>8.9524672999999999E-2</v>
          </cell>
          <cell r="O321">
            <v>1.6567099999999999E-4</v>
          </cell>
          <cell r="P321">
            <v>0.38255798899999999</v>
          </cell>
          <cell r="Q321">
            <v>3.7726773999999998E-2</v>
          </cell>
        </row>
        <row r="322">
          <cell r="D322">
            <v>127</v>
          </cell>
          <cell r="N322">
            <v>0.33847740799999998</v>
          </cell>
          <cell r="O322">
            <v>1.777067E-3</v>
          </cell>
          <cell r="P322">
            <v>0.38255798899999999</v>
          </cell>
          <cell r="Q322">
            <v>3.7726773999999998E-2</v>
          </cell>
        </row>
        <row r="323">
          <cell r="D323">
            <v>112</v>
          </cell>
          <cell r="N323">
            <v>0.54382908600000002</v>
          </cell>
          <cell r="O323">
            <v>2.2349459999999998E-3</v>
          </cell>
          <cell r="P323">
            <v>0.38255798899999999</v>
          </cell>
          <cell r="Q323">
            <v>3.7726773999999998E-2</v>
          </cell>
        </row>
        <row r="324">
          <cell r="D324">
            <v>244</v>
          </cell>
          <cell r="N324">
            <v>0.33293387600000002</v>
          </cell>
          <cell r="O324">
            <v>9.1394600000000001E-4</v>
          </cell>
          <cell r="P324">
            <v>0.38255798899999999</v>
          </cell>
          <cell r="Q324">
            <v>3.7726773999999998E-2</v>
          </cell>
        </row>
        <row r="325">
          <cell r="D325">
            <v>317</v>
          </cell>
          <cell r="N325">
            <v>0.3079288</v>
          </cell>
          <cell r="O325">
            <v>6.7439400000000004E-4</v>
          </cell>
          <cell r="P325">
            <v>0.38255798899999999</v>
          </cell>
          <cell r="Q325">
            <v>3.7726773999999998E-2</v>
          </cell>
        </row>
        <row r="331">
          <cell r="G331">
            <v>84</v>
          </cell>
          <cell r="AD331">
            <v>0.95001530899999997</v>
          </cell>
          <cell r="AE331">
            <v>5.7212300000000001E-4</v>
          </cell>
          <cell r="AF331">
            <v>0.88472371999999999</v>
          </cell>
          <cell r="AG331">
            <v>7.2151589999999996E-3</v>
          </cell>
        </row>
        <row r="332">
          <cell r="G332">
            <v>157</v>
          </cell>
          <cell r="AD332">
            <v>0.98670537599999997</v>
          </cell>
          <cell r="AE332">
            <v>8.4089000000000001E-5</v>
          </cell>
          <cell r="AF332">
            <v>0.88472371999999999</v>
          </cell>
          <cell r="AG332">
            <v>7.2151589999999996E-3</v>
          </cell>
        </row>
        <row r="333">
          <cell r="G333">
            <v>74</v>
          </cell>
          <cell r="AD333">
            <v>0.97999830700000001</v>
          </cell>
          <cell r="AE333">
            <v>2.6851499999999999E-4</v>
          </cell>
          <cell r="AF333">
            <v>0.88472371999999999</v>
          </cell>
          <cell r="AG333">
            <v>7.2151589999999996E-3</v>
          </cell>
        </row>
        <row r="334">
          <cell r="G334">
            <v>209</v>
          </cell>
          <cell r="AD334">
            <v>0.91102233300000002</v>
          </cell>
          <cell r="AE334">
            <v>3.89715E-4</v>
          </cell>
          <cell r="AF334">
            <v>0.88472371999999999</v>
          </cell>
          <cell r="AG334">
            <v>7.2151589999999996E-3</v>
          </cell>
        </row>
        <row r="335">
          <cell r="G335">
            <v>196</v>
          </cell>
          <cell r="AD335">
            <v>0.92577644299999995</v>
          </cell>
          <cell r="AE335">
            <v>3.5238199999999999E-4</v>
          </cell>
          <cell r="AF335">
            <v>0.88472371999999999</v>
          </cell>
          <cell r="AG335">
            <v>7.2151589999999996E-3</v>
          </cell>
        </row>
        <row r="336">
          <cell r="G336">
            <v>312</v>
          </cell>
          <cell r="AD336">
            <v>0.96045200200000003</v>
          </cell>
          <cell r="AE336">
            <v>1.22135E-4</v>
          </cell>
          <cell r="AF336">
            <v>0.88472371999999999</v>
          </cell>
          <cell r="AG336">
            <v>7.2151589999999996E-3</v>
          </cell>
        </row>
        <row r="337">
          <cell r="G337">
            <v>376</v>
          </cell>
          <cell r="AD337">
            <v>0.92333540599999997</v>
          </cell>
          <cell r="AE337">
            <v>1.8876599999999999E-4</v>
          </cell>
          <cell r="AF337">
            <v>0.88472371999999999</v>
          </cell>
          <cell r="AG337">
            <v>7.2151589999999996E-3</v>
          </cell>
        </row>
        <row r="338">
          <cell r="G338">
            <v>235</v>
          </cell>
          <cell r="AD338">
            <v>0.931865587</v>
          </cell>
          <cell r="AE338">
            <v>2.7133399999999997E-4</v>
          </cell>
          <cell r="AF338">
            <v>0.88472371999999999</v>
          </cell>
          <cell r="AG338">
            <v>7.2151589999999996E-3</v>
          </cell>
        </row>
        <row r="339">
          <cell r="G339">
            <v>317</v>
          </cell>
          <cell r="AD339">
            <v>0.96043807999999997</v>
          </cell>
          <cell r="AE339">
            <v>1.2024299999999999E-4</v>
          </cell>
          <cell r="AF339">
            <v>0.88472371999999999</v>
          </cell>
          <cell r="AG339">
            <v>7.2151589999999996E-3</v>
          </cell>
        </row>
        <row r="340">
          <cell r="G340">
            <v>439</v>
          </cell>
          <cell r="AD340">
            <v>0.97732030299999995</v>
          </cell>
          <cell r="AE340">
            <v>5.0605800000000003E-5</v>
          </cell>
          <cell r="AF340">
            <v>0.88472371999999999</v>
          </cell>
          <cell r="AG340">
            <v>7.2151589999999996E-3</v>
          </cell>
        </row>
        <row r="341">
          <cell r="G341">
            <v>360</v>
          </cell>
          <cell r="AD341">
            <v>0.926579029</v>
          </cell>
          <cell r="AE341">
            <v>1.895E-4</v>
          </cell>
          <cell r="AF341">
            <v>0.88472371999999999</v>
          </cell>
          <cell r="AG341">
            <v>7.2151589999999996E-3</v>
          </cell>
        </row>
        <row r="342">
          <cell r="G342">
            <v>783</v>
          </cell>
          <cell r="AD342">
            <v>0.82006284399999996</v>
          </cell>
          <cell r="AE342">
            <v>1.8869500000000001E-4</v>
          </cell>
          <cell r="AF342">
            <v>0.88472371999999999</v>
          </cell>
          <cell r="AG342">
            <v>7.2151589999999996E-3</v>
          </cell>
        </row>
        <row r="343">
          <cell r="G343">
            <v>466</v>
          </cell>
          <cell r="AD343">
            <v>0.89574330099999999</v>
          </cell>
          <cell r="AE343">
            <v>2.0083300000000001E-4</v>
          </cell>
          <cell r="AF343">
            <v>0.88472371999999999</v>
          </cell>
          <cell r="AG343">
            <v>7.2151589999999996E-3</v>
          </cell>
        </row>
        <row r="344">
          <cell r="G344">
            <v>552</v>
          </cell>
          <cell r="AD344">
            <v>0.92510807900000003</v>
          </cell>
          <cell r="AE344">
            <v>1.2574099999999999E-4</v>
          </cell>
          <cell r="AF344">
            <v>0.88472371999999999</v>
          </cell>
          <cell r="AG344">
            <v>7.2151589999999996E-3</v>
          </cell>
        </row>
        <row r="345">
          <cell r="G345">
            <v>564</v>
          </cell>
          <cell r="AD345">
            <v>0.83521020599999996</v>
          </cell>
          <cell r="AE345">
            <v>2.4446599999999999E-4</v>
          </cell>
          <cell r="AF345">
            <v>0.88472371999999999</v>
          </cell>
          <cell r="AG345">
            <v>7.2151589999999996E-3</v>
          </cell>
        </row>
        <row r="346">
          <cell r="G346">
            <v>596</v>
          </cell>
          <cell r="AD346">
            <v>0.70982587200000002</v>
          </cell>
          <cell r="AE346">
            <v>3.4617300000000002E-4</v>
          </cell>
          <cell r="AF346">
            <v>0.88472371999999999</v>
          </cell>
          <cell r="AG346">
            <v>7.2151589999999996E-3</v>
          </cell>
        </row>
        <row r="347">
          <cell r="G347">
            <v>976</v>
          </cell>
          <cell r="AD347">
            <v>0.75754714099999998</v>
          </cell>
          <cell r="AE347">
            <v>1.8837899999999999E-4</v>
          </cell>
          <cell r="AF347">
            <v>0.88472371999999999</v>
          </cell>
          <cell r="AG347">
            <v>7.2151589999999996E-3</v>
          </cell>
        </row>
        <row r="348">
          <cell r="G348">
            <v>902</v>
          </cell>
          <cell r="AD348">
            <v>0.69841151400000001</v>
          </cell>
          <cell r="AE348">
            <v>2.3377700000000001E-4</v>
          </cell>
          <cell r="AF348">
            <v>0.88472371999999999</v>
          </cell>
          <cell r="AG348">
            <v>7.2151589999999996E-3</v>
          </cell>
        </row>
        <row r="349">
          <cell r="G349">
            <v>829</v>
          </cell>
          <cell r="AD349">
            <v>0.85681116099999999</v>
          </cell>
          <cell r="AE349">
            <v>1.48171E-4</v>
          </cell>
          <cell r="AF349">
            <v>0.88472371999999999</v>
          </cell>
          <cell r="AG349">
            <v>7.2151589999999996E-3</v>
          </cell>
        </row>
        <row r="350">
          <cell r="G350">
            <v>638</v>
          </cell>
          <cell r="AD350">
            <v>0.86899805100000005</v>
          </cell>
          <cell r="AE350">
            <v>1.7871299999999999E-4</v>
          </cell>
          <cell r="AF350">
            <v>0.88472371999999999</v>
          </cell>
          <cell r="AG350">
            <v>7.2151589999999996E-3</v>
          </cell>
        </row>
        <row r="351">
          <cell r="G351">
            <v>639</v>
          </cell>
          <cell r="AD351">
            <v>0.87260955100000004</v>
          </cell>
          <cell r="AE351">
            <v>1.7423499999999999E-4</v>
          </cell>
          <cell r="AF351">
            <v>0.88472371999999999</v>
          </cell>
          <cell r="AG351">
            <v>7.2151589999999996E-3</v>
          </cell>
        </row>
        <row r="352">
          <cell r="G352">
            <v>948</v>
          </cell>
          <cell r="AD352">
            <v>0.79008593699999996</v>
          </cell>
          <cell r="AE352">
            <v>1.7513199999999999E-4</v>
          </cell>
          <cell r="AF352">
            <v>0.88472371999999999</v>
          </cell>
          <cell r="AG352">
            <v>7.2151589999999996E-3</v>
          </cell>
        </row>
        <row r="361">
          <cell r="D361">
            <v>52</v>
          </cell>
          <cell r="J361">
            <v>0.348890796</v>
          </cell>
          <cell r="K361">
            <v>4.454235E-3</v>
          </cell>
          <cell r="L361">
            <v>0.15749269799999999</v>
          </cell>
          <cell r="M361">
            <v>5.5839720000000004E-3</v>
          </cell>
          <cell r="N361">
            <v>0.65110920400000005</v>
          </cell>
          <cell r="O361">
            <v>4.454235E-3</v>
          </cell>
          <cell r="P361">
            <v>0.70017963000000005</v>
          </cell>
          <cell r="Q361">
            <v>1.0854057E-2</v>
          </cell>
        </row>
        <row r="363">
          <cell r="D363">
            <v>61</v>
          </cell>
          <cell r="J363">
            <v>7.0760806999999995E-2</v>
          </cell>
          <cell r="K363">
            <v>1.0958949999999999E-3</v>
          </cell>
          <cell r="L363">
            <v>0.15749269799999999</v>
          </cell>
          <cell r="M363">
            <v>5.5839720000000004E-3</v>
          </cell>
          <cell r="N363">
            <v>0.89012781799999996</v>
          </cell>
          <cell r="O363">
            <v>1.6300049999999999E-3</v>
          </cell>
          <cell r="P363">
            <v>0.70017963000000005</v>
          </cell>
          <cell r="Q363">
            <v>1.0854057E-2</v>
          </cell>
        </row>
        <row r="364">
          <cell r="D364">
            <v>55</v>
          </cell>
          <cell r="J364">
            <v>7.6303002999999994E-2</v>
          </cell>
          <cell r="K364">
            <v>1.305201E-3</v>
          </cell>
          <cell r="L364">
            <v>0.15749269799999999</v>
          </cell>
          <cell r="M364">
            <v>5.5839720000000004E-3</v>
          </cell>
          <cell r="N364">
            <v>0.70360321999999997</v>
          </cell>
          <cell r="O364">
            <v>3.861958E-3</v>
          </cell>
          <cell r="P364">
            <v>0.70017963000000005</v>
          </cell>
          <cell r="Q364">
            <v>1.0854057E-2</v>
          </cell>
        </row>
        <row r="365">
          <cell r="D365">
            <v>59</v>
          </cell>
          <cell r="J365">
            <v>7.7582278000000005E-2</v>
          </cell>
          <cell r="K365">
            <v>1.233849E-3</v>
          </cell>
          <cell r="L365">
            <v>0.15749269799999999</v>
          </cell>
          <cell r="M365">
            <v>5.5839720000000004E-3</v>
          </cell>
          <cell r="N365">
            <v>0.86423101300000005</v>
          </cell>
          <cell r="O365">
            <v>2.0230309999999998E-3</v>
          </cell>
          <cell r="P365">
            <v>0.70017963000000005</v>
          </cell>
          <cell r="Q365">
            <v>1.0854057E-2</v>
          </cell>
        </row>
        <row r="369">
          <cell r="D369">
            <v>100</v>
          </cell>
          <cell r="N369">
            <v>0.65525882800000002</v>
          </cell>
          <cell r="O369">
            <v>2.2817649999999998E-3</v>
          </cell>
          <cell r="P369">
            <v>0.70017963000000005</v>
          </cell>
          <cell r="Q369">
            <v>1.0854057E-2</v>
          </cell>
        </row>
        <row r="370">
          <cell r="D370">
            <v>103</v>
          </cell>
          <cell r="N370">
            <v>0.71079927399999998</v>
          </cell>
          <cell r="O370">
            <v>2.0153300000000001E-3</v>
          </cell>
          <cell r="P370">
            <v>0.70017963000000005</v>
          </cell>
          <cell r="Q370">
            <v>1.0854057E-2</v>
          </cell>
        </row>
        <row r="371">
          <cell r="D371">
            <v>139</v>
          </cell>
          <cell r="N371">
            <v>0.820387388</v>
          </cell>
          <cell r="O371">
            <v>1.067768E-3</v>
          </cell>
          <cell r="P371">
            <v>0.70017963000000005</v>
          </cell>
          <cell r="Q371">
            <v>1.0854057E-2</v>
          </cell>
        </row>
        <row r="372">
          <cell r="D372">
            <v>281</v>
          </cell>
          <cell r="N372">
            <v>0.72013129799999998</v>
          </cell>
          <cell r="O372">
            <v>7.1979399999999995E-4</v>
          </cell>
          <cell r="P372">
            <v>0.70017963000000005</v>
          </cell>
          <cell r="Q372">
            <v>1.0854057E-2</v>
          </cell>
        </row>
        <row r="373">
          <cell r="D373">
            <v>327</v>
          </cell>
          <cell r="N373">
            <v>0.59766794000000001</v>
          </cell>
          <cell r="O373">
            <v>7.3760999999999998E-4</v>
          </cell>
          <cell r="P373">
            <v>0.70017963000000005</v>
          </cell>
          <cell r="Q373">
            <v>1.0854057E-2</v>
          </cell>
        </row>
        <row r="374">
          <cell r="D374">
            <v>268</v>
          </cell>
          <cell r="N374">
            <v>0.74516604200000003</v>
          </cell>
          <cell r="O374">
            <v>7.1121200000000002E-4</v>
          </cell>
          <cell r="P374">
            <v>0.70017963000000005</v>
          </cell>
          <cell r="Q374">
            <v>1.0854057E-2</v>
          </cell>
        </row>
        <row r="375">
          <cell r="D375">
            <v>201</v>
          </cell>
          <cell r="N375">
            <v>0.73094164299999997</v>
          </cell>
          <cell r="O375">
            <v>9.8332999999999992E-4</v>
          </cell>
          <cell r="P375">
            <v>0.70017963000000005</v>
          </cell>
          <cell r="Q375">
            <v>1.0854057E-2</v>
          </cell>
        </row>
        <row r="376">
          <cell r="D376">
            <v>223</v>
          </cell>
          <cell r="N376">
            <v>0.52053716800000005</v>
          </cell>
          <cell r="O376">
            <v>1.1242260000000001E-3</v>
          </cell>
          <cell r="P376">
            <v>0.70017963000000005</v>
          </cell>
          <cell r="Q376">
            <v>1.0854057E-2</v>
          </cell>
        </row>
        <row r="377">
          <cell r="D377">
            <v>140</v>
          </cell>
          <cell r="N377">
            <v>0.68874964000000005</v>
          </cell>
          <cell r="O377">
            <v>1.5422560000000001E-3</v>
          </cell>
          <cell r="P377">
            <v>0.70017963000000005</v>
          </cell>
          <cell r="Q377">
            <v>1.0854057E-2</v>
          </cell>
        </row>
        <row r="378">
          <cell r="D378">
            <v>113</v>
          </cell>
          <cell r="N378">
            <v>0.63329915599999997</v>
          </cell>
          <cell r="O378">
            <v>2.0734939999999999E-3</v>
          </cell>
          <cell r="P378">
            <v>0.70017963000000005</v>
          </cell>
          <cell r="Q378">
            <v>1.0854057E-2</v>
          </cell>
        </row>
        <row r="379">
          <cell r="D379">
            <v>246</v>
          </cell>
          <cell r="N379">
            <v>0.57068481599999998</v>
          </cell>
          <cell r="O379">
            <v>1.0000149999999999E-3</v>
          </cell>
          <cell r="P379">
            <v>0.70017963000000005</v>
          </cell>
          <cell r="Q379">
            <v>1.0854057E-2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ies_comp_Region1_forR"/>
    </sheetNames>
    <sheetDataSet>
      <sheetData sheetId="0">
        <row r="2">
          <cell r="AB2">
            <v>0.47160923900000001</v>
          </cell>
        </row>
        <row r="10">
          <cell r="G10">
            <v>2890</v>
          </cell>
          <cell r="H10">
            <v>2146</v>
          </cell>
          <cell r="AD10">
            <v>0.99</v>
          </cell>
          <cell r="AE10">
            <v>3.2036300000000001E-6</v>
          </cell>
          <cell r="AF10">
            <v>0.96489930700000004</v>
          </cell>
          <cell r="AG10">
            <v>4.2331399999999999E-4</v>
          </cell>
          <cell r="AM10">
            <v>0.96505125800000002</v>
          </cell>
          <cell r="AN10">
            <v>1.57237E-5</v>
          </cell>
          <cell r="AO10">
            <v>0.87966501699999999</v>
          </cell>
          <cell r="AP10">
            <v>4.2596819999999999E-3</v>
          </cell>
          <cell r="AV10">
            <v>3.4948741999999998E-2</v>
          </cell>
          <cell r="AW10">
            <v>1.57237E-5</v>
          </cell>
          <cell r="AX10">
            <v>0.12033498300000001</v>
          </cell>
          <cell r="AY10">
            <v>4.2679450000000004E-3</v>
          </cell>
        </row>
        <row r="11">
          <cell r="G11">
            <v>3461</v>
          </cell>
          <cell r="H11">
            <v>1901</v>
          </cell>
          <cell r="AD11">
            <v>0.98786477900000003</v>
          </cell>
          <cell r="AE11">
            <v>3.46473E-6</v>
          </cell>
          <cell r="AF11">
            <v>0.96489930700000004</v>
          </cell>
          <cell r="AG11">
            <v>4.2331399999999999E-4</v>
          </cell>
          <cell r="AM11">
            <v>0.95686480799999996</v>
          </cell>
          <cell r="AN11">
            <v>2.1723399999999999E-5</v>
          </cell>
          <cell r="AO11">
            <v>0.87966501699999999</v>
          </cell>
          <cell r="AP11">
            <v>4.2596819999999999E-3</v>
          </cell>
          <cell r="AV11">
            <v>4.3135192000000003E-2</v>
          </cell>
          <cell r="AW11">
            <v>2.1723399999999999E-5</v>
          </cell>
          <cell r="AX11">
            <v>0.12033498300000001</v>
          </cell>
          <cell r="AY11">
            <v>4.2679450000000004E-3</v>
          </cell>
        </row>
        <row r="12">
          <cell r="G12">
            <v>5425</v>
          </cell>
          <cell r="H12">
            <v>2108</v>
          </cell>
          <cell r="AD12">
            <v>0.98654377900000001</v>
          </cell>
          <cell r="AE12">
            <v>2.4474800000000002E-6</v>
          </cell>
          <cell r="AF12">
            <v>0.96489930700000004</v>
          </cell>
          <cell r="AG12">
            <v>4.2331399999999999E-4</v>
          </cell>
          <cell r="AM12">
            <v>0.91935483900000003</v>
          </cell>
          <cell r="AN12">
            <v>3.5188200000000003E-5</v>
          </cell>
          <cell r="AO12">
            <v>0.87966501699999999</v>
          </cell>
          <cell r="AP12">
            <v>4.2596819999999999E-3</v>
          </cell>
          <cell r="AV12">
            <v>8.0645161000000007E-2</v>
          </cell>
          <cell r="AW12">
            <v>3.5188200000000003E-5</v>
          </cell>
          <cell r="AX12">
            <v>0.12033498300000001</v>
          </cell>
          <cell r="AY12">
            <v>4.2679450000000004E-3</v>
          </cell>
        </row>
        <row r="13">
          <cell r="G13">
            <v>2587</v>
          </cell>
          <cell r="H13">
            <v>1198</v>
          </cell>
          <cell r="AD13">
            <v>0.96443757200000002</v>
          </cell>
          <cell r="AE13">
            <v>1.32629E-5</v>
          </cell>
          <cell r="AF13">
            <v>0.96489930700000004</v>
          </cell>
          <cell r="AG13">
            <v>4.2331399999999999E-4</v>
          </cell>
          <cell r="AM13">
            <v>0.95909849700000005</v>
          </cell>
          <cell r="AN13">
            <v>3.2772399999999998E-5</v>
          </cell>
          <cell r="AO13">
            <v>0.87966501699999999</v>
          </cell>
          <cell r="AP13">
            <v>4.2596819999999999E-3</v>
          </cell>
          <cell r="AV13">
            <v>4.0901502999999999E-2</v>
          </cell>
          <cell r="AW13">
            <v>3.2772399999999998E-5</v>
          </cell>
          <cell r="AX13">
            <v>0.12033498300000001</v>
          </cell>
          <cell r="AY13">
            <v>4.2679450000000004E-3</v>
          </cell>
        </row>
        <row r="14">
          <cell r="G14">
            <v>5005</v>
          </cell>
          <cell r="H14">
            <v>2271</v>
          </cell>
          <cell r="AD14">
            <v>0.96323676300000005</v>
          </cell>
          <cell r="AE14">
            <v>7.0766799999999998E-6</v>
          </cell>
          <cell r="AF14">
            <v>0.96489930700000004</v>
          </cell>
          <cell r="AG14">
            <v>4.2331399999999999E-4</v>
          </cell>
          <cell r="AM14">
            <v>0.91193306900000004</v>
          </cell>
          <cell r="AN14">
            <v>3.5379400000000002E-5</v>
          </cell>
          <cell r="AO14">
            <v>0.87966501699999999</v>
          </cell>
          <cell r="AP14">
            <v>4.2596819999999999E-3</v>
          </cell>
          <cell r="AV14">
            <v>8.8066931000000001E-2</v>
          </cell>
          <cell r="AW14">
            <v>3.5379400000000002E-5</v>
          </cell>
          <cell r="AX14">
            <v>0.12033498300000001</v>
          </cell>
          <cell r="AY14">
            <v>4.2679450000000004E-3</v>
          </cell>
        </row>
        <row r="15">
          <cell r="G15">
            <v>6892</v>
          </cell>
          <cell r="H15">
            <v>1857</v>
          </cell>
          <cell r="AD15">
            <v>0.98026697600000001</v>
          </cell>
          <cell r="AE15">
            <v>2.8070899999999999E-6</v>
          </cell>
          <cell r="AF15">
            <v>0.96489930700000004</v>
          </cell>
          <cell r="AG15">
            <v>4.2331399999999999E-4</v>
          </cell>
          <cell r="AM15">
            <v>0.87506731299999996</v>
          </cell>
          <cell r="AN15">
            <v>5.8903300000000002E-5</v>
          </cell>
          <cell r="AO15">
            <v>0.87966501699999999</v>
          </cell>
          <cell r="AP15">
            <v>4.2596819999999999E-3</v>
          </cell>
          <cell r="AV15">
            <v>0.124932687</v>
          </cell>
          <cell r="AW15">
            <v>5.8903300000000002E-5</v>
          </cell>
          <cell r="AX15">
            <v>0.12033498300000001</v>
          </cell>
          <cell r="AY15">
            <v>4.2679450000000004E-3</v>
          </cell>
        </row>
        <row r="16">
          <cell r="G16">
            <v>6287</v>
          </cell>
          <cell r="H16">
            <v>2156</v>
          </cell>
          <cell r="AD16">
            <v>0.97152855100000002</v>
          </cell>
          <cell r="AE16">
            <v>4.4003900000000004E-6</v>
          </cell>
          <cell r="AF16">
            <v>0.96489930700000004</v>
          </cell>
          <cell r="AG16">
            <v>4.2331399999999999E-4</v>
          </cell>
          <cell r="AM16">
            <v>0.90166975900000002</v>
          </cell>
          <cell r="AN16">
            <v>4.1142200000000001E-5</v>
          </cell>
          <cell r="AO16">
            <v>0.87966501699999999</v>
          </cell>
          <cell r="AP16">
            <v>4.2596819999999999E-3</v>
          </cell>
          <cell r="AV16">
            <v>9.8330240999999999E-2</v>
          </cell>
          <cell r="AW16">
            <v>4.1142200000000001E-5</v>
          </cell>
          <cell r="AX16">
            <v>0.12033498300000001</v>
          </cell>
          <cell r="AY16">
            <v>4.2679450000000004E-3</v>
          </cell>
        </row>
        <row r="17">
          <cell r="G17">
            <v>9913</v>
          </cell>
          <cell r="H17">
            <v>2436</v>
          </cell>
          <cell r="AD17">
            <v>0.98436396699999995</v>
          </cell>
          <cell r="AE17">
            <v>1.5528199999999999E-6</v>
          </cell>
          <cell r="AF17">
            <v>0.96489930700000004</v>
          </cell>
          <cell r="AG17">
            <v>4.2331399999999999E-4</v>
          </cell>
          <cell r="AM17">
            <v>0.84113300499999999</v>
          </cell>
          <cell r="AN17">
            <v>5.4878099999999999E-5</v>
          </cell>
          <cell r="AO17">
            <v>0.87966501699999999</v>
          </cell>
          <cell r="AP17">
            <v>4.2596819999999999E-3</v>
          </cell>
          <cell r="AV17">
            <v>0.15886699500000001</v>
          </cell>
          <cell r="AW17">
            <v>5.4878099999999999E-5</v>
          </cell>
          <cell r="AX17">
            <v>0.12033498300000001</v>
          </cell>
          <cell r="AY17">
            <v>4.2679450000000004E-3</v>
          </cell>
        </row>
        <row r="18">
          <cell r="G18">
            <v>8002</v>
          </cell>
          <cell r="H18">
            <v>1960</v>
          </cell>
          <cell r="AD18">
            <v>0.95826043500000002</v>
          </cell>
          <cell r="AE18">
            <v>4.99905E-6</v>
          </cell>
          <cell r="AF18">
            <v>0.96489930700000004</v>
          </cell>
          <cell r="AG18">
            <v>4.2331399999999999E-4</v>
          </cell>
          <cell r="AM18">
            <v>0.78010204100000002</v>
          </cell>
          <cell r="AN18">
            <v>8.7566500000000003E-5</v>
          </cell>
          <cell r="AO18">
            <v>0.87966501699999999</v>
          </cell>
          <cell r="AP18">
            <v>4.2596819999999999E-3</v>
          </cell>
          <cell r="AV18">
            <v>0.219897959</v>
          </cell>
          <cell r="AW18">
            <v>8.7566500000000003E-5</v>
          </cell>
          <cell r="AX18">
            <v>0.12033498300000001</v>
          </cell>
          <cell r="AY18">
            <v>4.2679450000000004E-3</v>
          </cell>
        </row>
        <row r="19">
          <cell r="G19">
            <v>9405</v>
          </cell>
          <cell r="H19">
            <v>2691</v>
          </cell>
          <cell r="AD19">
            <v>0.97065390699999998</v>
          </cell>
          <cell r="AE19">
            <v>3.0290199999999998E-6</v>
          </cell>
          <cell r="AF19">
            <v>0.96489930700000004</v>
          </cell>
          <cell r="AG19">
            <v>4.2331399999999999E-4</v>
          </cell>
          <cell r="AM19">
            <v>0.863247863</v>
          </cell>
          <cell r="AN19">
            <v>4.3885099999999998E-5</v>
          </cell>
          <cell r="AO19">
            <v>0.87966501699999999</v>
          </cell>
          <cell r="AP19">
            <v>4.2596819999999999E-3</v>
          </cell>
          <cell r="AV19">
            <v>0.136752137</v>
          </cell>
          <cell r="AW19">
            <v>4.3885099999999998E-5</v>
          </cell>
          <cell r="AX19">
            <v>0.12033498300000001</v>
          </cell>
          <cell r="AY19">
            <v>4.2679450000000004E-3</v>
          </cell>
        </row>
        <row r="20">
          <cell r="G20">
            <v>7290</v>
          </cell>
          <cell r="H20">
            <v>2237</v>
          </cell>
          <cell r="AD20">
            <v>0.94855967100000005</v>
          </cell>
          <cell r="AE20">
            <v>6.6942299999999998E-6</v>
          </cell>
          <cell r="AF20">
            <v>0.96489930700000004</v>
          </cell>
          <cell r="AG20">
            <v>4.2331399999999999E-4</v>
          </cell>
          <cell r="AM20">
            <v>0.86723290099999994</v>
          </cell>
          <cell r="AN20">
            <v>5.1493699999999998E-5</v>
          </cell>
          <cell r="AO20">
            <v>0.87966501699999999</v>
          </cell>
          <cell r="AP20">
            <v>4.2596819999999999E-3</v>
          </cell>
          <cell r="AV20">
            <v>0.132767099</v>
          </cell>
          <cell r="AW20">
            <v>5.1493699999999998E-5</v>
          </cell>
          <cell r="AX20">
            <v>0.12033498300000001</v>
          </cell>
          <cell r="AY20">
            <v>4.2679450000000004E-3</v>
          </cell>
        </row>
        <row r="21">
          <cell r="G21">
            <v>7463</v>
          </cell>
          <cell r="H21">
            <v>1932</v>
          </cell>
          <cell r="AD21">
            <v>0.93487873499999996</v>
          </cell>
          <cell r="AE21">
            <v>8.1587399999999997E-6</v>
          </cell>
          <cell r="AF21">
            <v>0.96489930700000004</v>
          </cell>
          <cell r="AG21">
            <v>4.2331399999999999E-4</v>
          </cell>
          <cell r="AM21">
            <v>0.79658385099999995</v>
          </cell>
          <cell r="AN21">
            <v>8.3913999999999997E-5</v>
          </cell>
          <cell r="AO21">
            <v>0.87966501699999999</v>
          </cell>
          <cell r="AP21">
            <v>4.2596819999999999E-3</v>
          </cell>
          <cell r="AV21">
            <v>0.20341614899999999</v>
          </cell>
          <cell r="AW21">
            <v>8.3913999999999997E-5</v>
          </cell>
          <cell r="AX21">
            <v>0.12033498300000001</v>
          </cell>
          <cell r="AY21">
            <v>4.2679450000000004E-3</v>
          </cell>
        </row>
        <row r="22">
          <cell r="G22">
            <v>9033</v>
          </cell>
          <cell r="H22">
            <v>2109</v>
          </cell>
          <cell r="AD22">
            <v>0.93213771700000003</v>
          </cell>
          <cell r="AE22">
            <v>7.0036500000000003E-6</v>
          </cell>
          <cell r="AF22">
            <v>0.96489930700000004</v>
          </cell>
          <cell r="AG22">
            <v>4.2331399999999999E-4</v>
          </cell>
          <cell r="AM22">
            <v>0.76529160699999998</v>
          </cell>
          <cell r="AN22">
            <v>8.5208899999999997E-5</v>
          </cell>
          <cell r="AO22">
            <v>0.87966501699999999</v>
          </cell>
          <cell r="AP22">
            <v>4.2596819999999999E-3</v>
          </cell>
          <cell r="AV22">
            <v>0.23470839299999999</v>
          </cell>
          <cell r="AW22">
            <v>8.5208899999999997E-5</v>
          </cell>
          <cell r="AX22">
            <v>0.12033498300000001</v>
          </cell>
          <cell r="AY22">
            <v>4.2679450000000004E-3</v>
          </cell>
        </row>
        <row r="32">
          <cell r="D32">
            <v>518</v>
          </cell>
          <cell r="J32">
            <v>0.175675676</v>
          </cell>
          <cell r="K32">
            <v>2.8010399999999999E-4</v>
          </cell>
          <cell r="L32">
            <v>0.143502775</v>
          </cell>
          <cell r="M32">
            <v>1.71893E-3</v>
          </cell>
          <cell r="N32">
            <v>0.53667953700000004</v>
          </cell>
          <cell r="O32">
            <v>4.8095700000000001E-4</v>
          </cell>
          <cell r="P32">
            <v>0.56494793700000001</v>
          </cell>
          <cell r="Q32">
            <v>1.0198659999999999E-3</v>
          </cell>
          <cell r="AI32">
            <v>0.405405405</v>
          </cell>
          <cell r="AJ32">
            <v>4.6625099999999999E-4</v>
          </cell>
          <cell r="AK32">
            <v>0.35462844799999999</v>
          </cell>
          <cell r="AL32">
            <v>1.1414210000000001E-3</v>
          </cell>
          <cell r="AR32">
            <v>3.2818532999999997E-2</v>
          </cell>
          <cell r="AS32">
            <v>6.1395499999999999E-5</v>
          </cell>
          <cell r="AT32">
            <v>4.0472332999999999E-2</v>
          </cell>
          <cell r="AU32">
            <v>4.72614E-4</v>
          </cell>
        </row>
        <row r="33">
          <cell r="D33">
            <v>356</v>
          </cell>
          <cell r="J33">
            <v>0.18820224699999999</v>
          </cell>
          <cell r="K33">
            <v>4.3037199999999999E-4</v>
          </cell>
          <cell r="L33">
            <v>0.143502775</v>
          </cell>
          <cell r="M33">
            <v>1.71893E-3</v>
          </cell>
          <cell r="N33">
            <v>0.56741573000000001</v>
          </cell>
          <cell r="O33">
            <v>6.9142300000000004E-4</v>
          </cell>
          <cell r="P33">
            <v>0.56494793700000001</v>
          </cell>
          <cell r="Q33">
            <v>1.0198659999999999E-3</v>
          </cell>
          <cell r="AI33">
            <v>0.35674157299999998</v>
          </cell>
          <cell r="AJ33">
            <v>6.4641399999999999E-4</v>
          </cell>
          <cell r="AK33">
            <v>0.35462844799999999</v>
          </cell>
          <cell r="AL33">
            <v>1.1414210000000001E-3</v>
          </cell>
          <cell r="AR33">
            <v>1.4044944E-2</v>
          </cell>
          <cell r="AS33">
            <v>3.9007600000000002E-5</v>
          </cell>
          <cell r="AT33">
            <v>4.0472332999999999E-2</v>
          </cell>
          <cell r="AU33">
            <v>4.72614E-4</v>
          </cell>
        </row>
        <row r="34">
          <cell r="D34">
            <v>526</v>
          </cell>
          <cell r="J34">
            <v>0.10836501900000001</v>
          </cell>
          <cell r="K34">
            <v>1.8404200000000001E-4</v>
          </cell>
          <cell r="L34">
            <v>0.143502775</v>
          </cell>
          <cell r="M34">
            <v>1.71893E-3</v>
          </cell>
          <cell r="N34">
            <v>0.577946768</v>
          </cell>
          <cell r="O34">
            <v>4.6461799999999998E-4</v>
          </cell>
          <cell r="P34">
            <v>0.56494793700000001</v>
          </cell>
          <cell r="Q34">
            <v>1.0198659999999999E-3</v>
          </cell>
          <cell r="AI34">
            <v>0.365019011</v>
          </cell>
          <cell r="AJ34">
            <v>4.4148599999999999E-4</v>
          </cell>
          <cell r="AK34">
            <v>0.35462844799999999</v>
          </cell>
          <cell r="AL34">
            <v>1.1414210000000001E-3</v>
          </cell>
          <cell r="AR34">
            <v>1.5209125E-2</v>
          </cell>
          <cell r="AS34">
            <v>2.8529200000000001E-5</v>
          </cell>
          <cell r="AT34">
            <v>4.0472332999999999E-2</v>
          </cell>
          <cell r="AU34">
            <v>4.72614E-4</v>
          </cell>
        </row>
        <row r="35">
          <cell r="D35">
            <v>390</v>
          </cell>
          <cell r="J35">
            <v>0.1</v>
          </cell>
          <cell r="K35">
            <v>2.3136200000000001E-4</v>
          </cell>
          <cell r="L35">
            <v>0.143502775</v>
          </cell>
          <cell r="M35">
            <v>1.71893E-3</v>
          </cell>
          <cell r="N35">
            <v>0.58461538499999999</v>
          </cell>
          <cell r="O35">
            <v>6.2426799999999998E-4</v>
          </cell>
          <cell r="P35">
            <v>0.56494793700000001</v>
          </cell>
          <cell r="Q35">
            <v>1.0198659999999999E-3</v>
          </cell>
          <cell r="AI35">
            <v>0.38461538499999998</v>
          </cell>
          <cell r="AJ35">
            <v>6.0844800000000004E-4</v>
          </cell>
          <cell r="AK35">
            <v>0.35462844799999999</v>
          </cell>
          <cell r="AL35">
            <v>1.1414210000000001E-3</v>
          </cell>
          <cell r="AR35">
            <v>1.0256410000000001E-2</v>
          </cell>
          <cell r="AS35">
            <v>2.6095700000000002E-5</v>
          </cell>
          <cell r="AT35">
            <v>4.0472332999999999E-2</v>
          </cell>
          <cell r="AU35">
            <v>4.72614E-4</v>
          </cell>
        </row>
        <row r="36">
          <cell r="D36">
            <v>909</v>
          </cell>
          <cell r="J36">
            <v>0.100110011</v>
          </cell>
          <cell r="K36">
            <v>9.92159E-5</v>
          </cell>
          <cell r="L36">
            <v>0.143502775</v>
          </cell>
          <cell r="M36">
            <v>1.71893E-3</v>
          </cell>
          <cell r="N36">
            <v>0.58745874600000003</v>
          </cell>
          <cell r="O36">
            <v>2.6690600000000002E-4</v>
          </cell>
          <cell r="P36">
            <v>0.56494793700000001</v>
          </cell>
          <cell r="Q36">
            <v>1.0198659999999999E-3</v>
          </cell>
          <cell r="AI36">
            <v>0.32013201299999999</v>
          </cell>
          <cell r="AJ36">
            <v>2.397E-4</v>
          </cell>
          <cell r="AK36">
            <v>0.35462844799999999</v>
          </cell>
          <cell r="AL36">
            <v>1.1414210000000001E-3</v>
          </cell>
          <cell r="AR36">
            <v>2.530253E-2</v>
          </cell>
          <cell r="AS36">
            <v>2.71611E-5</v>
          </cell>
          <cell r="AT36">
            <v>4.0472332999999999E-2</v>
          </cell>
          <cell r="AU36">
            <v>4.72614E-4</v>
          </cell>
        </row>
        <row r="37">
          <cell r="D37">
            <v>714</v>
          </cell>
          <cell r="J37">
            <v>0.17507002799999999</v>
          </cell>
          <cell r="K37">
            <v>2.0255300000000001E-4</v>
          </cell>
          <cell r="L37">
            <v>0.143502775</v>
          </cell>
          <cell r="M37">
            <v>1.71893E-3</v>
          </cell>
          <cell r="N37">
            <v>0.53781512600000003</v>
          </cell>
          <cell r="O37">
            <v>3.4862599999999999E-4</v>
          </cell>
          <cell r="P37">
            <v>0.56494793700000001</v>
          </cell>
          <cell r="Q37">
            <v>1.0198659999999999E-3</v>
          </cell>
          <cell r="AI37">
            <v>0.38095238100000001</v>
          </cell>
          <cell r="AJ37">
            <v>3.30754E-4</v>
          </cell>
          <cell r="AK37">
            <v>0.35462844799999999</v>
          </cell>
          <cell r="AL37">
            <v>1.1414210000000001E-3</v>
          </cell>
          <cell r="AR37">
            <v>4.9019607999999999E-2</v>
          </cell>
          <cell r="AS37">
            <v>6.5381000000000003E-5</v>
          </cell>
          <cell r="AT37">
            <v>4.0472332999999999E-2</v>
          </cell>
          <cell r="AU37">
            <v>4.72614E-4</v>
          </cell>
        </row>
        <row r="38">
          <cell r="D38">
            <v>669</v>
          </cell>
          <cell r="J38">
            <v>0.14499252600000001</v>
          </cell>
          <cell r="K38">
            <v>1.8558299999999999E-4</v>
          </cell>
          <cell r="L38">
            <v>0.143502775</v>
          </cell>
          <cell r="M38">
            <v>1.71893E-3</v>
          </cell>
          <cell r="N38">
            <v>0.58744394600000005</v>
          </cell>
          <cell r="O38">
            <v>3.6280500000000001E-4</v>
          </cell>
          <cell r="P38">
            <v>0.56494793700000001</v>
          </cell>
          <cell r="Q38">
            <v>1.0198659999999999E-3</v>
          </cell>
          <cell r="AI38">
            <v>0.34678624800000002</v>
          </cell>
          <cell r="AJ38">
            <v>3.3911E-4</v>
          </cell>
          <cell r="AK38">
            <v>0.35462844799999999</v>
          </cell>
          <cell r="AL38">
            <v>1.1414210000000001E-3</v>
          </cell>
          <cell r="AR38">
            <v>4.1853513000000002E-2</v>
          </cell>
          <cell r="AS38">
            <v>6.0032599999999998E-5</v>
          </cell>
          <cell r="AT38">
            <v>4.0472332999999999E-2</v>
          </cell>
          <cell r="AU38">
            <v>4.72614E-4</v>
          </cell>
        </row>
        <row r="39">
          <cell r="D39">
            <v>918</v>
          </cell>
          <cell r="J39">
            <v>9.9128540000000001E-2</v>
          </cell>
          <cell r="K39">
            <v>9.7385000000000004E-5</v>
          </cell>
          <cell r="L39">
            <v>0.143502775</v>
          </cell>
          <cell r="M39">
            <v>1.71893E-3</v>
          </cell>
          <cell r="N39">
            <v>0.60239651400000005</v>
          </cell>
          <cell r="O39">
            <v>2.6119400000000002E-4</v>
          </cell>
          <cell r="P39">
            <v>0.56494793700000001</v>
          </cell>
          <cell r="Q39">
            <v>1.0198659999999999E-3</v>
          </cell>
          <cell r="AI39">
            <v>0.31481481500000003</v>
          </cell>
          <cell r="AJ39">
            <v>2.35231E-4</v>
          </cell>
          <cell r="AK39">
            <v>0.35462844799999999</v>
          </cell>
          <cell r="AL39">
            <v>1.1414210000000001E-3</v>
          </cell>
          <cell r="AR39">
            <v>4.6840959000000001E-2</v>
          </cell>
          <cell r="AS39">
            <v>4.8687999999999999E-5</v>
          </cell>
          <cell r="AT39">
            <v>4.0472332999999999E-2</v>
          </cell>
          <cell r="AU39">
            <v>4.72614E-4</v>
          </cell>
        </row>
        <row r="40">
          <cell r="D40">
            <v>1060</v>
          </cell>
          <cell r="J40">
            <v>9.4339622999999997E-2</v>
          </cell>
          <cell r="K40">
            <v>8.0679600000000006E-5</v>
          </cell>
          <cell r="L40">
            <v>0.143502775</v>
          </cell>
          <cell r="M40">
            <v>1.71893E-3</v>
          </cell>
          <cell r="N40">
            <v>0.57264150899999999</v>
          </cell>
          <cell r="O40">
            <v>2.31089E-4</v>
          </cell>
          <cell r="P40">
            <v>0.56494793700000001</v>
          </cell>
          <cell r="Q40">
            <v>1.0198659999999999E-3</v>
          </cell>
          <cell r="AI40">
            <v>0.29716981100000001</v>
          </cell>
          <cell r="AJ40">
            <v>1.9722399999999999E-4</v>
          </cell>
          <cell r="AK40">
            <v>0.35462844799999999</v>
          </cell>
          <cell r="AL40">
            <v>1.1414210000000001E-3</v>
          </cell>
          <cell r="AR40">
            <v>7.9245283E-2</v>
          </cell>
          <cell r="AS40">
            <v>6.8900300000000002E-5</v>
          </cell>
          <cell r="AT40">
            <v>4.0472332999999999E-2</v>
          </cell>
          <cell r="AU40">
            <v>4.72614E-4</v>
          </cell>
        </row>
        <row r="41">
          <cell r="D41">
            <v>1067</v>
          </cell>
          <cell r="J41">
            <v>0.121836926</v>
          </cell>
          <cell r="K41">
            <v>1.00368E-4</v>
          </cell>
          <cell r="L41">
            <v>0.143502775</v>
          </cell>
          <cell r="M41">
            <v>1.71893E-3</v>
          </cell>
          <cell r="N41">
            <v>0.58013120900000004</v>
          </cell>
          <cell r="O41">
            <v>2.2849799999999999E-4</v>
          </cell>
          <cell r="P41">
            <v>0.56494793700000001</v>
          </cell>
          <cell r="Q41">
            <v>1.0198659999999999E-3</v>
          </cell>
          <cell r="AI41">
            <v>0.34582942799999999</v>
          </cell>
          <cell r="AJ41">
            <v>2.12225E-4</v>
          </cell>
          <cell r="AK41">
            <v>0.35462844799999999</v>
          </cell>
          <cell r="AL41">
            <v>1.1414210000000001E-3</v>
          </cell>
          <cell r="AR41">
            <v>4.3111528000000003E-2</v>
          </cell>
          <cell r="AS41">
            <v>3.8698800000000003E-5</v>
          </cell>
          <cell r="AT41">
            <v>4.0472332999999999E-2</v>
          </cell>
          <cell r="AU41">
            <v>4.72614E-4</v>
          </cell>
        </row>
        <row r="42">
          <cell r="D42">
            <v>1172</v>
          </cell>
          <cell r="J42">
            <v>0.12372013699999999</v>
          </cell>
          <cell r="K42">
            <v>9.2582000000000002E-5</v>
          </cell>
          <cell r="L42">
            <v>0.143502775</v>
          </cell>
          <cell r="M42">
            <v>1.71893E-3</v>
          </cell>
          <cell r="N42">
            <v>0.511945392</v>
          </cell>
          <cell r="O42">
            <v>2.1337099999999999E-4</v>
          </cell>
          <cell r="P42">
            <v>0.56494793700000001</v>
          </cell>
          <cell r="Q42">
            <v>1.0198659999999999E-3</v>
          </cell>
          <cell r="AI42">
            <v>0.37969283300000001</v>
          </cell>
          <cell r="AJ42">
            <v>2.0113299999999999E-4</v>
          </cell>
          <cell r="AK42">
            <v>0.35462844799999999</v>
          </cell>
          <cell r="AL42">
            <v>1.1414210000000001E-3</v>
          </cell>
          <cell r="AR42">
            <v>7.3378840000000001E-2</v>
          </cell>
          <cell r="AS42">
            <v>5.8065200000000001E-5</v>
          </cell>
          <cell r="AT42">
            <v>4.0472332999999999E-2</v>
          </cell>
          <cell r="AU42">
            <v>4.72614E-4</v>
          </cell>
        </row>
        <row r="43">
          <cell r="D43">
            <v>764</v>
          </cell>
          <cell r="J43">
            <v>0.20811518300000001</v>
          </cell>
          <cell r="K43">
            <v>2.1599400000000001E-4</v>
          </cell>
          <cell r="L43">
            <v>0.143502775</v>
          </cell>
          <cell r="M43">
            <v>1.71893E-3</v>
          </cell>
          <cell r="N43">
            <v>0.503926702</v>
          </cell>
          <cell r="O43">
            <v>3.2763399999999999E-4</v>
          </cell>
          <cell r="P43">
            <v>0.56494793700000001</v>
          </cell>
          <cell r="Q43">
            <v>1.0198659999999999E-3</v>
          </cell>
          <cell r="AI43">
            <v>0.40052356</v>
          </cell>
          <cell r="AJ43">
            <v>3.1468499999999999E-4</v>
          </cell>
          <cell r="AK43">
            <v>0.35462844799999999</v>
          </cell>
          <cell r="AL43">
            <v>1.1414210000000001E-3</v>
          </cell>
          <cell r="AR43">
            <v>6.6753927000000005E-2</v>
          </cell>
          <cell r="AS43">
            <v>8.1648499999999996E-5</v>
          </cell>
          <cell r="AT43">
            <v>4.0472332999999999E-2</v>
          </cell>
          <cell r="AU43">
            <v>4.72614E-4</v>
          </cell>
        </row>
        <row r="44">
          <cell r="D44">
            <v>786</v>
          </cell>
          <cell r="J44">
            <v>0.17302798999999999</v>
          </cell>
          <cell r="K44">
            <v>1.8227900000000001E-4</v>
          </cell>
          <cell r="L44">
            <v>0.143502775</v>
          </cell>
          <cell r="M44">
            <v>1.71893E-3</v>
          </cell>
          <cell r="N44">
            <v>0.60050890599999995</v>
          </cell>
          <cell r="O44">
            <v>3.0560199999999998E-4</v>
          </cell>
          <cell r="P44">
            <v>0.56494793700000001</v>
          </cell>
          <cell r="Q44">
            <v>1.0198659999999999E-3</v>
          </cell>
          <cell r="AI44">
            <v>0.32442748100000002</v>
          </cell>
          <cell r="AJ44">
            <v>2.79203E-4</v>
          </cell>
          <cell r="AK44">
            <v>0.35462844799999999</v>
          </cell>
          <cell r="AL44">
            <v>1.1414210000000001E-3</v>
          </cell>
          <cell r="AR44">
            <v>4.0712468000000002E-2</v>
          </cell>
          <cell r="AS44">
            <v>4.97515E-5</v>
          </cell>
          <cell r="AT44">
            <v>4.0472332999999999E-2</v>
          </cell>
          <cell r="AU44">
            <v>4.72614E-4</v>
          </cell>
        </row>
        <row r="142">
          <cell r="G142">
            <v>339</v>
          </cell>
          <cell r="H142">
            <v>351</v>
          </cell>
          <cell r="AD142">
            <v>0.92330383500000002</v>
          </cell>
          <cell r="AE142">
            <v>2.0950799999999999E-4</v>
          </cell>
          <cell r="AF142">
            <v>0.71222023499999998</v>
          </cell>
          <cell r="AG142">
            <v>6.5559435999999999E-2</v>
          </cell>
          <cell r="AM142">
            <v>0.92877492900000003</v>
          </cell>
          <cell r="AN142">
            <v>1.89006E-4</v>
          </cell>
          <cell r="AO142">
            <v>0.82692465400000004</v>
          </cell>
          <cell r="AP142">
            <v>1.161425E-2</v>
          </cell>
          <cell r="AV142">
            <v>7.1225071000000001E-2</v>
          </cell>
          <cell r="AW142">
            <v>1.89006E-4</v>
          </cell>
          <cell r="AX142">
            <v>0.20680934300000001</v>
          </cell>
          <cell r="AY142">
            <v>2.4673001E-2</v>
          </cell>
        </row>
        <row r="143">
          <cell r="G143">
            <v>369</v>
          </cell>
          <cell r="H143">
            <v>360</v>
          </cell>
          <cell r="AD143">
            <v>0.96747967499999998</v>
          </cell>
          <cell r="AE143">
            <v>8.5496599999999997E-5</v>
          </cell>
          <cell r="AF143">
            <v>0.71222023499999998</v>
          </cell>
          <cell r="AG143">
            <v>6.5559435999999999E-2</v>
          </cell>
          <cell r="AM143">
            <v>0.96666666700000003</v>
          </cell>
          <cell r="AN143">
            <v>8.9755500000000005E-5</v>
          </cell>
          <cell r="AO143">
            <v>0.82692465400000004</v>
          </cell>
          <cell r="AP143">
            <v>1.161425E-2</v>
          </cell>
          <cell r="AV143">
            <v>3.3333333E-2</v>
          </cell>
          <cell r="AW143">
            <v>8.9755500000000005E-5</v>
          </cell>
          <cell r="AX143">
            <v>0.20680934300000001</v>
          </cell>
          <cell r="AY143">
            <v>2.4673001E-2</v>
          </cell>
        </row>
        <row r="144">
          <cell r="G144">
            <v>782</v>
          </cell>
          <cell r="H144">
            <v>512</v>
          </cell>
          <cell r="AD144">
            <v>0.955242967</v>
          </cell>
          <cell r="AE144">
            <v>5.47424E-5</v>
          </cell>
          <cell r="AF144">
            <v>0.71222023499999998</v>
          </cell>
          <cell r="AG144">
            <v>6.5559435999999999E-2</v>
          </cell>
          <cell r="AM144">
            <v>0.947265625</v>
          </cell>
          <cell r="AN144">
            <v>9.7756299999999998E-5</v>
          </cell>
          <cell r="AO144">
            <v>0.82692465400000004</v>
          </cell>
          <cell r="AP144">
            <v>1.161425E-2</v>
          </cell>
          <cell r="AV144">
            <v>5.2734375E-2</v>
          </cell>
          <cell r="AW144">
            <v>9.7756299999999998E-5</v>
          </cell>
          <cell r="AX144">
            <v>0.20680934300000001</v>
          </cell>
          <cell r="AY144">
            <v>2.4673001E-2</v>
          </cell>
        </row>
        <row r="145">
          <cell r="G145">
            <v>458</v>
          </cell>
          <cell r="H145">
            <v>297</v>
          </cell>
          <cell r="AD145">
            <v>0.83406113500000001</v>
          </cell>
          <cell r="AE145">
            <v>3.0285199999999999E-4</v>
          </cell>
          <cell r="AF145">
            <v>0.71222023499999998</v>
          </cell>
          <cell r="AG145">
            <v>6.5559435999999999E-2</v>
          </cell>
          <cell r="AM145">
            <v>0.87542087499999999</v>
          </cell>
          <cell r="AN145">
            <v>3.6844299999999998E-4</v>
          </cell>
          <cell r="AO145">
            <v>0.82692465400000004</v>
          </cell>
          <cell r="AP145">
            <v>1.161425E-2</v>
          </cell>
          <cell r="AV145">
            <v>0.124579125</v>
          </cell>
          <cell r="AW145">
            <v>3.6844299999999998E-4</v>
          </cell>
          <cell r="AX145">
            <v>0.20680934300000001</v>
          </cell>
          <cell r="AY145">
            <v>2.4673001E-2</v>
          </cell>
        </row>
        <row r="146">
          <cell r="G146">
            <v>583</v>
          </cell>
          <cell r="H146">
            <v>387</v>
          </cell>
          <cell r="AD146">
            <v>0.83190394499999998</v>
          </cell>
          <cell r="AE146">
            <v>2.40275E-4</v>
          </cell>
          <cell r="AF146">
            <v>0.71222023499999998</v>
          </cell>
          <cell r="AG146">
            <v>6.5559435999999999E-2</v>
          </cell>
          <cell r="AM146">
            <v>0.91214470299999995</v>
          </cell>
          <cell r="AN146">
            <v>2.07608E-4</v>
          </cell>
          <cell r="AO146">
            <v>0.82692465400000004</v>
          </cell>
          <cell r="AP146">
            <v>1.161425E-2</v>
          </cell>
          <cell r="AV146">
            <v>8.7855296999999999E-2</v>
          </cell>
          <cell r="AW146">
            <v>2.07608E-4</v>
          </cell>
          <cell r="AX146">
            <v>0.20680934300000001</v>
          </cell>
          <cell r="AY146">
            <v>2.4673001E-2</v>
          </cell>
        </row>
        <row r="147">
          <cell r="G147">
            <v>523</v>
          </cell>
          <cell r="H147">
            <v>255</v>
          </cell>
          <cell r="AD147">
            <v>0.93116634799999998</v>
          </cell>
          <cell r="AE147">
            <v>1.22788E-4</v>
          </cell>
          <cell r="AF147">
            <v>0.71222023499999998</v>
          </cell>
          <cell r="AG147">
            <v>6.5559435999999999E-2</v>
          </cell>
          <cell r="AM147">
            <v>0.86666666699999995</v>
          </cell>
          <cell r="AN147">
            <v>4.5494300000000002E-4</v>
          </cell>
          <cell r="AO147">
            <v>0.82692465400000004</v>
          </cell>
          <cell r="AP147">
            <v>1.161425E-2</v>
          </cell>
          <cell r="AV147">
            <v>0.133333333</v>
          </cell>
          <cell r="AW147">
            <v>4.5494300000000002E-4</v>
          </cell>
          <cell r="AX147">
            <v>0.20680934300000001</v>
          </cell>
          <cell r="AY147">
            <v>2.4673001E-2</v>
          </cell>
        </row>
        <row r="148">
          <cell r="G148">
            <v>573</v>
          </cell>
          <cell r="H148">
            <v>325</v>
          </cell>
          <cell r="AD148">
            <v>0.86212914500000004</v>
          </cell>
          <cell r="AE148">
            <v>2.0780199999999999E-4</v>
          </cell>
          <cell r="AF148">
            <v>0.71222023499999998</v>
          </cell>
          <cell r="AG148">
            <v>6.5559435999999999E-2</v>
          </cell>
          <cell r="AM148">
            <v>0.87692307700000005</v>
          </cell>
          <cell r="AN148">
            <v>3.3311400000000002E-4</v>
          </cell>
          <cell r="AO148">
            <v>0.82692465400000004</v>
          </cell>
          <cell r="AP148">
            <v>1.161425E-2</v>
          </cell>
          <cell r="AV148">
            <v>0.123076923</v>
          </cell>
          <cell r="AW148">
            <v>3.3311400000000002E-4</v>
          </cell>
          <cell r="AX148">
            <v>0.20680934300000001</v>
          </cell>
          <cell r="AY148">
            <v>2.4673001E-2</v>
          </cell>
        </row>
        <row r="149">
          <cell r="G149">
            <v>621</v>
          </cell>
          <cell r="H149">
            <v>317</v>
          </cell>
          <cell r="AD149">
            <v>0.75684379999999996</v>
          </cell>
          <cell r="AE149">
            <v>2.9682500000000002E-4</v>
          </cell>
          <cell r="AF149">
            <v>0.71222023499999998</v>
          </cell>
          <cell r="AG149">
            <v>6.5559435999999999E-2</v>
          </cell>
          <cell r="AM149">
            <v>0.70031545699999997</v>
          </cell>
          <cell r="AN149">
            <v>6.6415699999999996E-4</v>
          </cell>
          <cell r="AO149">
            <v>0.82692465400000004</v>
          </cell>
          <cell r="AP149">
            <v>1.161425E-2</v>
          </cell>
          <cell r="AV149">
            <v>0.30283911699999999</v>
          </cell>
          <cell r="AW149">
            <v>6.6812499999999999E-4</v>
          </cell>
          <cell r="AX149">
            <v>0.20680934300000001</v>
          </cell>
          <cell r="AY149">
            <v>2.4673001E-2</v>
          </cell>
        </row>
        <row r="150">
          <cell r="G150">
            <v>763</v>
          </cell>
          <cell r="H150">
            <v>321</v>
          </cell>
          <cell r="AD150">
            <v>0.70642201800000004</v>
          </cell>
          <cell r="AE150">
            <v>2.7216499999999999E-4</v>
          </cell>
          <cell r="AF150">
            <v>0.71222023499999998</v>
          </cell>
          <cell r="AG150">
            <v>6.5559435999999999E-2</v>
          </cell>
          <cell r="AM150">
            <v>0.76947040499999997</v>
          </cell>
          <cell r="AN150">
            <v>5.5433000000000001E-4</v>
          </cell>
          <cell r="AO150">
            <v>0.82692465400000004</v>
          </cell>
          <cell r="AP150">
            <v>1.161425E-2</v>
          </cell>
          <cell r="AV150">
            <v>0.230529595</v>
          </cell>
          <cell r="AW150">
            <v>5.5433000000000001E-4</v>
          </cell>
          <cell r="AX150">
            <v>0.20680934300000001</v>
          </cell>
          <cell r="AY150">
            <v>2.4673001E-2</v>
          </cell>
        </row>
        <row r="151">
          <cell r="G151">
            <v>1044</v>
          </cell>
          <cell r="H151">
            <v>445</v>
          </cell>
          <cell r="AD151">
            <v>0.80268199200000001</v>
          </cell>
          <cell r="AE151">
            <v>1.5185400000000001E-4</v>
          </cell>
          <cell r="AF151">
            <v>0.71222023499999998</v>
          </cell>
          <cell r="AG151">
            <v>6.5559435999999999E-2</v>
          </cell>
          <cell r="AM151">
            <v>0.87191011200000001</v>
          </cell>
          <cell r="AN151">
            <v>2.5153799999999999E-4</v>
          </cell>
          <cell r="AO151">
            <v>0.82692465400000004</v>
          </cell>
          <cell r="AP151">
            <v>1.161425E-2</v>
          </cell>
          <cell r="AV151">
            <v>0.12808988800000001</v>
          </cell>
          <cell r="AW151">
            <v>2.5153799999999999E-4</v>
          </cell>
          <cell r="AX151">
            <v>0.20680934300000001</v>
          </cell>
          <cell r="AY151">
            <v>2.4673001E-2</v>
          </cell>
        </row>
        <row r="152">
          <cell r="G152">
            <v>757</v>
          </cell>
          <cell r="H152">
            <v>486</v>
          </cell>
          <cell r="AD152">
            <v>0.51254953800000003</v>
          </cell>
          <cell r="AE152">
            <v>3.3048000000000002E-4</v>
          </cell>
          <cell r="AF152">
            <v>0.71222023499999998</v>
          </cell>
          <cell r="AG152">
            <v>6.5559435999999999E-2</v>
          </cell>
          <cell r="AM152">
            <v>0.67078189300000002</v>
          </cell>
          <cell r="AN152">
            <v>4.55327E-4</v>
          </cell>
          <cell r="AO152">
            <v>0.82692465400000004</v>
          </cell>
          <cell r="AP152">
            <v>1.161425E-2</v>
          </cell>
          <cell r="AV152">
            <v>0.38477366299999999</v>
          </cell>
          <cell r="AW152">
            <v>4.8808800000000002E-4</v>
          </cell>
          <cell r="AX152">
            <v>0.20680934300000001</v>
          </cell>
          <cell r="AY152">
            <v>2.4673001E-2</v>
          </cell>
        </row>
        <row r="153">
          <cell r="G153">
            <v>1149</v>
          </cell>
          <cell r="H153">
            <v>281</v>
          </cell>
          <cell r="AD153">
            <v>0.39860748499999998</v>
          </cell>
          <cell r="AE153">
            <v>2.08815E-4</v>
          </cell>
          <cell r="AF153">
            <v>0.71222023499999998</v>
          </cell>
          <cell r="AG153">
            <v>6.5559435999999999E-2</v>
          </cell>
          <cell r="AM153">
            <v>0.725978648</v>
          </cell>
          <cell r="AN153">
            <v>7.1047700000000005E-4</v>
          </cell>
          <cell r="AO153">
            <v>0.82692465400000004</v>
          </cell>
          <cell r="AP153">
            <v>1.161425E-2</v>
          </cell>
          <cell r="AV153">
            <v>0.29181494699999999</v>
          </cell>
          <cell r="AW153">
            <v>7.3806800000000004E-4</v>
          </cell>
          <cell r="AX153">
            <v>0.20680934300000001</v>
          </cell>
          <cell r="AY153">
            <v>2.4673001E-2</v>
          </cell>
        </row>
        <row r="154">
          <cell r="G154">
            <v>2331</v>
          </cell>
          <cell r="H154">
            <v>528</v>
          </cell>
          <cell r="AD154">
            <v>0.262548263</v>
          </cell>
          <cell r="AE154">
            <v>8.3097300000000001E-5</v>
          </cell>
          <cell r="AF154">
            <v>0.71222023499999998</v>
          </cell>
          <cell r="AG154">
            <v>6.5559435999999999E-2</v>
          </cell>
          <cell r="AM154">
            <v>0.82954545499999999</v>
          </cell>
          <cell r="AN154">
            <v>2.6831100000000003E-4</v>
          </cell>
          <cell r="AO154">
            <v>0.82692465400000004</v>
          </cell>
          <cell r="AP154">
            <v>1.161425E-2</v>
          </cell>
          <cell r="AV154">
            <v>0.34848484800000001</v>
          </cell>
          <cell r="AW154">
            <v>4.3082199999999998E-4</v>
          </cell>
          <cell r="AX154">
            <v>0.20680934300000001</v>
          </cell>
          <cell r="AY154">
            <v>2.4673001E-2</v>
          </cell>
        </row>
        <row r="164">
          <cell r="D164">
            <v>190</v>
          </cell>
          <cell r="J164">
            <v>0.15263157899999999</v>
          </cell>
          <cell r="K164">
            <v>6.8431299999999998E-4</v>
          </cell>
          <cell r="L164">
            <v>0.12447847099999999</v>
          </cell>
          <cell r="M164">
            <v>4.2601679999999999E-3</v>
          </cell>
          <cell r="N164">
            <v>0.321052632</v>
          </cell>
          <cell r="O164">
            <v>1.153322E-3</v>
          </cell>
          <cell r="P164">
            <v>0.23336578599999999</v>
          </cell>
          <cell r="Q164">
            <v>6.1192249999999998E-3</v>
          </cell>
          <cell r="AI164">
            <v>0.34210526299999999</v>
          </cell>
          <cell r="AJ164">
            <v>1.190843E-3</v>
          </cell>
          <cell r="AK164">
            <v>0.37719102199999999</v>
          </cell>
          <cell r="AL164">
            <v>1.2598580999999999E-2</v>
          </cell>
          <cell r="AR164">
            <v>0.1</v>
          </cell>
          <cell r="AS164">
            <v>4.7618999999999998E-4</v>
          </cell>
          <cell r="AT164">
            <v>0.14286457299999999</v>
          </cell>
          <cell r="AU164">
            <v>2.497768E-3</v>
          </cell>
        </row>
        <row r="165">
          <cell r="D165">
            <v>209</v>
          </cell>
          <cell r="J165">
            <v>0.23444976100000001</v>
          </cell>
          <cell r="K165">
            <v>8.6289899999999998E-4</v>
          </cell>
          <cell r="L165">
            <v>0.12447847099999999</v>
          </cell>
          <cell r="M165">
            <v>4.2601679999999999E-3</v>
          </cell>
          <cell r="N165">
            <v>0.167464115</v>
          </cell>
          <cell r="O165">
            <v>6.70288E-4</v>
          </cell>
          <cell r="P165">
            <v>0.23336578599999999</v>
          </cell>
          <cell r="Q165">
            <v>6.1192249999999998E-3</v>
          </cell>
          <cell r="AI165">
            <v>0.43062201</v>
          </cell>
          <cell r="AJ165">
            <v>1.178782E-3</v>
          </cell>
          <cell r="AK165">
            <v>0.37719102199999999</v>
          </cell>
          <cell r="AL165">
            <v>1.2598580999999999E-2</v>
          </cell>
          <cell r="AR165">
            <v>0.20574162700000001</v>
          </cell>
          <cell r="AS165">
            <v>7.8563500000000002E-4</v>
          </cell>
          <cell r="AT165">
            <v>0.14286457299999999</v>
          </cell>
          <cell r="AU165">
            <v>2.497768E-3</v>
          </cell>
        </row>
        <row r="166">
          <cell r="D166">
            <v>172</v>
          </cell>
          <cell r="J166">
            <v>0.20930232600000001</v>
          </cell>
          <cell r="K166">
            <v>9.6780599999999998E-4</v>
          </cell>
          <cell r="L166">
            <v>0.12447847099999999</v>
          </cell>
          <cell r="M166">
            <v>4.2601679999999999E-3</v>
          </cell>
          <cell r="N166">
            <v>0.12790697700000001</v>
          </cell>
          <cell r="O166">
            <v>6.5231999999999996E-4</v>
          </cell>
          <cell r="P166">
            <v>0.23336578599999999</v>
          </cell>
          <cell r="Q166">
            <v>6.1192249999999998E-3</v>
          </cell>
          <cell r="AI166">
            <v>0.57558139500000005</v>
          </cell>
          <cell r="AJ166">
            <v>1.4285820000000001E-3</v>
          </cell>
          <cell r="AK166">
            <v>0.37719102199999999</v>
          </cell>
          <cell r="AL166">
            <v>1.2598580999999999E-2</v>
          </cell>
          <cell r="AR166">
            <v>9.8837208999999995E-2</v>
          </cell>
          <cell r="AS166">
            <v>5.2086799999999996E-4</v>
          </cell>
          <cell r="AT166">
            <v>0.14286457299999999</v>
          </cell>
          <cell r="AU166">
            <v>2.497768E-3</v>
          </cell>
        </row>
        <row r="167">
          <cell r="D167">
            <v>221</v>
          </cell>
          <cell r="J167">
            <v>0.21719457</v>
          </cell>
          <cell r="K167">
            <v>7.7282299999999996E-4</v>
          </cell>
          <cell r="L167">
            <v>0.12447847099999999</v>
          </cell>
          <cell r="M167">
            <v>4.2601679999999999E-3</v>
          </cell>
          <cell r="N167">
            <v>0.14479638</v>
          </cell>
          <cell r="O167">
            <v>5.6286499999999996E-4</v>
          </cell>
          <cell r="P167">
            <v>0.23336578599999999</v>
          </cell>
          <cell r="Q167">
            <v>6.1192249999999998E-3</v>
          </cell>
          <cell r="AI167">
            <v>0.56108597299999996</v>
          </cell>
          <cell r="AJ167">
            <v>1.119402E-3</v>
          </cell>
          <cell r="AK167">
            <v>0.37719102199999999</v>
          </cell>
          <cell r="AL167">
            <v>1.2598580999999999E-2</v>
          </cell>
          <cell r="AR167">
            <v>0.13574660599999999</v>
          </cell>
          <cell r="AS167">
            <v>5.3326999999999997E-4</v>
          </cell>
          <cell r="AT167">
            <v>0.14286457299999999</v>
          </cell>
          <cell r="AU167">
            <v>2.497768E-3</v>
          </cell>
        </row>
        <row r="168">
          <cell r="D168">
            <v>409</v>
          </cell>
          <cell r="J168">
            <v>0.16136919299999999</v>
          </cell>
          <cell r="K168">
            <v>3.3168899999999997E-4</v>
          </cell>
          <cell r="L168">
            <v>0.12447847099999999</v>
          </cell>
          <cell r="M168">
            <v>4.2601679999999999E-3</v>
          </cell>
          <cell r="N168">
            <v>0.20293398500000001</v>
          </cell>
          <cell r="O168">
            <v>3.9645000000000001E-4</v>
          </cell>
          <cell r="P168">
            <v>0.23336578599999999</v>
          </cell>
          <cell r="Q168">
            <v>6.1192249999999998E-3</v>
          </cell>
          <cell r="AI168">
            <v>0.540342298</v>
          </cell>
          <cell r="AJ168">
            <v>6.0875600000000001E-4</v>
          </cell>
          <cell r="AK168">
            <v>0.37719102199999999</v>
          </cell>
          <cell r="AL168">
            <v>1.2598580999999999E-2</v>
          </cell>
          <cell r="AR168">
            <v>0.11002445</v>
          </cell>
          <cell r="AS168">
            <v>2.39998E-4</v>
          </cell>
          <cell r="AT168">
            <v>0.14286457299999999</v>
          </cell>
          <cell r="AU168">
            <v>2.497768E-3</v>
          </cell>
        </row>
        <row r="169">
          <cell r="D169">
            <v>348</v>
          </cell>
          <cell r="J169">
            <v>0.18390804599999999</v>
          </cell>
          <cell r="K169">
            <v>4.3252399999999999E-4</v>
          </cell>
          <cell r="L169">
            <v>0.12447847099999999</v>
          </cell>
          <cell r="M169">
            <v>4.2601679999999999E-3</v>
          </cell>
          <cell r="N169">
            <v>0.20689655200000001</v>
          </cell>
          <cell r="O169">
            <v>4.7288300000000001E-4</v>
          </cell>
          <cell r="P169">
            <v>0.23336578599999999</v>
          </cell>
          <cell r="Q169">
            <v>6.1192249999999998E-3</v>
          </cell>
          <cell r="AI169">
            <v>0.42528735600000001</v>
          </cell>
          <cell r="AJ169">
            <v>7.0437500000000003E-4</v>
          </cell>
          <cell r="AK169">
            <v>0.37719102199999999</v>
          </cell>
          <cell r="AL169">
            <v>1.2598580999999999E-2</v>
          </cell>
          <cell r="AR169">
            <v>0.18390804599999999</v>
          </cell>
          <cell r="AS169">
            <v>4.3252399999999999E-4</v>
          </cell>
          <cell r="AT169">
            <v>0.14286457299999999</v>
          </cell>
          <cell r="AU169">
            <v>2.497768E-3</v>
          </cell>
        </row>
        <row r="170">
          <cell r="D170">
            <v>514</v>
          </cell>
          <cell r="J170">
            <v>6.8093385000000006E-2</v>
          </cell>
          <cell r="K170">
            <v>1.2369700000000001E-4</v>
          </cell>
          <cell r="L170">
            <v>0.12447847099999999</v>
          </cell>
          <cell r="M170">
            <v>4.2601679999999999E-3</v>
          </cell>
          <cell r="N170">
            <v>0.34630350199999999</v>
          </cell>
          <cell r="O170">
            <v>4.4128100000000002E-4</v>
          </cell>
          <cell r="P170">
            <v>0.23336578599999999</v>
          </cell>
          <cell r="Q170">
            <v>6.1192249999999998E-3</v>
          </cell>
          <cell r="AI170">
            <v>0.34435797699999998</v>
          </cell>
          <cell r="AJ170">
            <v>4.4010799999999998E-4</v>
          </cell>
          <cell r="AK170">
            <v>0.37719102199999999</v>
          </cell>
          <cell r="AL170">
            <v>1.2598580999999999E-2</v>
          </cell>
          <cell r="AR170">
            <v>0.130350195</v>
          </cell>
          <cell r="AS170">
            <v>2.2097299999999999E-4</v>
          </cell>
          <cell r="AT170">
            <v>0.14286457299999999</v>
          </cell>
          <cell r="AU170">
            <v>2.497768E-3</v>
          </cell>
        </row>
        <row r="171">
          <cell r="D171">
            <v>983</v>
          </cell>
          <cell r="J171">
            <v>8.0366225999999999E-2</v>
          </cell>
          <cell r="K171">
            <v>7.5262199999999999E-5</v>
          </cell>
          <cell r="L171">
            <v>0.12447847099999999</v>
          </cell>
          <cell r="M171">
            <v>4.2601679999999999E-3</v>
          </cell>
          <cell r="N171">
            <v>0.368260427</v>
          </cell>
          <cell r="O171">
            <v>2.3690899999999999E-4</v>
          </cell>
          <cell r="P171">
            <v>0.23336578599999999</v>
          </cell>
          <cell r="Q171">
            <v>6.1192249999999998E-3</v>
          </cell>
          <cell r="AI171">
            <v>0.26653102699999998</v>
          </cell>
          <cell r="AJ171">
            <v>1.9907599999999999E-4</v>
          </cell>
          <cell r="AK171">
            <v>0.37719102199999999</v>
          </cell>
          <cell r="AL171">
            <v>1.2598580999999999E-2</v>
          </cell>
          <cell r="AR171">
            <v>0.13224822</v>
          </cell>
          <cell r="AS171">
            <v>1.1686199999999999E-4</v>
          </cell>
          <cell r="AT171">
            <v>0.14286457299999999</v>
          </cell>
          <cell r="AU171">
            <v>2.497768E-3</v>
          </cell>
        </row>
        <row r="172">
          <cell r="D172">
            <v>1123</v>
          </cell>
          <cell r="J172">
            <v>6.5004452000000004E-2</v>
          </cell>
          <cell r="K172">
            <v>5.4170099999999998E-5</v>
          </cell>
          <cell r="L172">
            <v>0.12447847099999999</v>
          </cell>
          <cell r="M172">
            <v>4.2601679999999999E-3</v>
          </cell>
          <cell r="N172">
            <v>0.29830810299999999</v>
          </cell>
          <cell r="O172">
            <v>1.8656E-4</v>
          </cell>
          <cell r="P172">
            <v>0.23336578599999999</v>
          </cell>
          <cell r="Q172">
            <v>6.1192249999999998E-3</v>
          </cell>
          <cell r="AI172">
            <v>0.34105075699999998</v>
          </cell>
          <cell r="AJ172">
            <v>2.00299E-4</v>
          </cell>
          <cell r="AK172">
            <v>0.37719102199999999</v>
          </cell>
          <cell r="AL172">
            <v>1.2598580999999999E-2</v>
          </cell>
          <cell r="AR172">
            <v>0.16117542300000001</v>
          </cell>
          <cell r="AS172">
            <v>1.20497E-4</v>
          </cell>
          <cell r="AT172">
            <v>0.14286457299999999</v>
          </cell>
          <cell r="AU172">
            <v>2.497768E-3</v>
          </cell>
        </row>
        <row r="173">
          <cell r="D173">
            <v>1216</v>
          </cell>
          <cell r="J173">
            <v>7.3190789000000006E-2</v>
          </cell>
          <cell r="K173">
            <v>5.58304E-5</v>
          </cell>
          <cell r="L173">
            <v>0.12447847099999999</v>
          </cell>
          <cell r="M173">
            <v>4.2601679999999999E-3</v>
          </cell>
          <cell r="N173">
            <v>0.25740131599999999</v>
          </cell>
          <cell r="O173">
            <v>1.57322E-4</v>
          </cell>
          <cell r="P173">
            <v>0.23336578599999999</v>
          </cell>
          <cell r="Q173">
            <v>6.1192249999999998E-3</v>
          </cell>
          <cell r="AI173">
            <v>0.3125</v>
          </cell>
          <cell r="AJ173">
            <v>1.7682599999999999E-4</v>
          </cell>
          <cell r="AK173">
            <v>0.37719102199999999</v>
          </cell>
          <cell r="AL173">
            <v>1.2598580999999999E-2</v>
          </cell>
          <cell r="AR173">
            <v>0.19490131599999999</v>
          </cell>
          <cell r="AS173">
            <v>1.2914799999999999E-4</v>
          </cell>
          <cell r="AT173">
            <v>0.14286457299999999</v>
          </cell>
          <cell r="AU173">
            <v>2.497768E-3</v>
          </cell>
        </row>
        <row r="174">
          <cell r="D174">
            <v>1311</v>
          </cell>
          <cell r="J174">
            <v>6.4073226999999996E-2</v>
          </cell>
          <cell r="K174">
            <v>4.5776999999999999E-5</v>
          </cell>
          <cell r="L174">
            <v>0.12447847099999999</v>
          </cell>
          <cell r="M174">
            <v>4.2601679999999999E-3</v>
          </cell>
          <cell r="N174">
            <v>0.152555301</v>
          </cell>
          <cell r="O174">
            <v>9.8688699999999996E-5</v>
          </cell>
          <cell r="P174">
            <v>0.23336578599999999</v>
          </cell>
          <cell r="Q174">
            <v>6.1192249999999998E-3</v>
          </cell>
          <cell r="AI174">
            <v>0.30892448500000003</v>
          </cell>
          <cell r="AJ174">
            <v>1.6296999999999999E-4</v>
          </cell>
          <cell r="AK174">
            <v>0.37719102199999999</v>
          </cell>
          <cell r="AL174">
            <v>1.2598580999999999E-2</v>
          </cell>
          <cell r="AR174">
            <v>0.25019069399999999</v>
          </cell>
          <cell r="AS174">
            <v>1.43203E-4</v>
          </cell>
          <cell r="AT174">
            <v>0.14286457299999999</v>
          </cell>
          <cell r="AU174">
            <v>2.497768E-3</v>
          </cell>
        </row>
        <row r="175">
          <cell r="D175">
            <v>1139</v>
          </cell>
          <cell r="J175">
            <v>7.7260755E-2</v>
          </cell>
          <cell r="K175">
            <v>6.2646300000000004E-5</v>
          </cell>
          <cell r="L175">
            <v>0.12447847099999999</v>
          </cell>
          <cell r="M175">
            <v>4.2601679999999999E-3</v>
          </cell>
          <cell r="N175">
            <v>0.27392449499999999</v>
          </cell>
          <cell r="O175">
            <v>1.74771E-4</v>
          </cell>
          <cell r="P175">
            <v>0.23336578599999999</v>
          </cell>
          <cell r="Q175">
            <v>6.1192249999999998E-3</v>
          </cell>
          <cell r="AI175">
            <v>0.23880597000000001</v>
          </cell>
          <cell r="AJ175">
            <v>1.59734E-4</v>
          </cell>
          <cell r="AK175">
            <v>0.37719102199999999</v>
          </cell>
          <cell r="AL175">
            <v>1.2598580999999999E-2</v>
          </cell>
          <cell r="AR175">
            <v>7.3748903000000005E-2</v>
          </cell>
          <cell r="AS175">
            <v>6.0026399999999998E-5</v>
          </cell>
          <cell r="AT175">
            <v>0.14286457299999999</v>
          </cell>
          <cell r="AU175">
            <v>2.497768E-3</v>
          </cell>
        </row>
        <row r="176">
          <cell r="D176">
            <v>1257</v>
          </cell>
          <cell r="J176">
            <v>8.1145585000000006E-2</v>
          </cell>
          <cell r="K176">
            <v>5.9363800000000002E-5</v>
          </cell>
          <cell r="L176">
            <v>0.12447847099999999</v>
          </cell>
          <cell r="M176">
            <v>4.2601679999999999E-3</v>
          </cell>
          <cell r="N176">
            <v>0.18615751799999999</v>
          </cell>
          <cell r="O176">
            <v>1.20623E-4</v>
          </cell>
          <cell r="P176">
            <v>0.23336578599999999</v>
          </cell>
          <cell r="Q176">
            <v>6.1192249999999998E-3</v>
          </cell>
          <cell r="AI176">
            <v>0.32617342900000001</v>
          </cell>
          <cell r="AJ176">
            <v>1.74988E-4</v>
          </cell>
          <cell r="AK176">
            <v>0.37719102199999999</v>
          </cell>
          <cell r="AL176">
            <v>1.2598580999999999E-2</v>
          </cell>
          <cell r="AR176">
            <v>0.107398568</v>
          </cell>
          <cell r="AS176">
            <v>7.6324900000000005E-5</v>
          </cell>
          <cell r="AT176">
            <v>0.14286457299999999</v>
          </cell>
          <cell r="AU176">
            <v>2.497768E-3</v>
          </cell>
        </row>
        <row r="186">
          <cell r="G186">
            <v>454</v>
          </cell>
          <cell r="H186">
            <v>420</v>
          </cell>
          <cell r="AD186">
            <v>0.95814977999999995</v>
          </cell>
          <cell r="AE186">
            <v>8.8518300000000003E-5</v>
          </cell>
          <cell r="AF186">
            <v>0.94497086500000005</v>
          </cell>
          <cell r="AG186">
            <v>1.0541039999999999E-3</v>
          </cell>
          <cell r="AM186">
            <v>0.98809523799999999</v>
          </cell>
          <cell r="AN186">
            <v>2.8074099999999999E-5</v>
          </cell>
          <cell r="AO186">
            <v>0.915492906</v>
          </cell>
          <cell r="AP186">
            <v>3.095375E-3</v>
          </cell>
          <cell r="AV186">
            <v>1.1904761999999999E-2</v>
          </cell>
          <cell r="AW186">
            <v>2.8074099999999999E-5</v>
          </cell>
          <cell r="AX186">
            <v>8.4507094000000005E-2</v>
          </cell>
          <cell r="AY186">
            <v>3.0997300000000002E-3</v>
          </cell>
        </row>
        <row r="187">
          <cell r="G187">
            <v>983</v>
          </cell>
          <cell r="H187">
            <v>614</v>
          </cell>
          <cell r="AD187">
            <v>0.97456765000000001</v>
          </cell>
          <cell r="AE187">
            <v>2.5239899999999999E-5</v>
          </cell>
          <cell r="AF187">
            <v>0.94497086500000005</v>
          </cell>
          <cell r="AG187">
            <v>1.0541039999999999E-3</v>
          </cell>
          <cell r="AM187">
            <v>0.98697068399999999</v>
          </cell>
          <cell r="AN187">
            <v>2.0978100000000002E-5</v>
          </cell>
          <cell r="AO187">
            <v>0.915492906</v>
          </cell>
          <cell r="AP187">
            <v>3.095375E-3</v>
          </cell>
          <cell r="AV187">
            <v>1.3029316000000001E-2</v>
          </cell>
          <cell r="AW187">
            <v>2.0978100000000002E-5</v>
          </cell>
          <cell r="AX187">
            <v>8.4507094000000005E-2</v>
          </cell>
          <cell r="AY187">
            <v>3.0997300000000002E-3</v>
          </cell>
        </row>
        <row r="188">
          <cell r="G188">
            <v>1173</v>
          </cell>
          <cell r="H188">
            <v>801</v>
          </cell>
          <cell r="AD188">
            <v>0.99317988099999999</v>
          </cell>
          <cell r="AE188">
            <v>5.7795299999999999E-6</v>
          </cell>
          <cell r="AF188">
            <v>0.94497086500000005</v>
          </cell>
          <cell r="AG188">
            <v>1.0541039999999999E-3</v>
          </cell>
          <cell r="AM188">
            <v>0.94631710400000002</v>
          </cell>
          <cell r="AN188">
            <v>6.3501299999999995E-5</v>
          </cell>
          <cell r="AO188">
            <v>0.915492906</v>
          </cell>
          <cell r="AP188">
            <v>3.095375E-3</v>
          </cell>
          <cell r="AV188">
            <v>5.3682896000000001E-2</v>
          </cell>
          <cell r="AW188">
            <v>6.3501299999999995E-5</v>
          </cell>
          <cell r="AX188">
            <v>8.4507094000000005E-2</v>
          </cell>
          <cell r="AY188">
            <v>3.0997300000000002E-3</v>
          </cell>
        </row>
        <row r="189">
          <cell r="G189">
            <v>710</v>
          </cell>
          <cell r="H189">
            <v>343</v>
          </cell>
          <cell r="AD189">
            <v>0.97887323900000001</v>
          </cell>
          <cell r="AE189">
            <v>2.91684E-5</v>
          </cell>
          <cell r="AF189">
            <v>0.94497086500000005</v>
          </cell>
          <cell r="AG189">
            <v>1.0541039999999999E-3</v>
          </cell>
          <cell r="AM189">
            <v>0.97084548100000001</v>
          </cell>
          <cell r="AN189">
            <v>8.2761800000000004E-5</v>
          </cell>
          <cell r="AO189">
            <v>0.915492906</v>
          </cell>
          <cell r="AP189">
            <v>3.095375E-3</v>
          </cell>
          <cell r="AV189">
            <v>2.9154519E-2</v>
          </cell>
          <cell r="AW189">
            <v>8.2761800000000004E-5</v>
          </cell>
          <cell r="AX189">
            <v>8.4507094000000005E-2</v>
          </cell>
          <cell r="AY189">
            <v>3.0997300000000002E-3</v>
          </cell>
        </row>
        <row r="190">
          <cell r="G190">
            <v>940</v>
          </cell>
          <cell r="H190">
            <v>530</v>
          </cell>
          <cell r="AD190">
            <v>0.96595744699999997</v>
          </cell>
          <cell r="AE190">
            <v>3.50199E-5</v>
          </cell>
          <cell r="AF190">
            <v>0.94497086500000005</v>
          </cell>
          <cell r="AG190">
            <v>1.0541039999999999E-3</v>
          </cell>
          <cell r="AM190">
            <v>0.94716981099999997</v>
          </cell>
          <cell r="AN190">
            <v>9.4592000000000005E-5</v>
          </cell>
          <cell r="AO190">
            <v>0.915492906</v>
          </cell>
          <cell r="AP190">
            <v>3.095375E-3</v>
          </cell>
          <cell r="AV190">
            <v>5.2830189E-2</v>
          </cell>
          <cell r="AW190">
            <v>9.4592000000000005E-5</v>
          </cell>
          <cell r="AX190">
            <v>8.4507094000000005E-2</v>
          </cell>
          <cell r="AY190">
            <v>3.0997300000000002E-3</v>
          </cell>
        </row>
        <row r="191">
          <cell r="G191">
            <v>2215</v>
          </cell>
          <cell r="H191">
            <v>695</v>
          </cell>
          <cell r="AD191">
            <v>0.97652370200000005</v>
          </cell>
          <cell r="AE191">
            <v>1.0354600000000001E-5</v>
          </cell>
          <cell r="AF191">
            <v>0.94497086500000005</v>
          </cell>
          <cell r="AG191">
            <v>1.0541039999999999E-3</v>
          </cell>
          <cell r="AM191">
            <v>0.92230215800000004</v>
          </cell>
          <cell r="AN191">
            <v>1.0325800000000001E-4</v>
          </cell>
          <cell r="AO191">
            <v>0.915492906</v>
          </cell>
          <cell r="AP191">
            <v>3.095375E-3</v>
          </cell>
          <cell r="AV191">
            <v>7.7697842000000003E-2</v>
          </cell>
          <cell r="AW191">
            <v>1.0325800000000001E-4</v>
          </cell>
          <cell r="AX191">
            <v>8.4507094000000005E-2</v>
          </cell>
          <cell r="AY191">
            <v>3.0997300000000002E-3</v>
          </cell>
        </row>
        <row r="192">
          <cell r="G192">
            <v>1908</v>
          </cell>
          <cell r="H192">
            <v>758</v>
          </cell>
          <cell r="AD192">
            <v>0.95702306100000001</v>
          </cell>
          <cell r="AE192">
            <v>2.1567900000000001E-5</v>
          </cell>
          <cell r="AF192">
            <v>0.94497086500000005</v>
          </cell>
          <cell r="AG192">
            <v>1.0541039999999999E-3</v>
          </cell>
          <cell r="AM192">
            <v>0.90105540900000003</v>
          </cell>
          <cell r="AN192">
            <v>1.17774E-4</v>
          </cell>
          <cell r="AO192">
            <v>0.915492906</v>
          </cell>
          <cell r="AP192">
            <v>3.095375E-3</v>
          </cell>
          <cell r="AV192">
            <v>9.8944590999999998E-2</v>
          </cell>
          <cell r="AW192">
            <v>1.17774E-4</v>
          </cell>
          <cell r="AX192">
            <v>8.4507094000000005E-2</v>
          </cell>
          <cell r="AY192">
            <v>3.0997300000000002E-3</v>
          </cell>
        </row>
        <row r="193">
          <cell r="G193">
            <v>2447</v>
          </cell>
          <cell r="H193">
            <v>743</v>
          </cell>
          <cell r="AD193">
            <v>0.92766652999999999</v>
          </cell>
          <cell r="AE193">
            <v>2.74331E-5</v>
          </cell>
          <cell r="AF193">
            <v>0.94497086500000005</v>
          </cell>
          <cell r="AG193">
            <v>1.0541039999999999E-3</v>
          </cell>
          <cell r="AM193">
            <v>0.868102288</v>
          </cell>
          <cell r="AN193">
            <v>1.5431399999999999E-4</v>
          </cell>
          <cell r="AO193">
            <v>0.915492906</v>
          </cell>
          <cell r="AP193">
            <v>3.095375E-3</v>
          </cell>
          <cell r="AV193">
            <v>0.131897712</v>
          </cell>
          <cell r="AW193">
            <v>1.5431399999999999E-4</v>
          </cell>
          <cell r="AX193">
            <v>8.4507094000000005E-2</v>
          </cell>
          <cell r="AY193">
            <v>3.0997300000000002E-3</v>
          </cell>
        </row>
        <row r="194">
          <cell r="G194">
            <v>2095</v>
          </cell>
          <cell r="H194">
            <v>824</v>
          </cell>
          <cell r="AD194">
            <v>0.93317422400000005</v>
          </cell>
          <cell r="AE194">
            <v>2.97804E-5</v>
          </cell>
          <cell r="AF194">
            <v>0.94497086500000005</v>
          </cell>
          <cell r="AG194">
            <v>1.0541039999999999E-3</v>
          </cell>
          <cell r="AM194">
            <v>0.875</v>
          </cell>
          <cell r="AN194">
            <v>1.32898E-4</v>
          </cell>
          <cell r="AO194">
            <v>0.915492906</v>
          </cell>
          <cell r="AP194">
            <v>3.095375E-3</v>
          </cell>
          <cell r="AV194">
            <v>0.125</v>
          </cell>
          <cell r="AW194">
            <v>1.32898E-4</v>
          </cell>
          <cell r="AX194">
            <v>8.4507094000000005E-2</v>
          </cell>
          <cell r="AY194">
            <v>3.0997300000000002E-3</v>
          </cell>
        </row>
        <row r="195">
          <cell r="G195">
            <v>2389</v>
          </cell>
          <cell r="H195">
            <v>984</v>
          </cell>
          <cell r="AD195">
            <v>0.95144411900000003</v>
          </cell>
          <cell r="AE195">
            <v>1.9346000000000001E-5</v>
          </cell>
          <cell r="AF195">
            <v>0.94497086500000005</v>
          </cell>
          <cell r="AG195">
            <v>1.0541039999999999E-3</v>
          </cell>
          <cell r="AM195">
            <v>0.90345528500000005</v>
          </cell>
          <cell r="AN195">
            <v>8.8732299999999997E-5</v>
          </cell>
          <cell r="AO195">
            <v>0.915492906</v>
          </cell>
          <cell r="AP195">
            <v>3.095375E-3</v>
          </cell>
          <cell r="AV195">
            <v>9.6544715000000003E-2</v>
          </cell>
          <cell r="AW195">
            <v>8.8732299999999997E-5</v>
          </cell>
          <cell r="AX195">
            <v>8.4507094000000005E-2</v>
          </cell>
          <cell r="AY195">
            <v>3.0997300000000002E-3</v>
          </cell>
        </row>
        <row r="196">
          <cell r="G196">
            <v>2060</v>
          </cell>
          <cell r="H196">
            <v>748</v>
          </cell>
          <cell r="AD196">
            <v>0.90388349499999998</v>
          </cell>
          <cell r="AE196">
            <v>4.2194299999999997E-5</v>
          </cell>
          <cell r="AF196">
            <v>0.94497086500000005</v>
          </cell>
          <cell r="AG196">
            <v>1.0541039999999999E-3</v>
          </cell>
          <cell r="AM196">
            <v>0.93048128299999999</v>
          </cell>
          <cell r="AN196">
            <v>8.6594200000000005E-5</v>
          </cell>
          <cell r="AO196">
            <v>0.915492906</v>
          </cell>
          <cell r="AP196">
            <v>3.095375E-3</v>
          </cell>
          <cell r="AV196">
            <v>6.9518716999999994E-2</v>
          </cell>
          <cell r="AW196">
            <v>8.6594200000000005E-5</v>
          </cell>
          <cell r="AX196">
            <v>8.4507094000000005E-2</v>
          </cell>
          <cell r="AY196">
            <v>3.0997300000000002E-3</v>
          </cell>
        </row>
        <row r="197">
          <cell r="G197">
            <v>2635</v>
          </cell>
          <cell r="H197">
            <v>598</v>
          </cell>
          <cell r="AD197">
            <v>0.90132827299999996</v>
          </cell>
          <cell r="AE197">
            <v>3.3764499999999998E-5</v>
          </cell>
          <cell r="AF197">
            <v>0.94497086500000005</v>
          </cell>
          <cell r="AG197">
            <v>1.0541039999999999E-3</v>
          </cell>
          <cell r="AM197">
            <v>0.91806020099999996</v>
          </cell>
          <cell r="AN197">
            <v>1.2600600000000001E-4</v>
          </cell>
          <cell r="AO197">
            <v>0.915492906</v>
          </cell>
          <cell r="AP197">
            <v>3.095375E-3</v>
          </cell>
          <cell r="AV197">
            <v>8.1939798999999994E-2</v>
          </cell>
          <cell r="AW197">
            <v>1.2600600000000001E-4</v>
          </cell>
          <cell r="AX197">
            <v>8.4507094000000005E-2</v>
          </cell>
          <cell r="AY197">
            <v>3.0997300000000002E-3</v>
          </cell>
        </row>
        <row r="198">
          <cell r="G198">
            <v>3199</v>
          </cell>
          <cell r="H198">
            <v>568</v>
          </cell>
          <cell r="AD198">
            <v>0.91278524500000002</v>
          </cell>
          <cell r="AE198">
            <v>2.4893200000000001E-5</v>
          </cell>
          <cell r="AF198">
            <v>0.94497086500000005</v>
          </cell>
          <cell r="AG198">
            <v>1.0541039999999999E-3</v>
          </cell>
          <cell r="AM198">
            <v>0.88204225400000003</v>
          </cell>
          <cell r="AN198">
            <v>1.83499E-4</v>
          </cell>
          <cell r="AO198">
            <v>0.915492906</v>
          </cell>
          <cell r="AP198">
            <v>3.095375E-3</v>
          </cell>
          <cell r="AV198">
            <v>0.117957746</v>
          </cell>
          <cell r="AW198">
            <v>1.83499E-4</v>
          </cell>
          <cell r="AX198">
            <v>8.4507094000000005E-2</v>
          </cell>
          <cell r="AY198">
            <v>3.0997300000000002E-3</v>
          </cell>
        </row>
        <row r="208">
          <cell r="D208">
            <v>66</v>
          </cell>
          <cell r="J208">
            <v>0.393939394</v>
          </cell>
          <cell r="K208">
            <v>3.6730949999999999E-3</v>
          </cell>
          <cell r="L208">
            <v>0.19025525099999999</v>
          </cell>
          <cell r="M208">
            <v>1.3070167000000001E-2</v>
          </cell>
          <cell r="N208">
            <v>0.37878787899999999</v>
          </cell>
          <cell r="O208">
            <v>3.620117E-3</v>
          </cell>
          <cell r="P208">
            <v>0.60406434499999995</v>
          </cell>
          <cell r="Q208">
            <v>2.2998472999999998E-2</v>
          </cell>
          <cell r="AI208">
            <v>0.56060606099999999</v>
          </cell>
          <cell r="AJ208">
            <v>3.7896449999999999E-3</v>
          </cell>
          <cell r="AK208">
            <v>0.32828362700000002</v>
          </cell>
          <cell r="AL208">
            <v>2.2094531000000001E-2</v>
          </cell>
          <cell r="AR208">
            <v>6.0606061000000003E-2</v>
          </cell>
          <cell r="AS208">
            <v>8.7589199999999997E-4</v>
          </cell>
          <cell r="AT208">
            <v>2.6213604000000001E-2</v>
          </cell>
          <cell r="AU208">
            <v>5.4350899999999996E-4</v>
          </cell>
        </row>
        <row r="209">
          <cell r="D209">
            <v>61</v>
          </cell>
          <cell r="J209">
            <v>0.44262295099999999</v>
          </cell>
          <cell r="K209">
            <v>4.1117979999999998E-3</v>
          </cell>
          <cell r="L209">
            <v>0.19025525099999999</v>
          </cell>
          <cell r="M209">
            <v>1.3070167000000001E-2</v>
          </cell>
          <cell r="N209">
            <v>0.32786885199999999</v>
          </cell>
          <cell r="O209">
            <v>3.6728479999999998E-3</v>
          </cell>
          <cell r="P209">
            <v>0.60406434499999995</v>
          </cell>
          <cell r="Q209">
            <v>2.2998472999999998E-2</v>
          </cell>
          <cell r="AI209">
            <v>0.63934426200000005</v>
          </cell>
          <cell r="AJ209">
            <v>3.8430529999999999E-3</v>
          </cell>
          <cell r="AK209">
            <v>0.32828362700000002</v>
          </cell>
          <cell r="AL209">
            <v>2.2094531000000001E-2</v>
          </cell>
          <cell r="AR209">
            <v>1.6393443000000001E-2</v>
          </cell>
          <cell r="AS209">
            <v>2.6874499999999998E-4</v>
          </cell>
          <cell r="AT209">
            <v>2.6213604000000001E-2</v>
          </cell>
          <cell r="AU209">
            <v>5.4350899999999996E-4</v>
          </cell>
        </row>
        <row r="210">
          <cell r="D210">
            <v>101</v>
          </cell>
          <cell r="J210">
            <v>0.19801980199999999</v>
          </cell>
          <cell r="K210">
            <v>1.58808E-3</v>
          </cell>
          <cell r="L210">
            <v>0.19025525099999999</v>
          </cell>
          <cell r="M210">
            <v>1.3070167000000001E-2</v>
          </cell>
          <cell r="N210">
            <v>0.63366336599999995</v>
          </cell>
          <cell r="O210">
            <v>2.3213410000000002E-3</v>
          </cell>
          <cell r="P210">
            <v>0.60406434499999995</v>
          </cell>
          <cell r="Q210">
            <v>2.2998472999999998E-2</v>
          </cell>
          <cell r="AI210">
            <v>0.27722772299999998</v>
          </cell>
          <cell r="AJ210">
            <v>2.003725E-3</v>
          </cell>
          <cell r="AK210">
            <v>0.32828362700000002</v>
          </cell>
          <cell r="AL210">
            <v>2.2094531000000001E-2</v>
          </cell>
          <cell r="AR210">
            <v>7.9207921000000001E-2</v>
          </cell>
          <cell r="AS210">
            <v>7.2933999999999998E-4</v>
          </cell>
          <cell r="AT210">
            <v>2.6213604000000001E-2</v>
          </cell>
          <cell r="AU210">
            <v>5.4350899999999996E-4</v>
          </cell>
        </row>
        <row r="211">
          <cell r="D211">
            <v>78</v>
          </cell>
          <cell r="J211">
            <v>0.23076923099999999</v>
          </cell>
          <cell r="K211">
            <v>2.3053869999999999E-3</v>
          </cell>
          <cell r="L211">
            <v>0.19025525099999999</v>
          </cell>
          <cell r="M211">
            <v>1.3070167000000001E-2</v>
          </cell>
          <cell r="N211">
            <v>0.35897435900000002</v>
          </cell>
          <cell r="O211">
            <v>2.988465E-3</v>
          </cell>
          <cell r="P211">
            <v>0.60406434499999995</v>
          </cell>
          <cell r="Q211">
            <v>2.2998472999999998E-2</v>
          </cell>
          <cell r="AI211">
            <v>0.448717949</v>
          </cell>
          <cell r="AJ211">
            <v>3.212599E-3</v>
          </cell>
          <cell r="AK211">
            <v>0.32828362700000002</v>
          </cell>
          <cell r="AL211">
            <v>2.2094531000000001E-2</v>
          </cell>
          <cell r="AR211">
            <v>5.1282051000000002E-2</v>
          </cell>
          <cell r="AS211">
            <v>6.3184700000000005E-4</v>
          </cell>
          <cell r="AT211">
            <v>2.6213604000000001E-2</v>
          </cell>
          <cell r="AU211">
            <v>5.4350899999999996E-4</v>
          </cell>
        </row>
        <row r="212">
          <cell r="D212">
            <v>162</v>
          </cell>
          <cell r="J212">
            <v>0.27160493800000002</v>
          </cell>
          <cell r="K212">
            <v>1.2287929999999999E-3</v>
          </cell>
          <cell r="L212">
            <v>0.19025525099999999</v>
          </cell>
          <cell r="M212">
            <v>1.3070167000000001E-2</v>
          </cell>
          <cell r="N212">
            <v>0.54938271599999999</v>
          </cell>
          <cell r="O212">
            <v>1.537648E-3</v>
          </cell>
          <cell r="P212">
            <v>0.60406434499999995</v>
          </cell>
          <cell r="Q212">
            <v>2.2998472999999998E-2</v>
          </cell>
          <cell r="AI212">
            <v>0.42592592600000001</v>
          </cell>
          <cell r="AJ212">
            <v>1.518714E-3</v>
          </cell>
          <cell r="AK212">
            <v>0.32828362700000002</v>
          </cell>
          <cell r="AL212">
            <v>2.2094531000000001E-2</v>
          </cell>
          <cell r="AR212">
            <v>0</v>
          </cell>
          <cell r="AS212">
            <v>0</v>
          </cell>
          <cell r="AT212">
            <v>2.6213604000000001E-2</v>
          </cell>
          <cell r="AU212">
            <v>5.4350899999999996E-4</v>
          </cell>
        </row>
        <row r="213">
          <cell r="D213">
            <v>165</v>
          </cell>
          <cell r="J213">
            <v>0.212121212</v>
          </cell>
          <cell r="K213">
            <v>1.01906E-3</v>
          </cell>
          <cell r="L213">
            <v>0.19025525099999999</v>
          </cell>
          <cell r="M213">
            <v>1.3070167000000001E-2</v>
          </cell>
          <cell r="N213">
            <v>0.55151515200000001</v>
          </cell>
          <cell r="O213">
            <v>1.508208E-3</v>
          </cell>
          <cell r="P213">
            <v>0.60406434499999995</v>
          </cell>
          <cell r="Q213">
            <v>2.2998472999999998E-2</v>
          </cell>
          <cell r="AI213">
            <v>0.37575757599999998</v>
          </cell>
          <cell r="AJ213">
            <v>1.430267E-3</v>
          </cell>
          <cell r="AK213">
            <v>0.32828362700000002</v>
          </cell>
          <cell r="AL213">
            <v>2.2094531000000001E-2</v>
          </cell>
          <cell r="AR213">
            <v>3.6363635999999998E-2</v>
          </cell>
          <cell r="AS213">
            <v>2.1366700000000001E-4</v>
          </cell>
          <cell r="AT213">
            <v>2.6213604000000001E-2</v>
          </cell>
          <cell r="AU213">
            <v>5.4350899999999996E-4</v>
          </cell>
        </row>
        <row r="214">
          <cell r="D214">
            <v>257</v>
          </cell>
          <cell r="J214">
            <v>0.13618677000000001</v>
          </cell>
          <cell r="K214">
            <v>4.59531E-4</v>
          </cell>
          <cell r="L214">
            <v>0.19025525099999999</v>
          </cell>
          <cell r="M214">
            <v>1.3070167000000001E-2</v>
          </cell>
          <cell r="N214">
            <v>0.68093385200000001</v>
          </cell>
          <cell r="O214">
            <v>8.4868300000000003E-4</v>
          </cell>
          <cell r="P214">
            <v>0.60406434499999995</v>
          </cell>
          <cell r="Q214">
            <v>2.2998472999999998E-2</v>
          </cell>
          <cell r="AI214">
            <v>0.28793774300000002</v>
          </cell>
          <cell r="AJ214">
            <v>8.0089699999999996E-4</v>
          </cell>
          <cell r="AK214">
            <v>0.32828362700000002</v>
          </cell>
          <cell r="AL214">
            <v>2.2094531000000001E-2</v>
          </cell>
          <cell r="AR214">
            <v>1.5564201999999999E-2</v>
          </cell>
          <cell r="AS214">
            <v>5.9851400000000001E-5</v>
          </cell>
          <cell r="AT214">
            <v>2.6213604000000001E-2</v>
          </cell>
          <cell r="AU214">
            <v>5.4350899999999996E-4</v>
          </cell>
        </row>
        <row r="215">
          <cell r="D215">
            <v>306</v>
          </cell>
          <cell r="J215">
            <v>0.130718954</v>
          </cell>
          <cell r="K215">
            <v>3.72562E-4</v>
          </cell>
          <cell r="L215">
            <v>0.19025525099999999</v>
          </cell>
          <cell r="M215">
            <v>1.3070167000000001E-2</v>
          </cell>
          <cell r="N215">
            <v>0.67973856200000005</v>
          </cell>
          <cell r="O215">
            <v>7.1375099999999999E-4</v>
          </cell>
          <cell r="P215">
            <v>0.60406434499999995</v>
          </cell>
          <cell r="Q215">
            <v>2.2998472999999998E-2</v>
          </cell>
          <cell r="AI215">
            <v>0.27777777799999998</v>
          </cell>
          <cell r="AJ215">
            <v>6.57762E-4</v>
          </cell>
          <cell r="AK215">
            <v>0.32828362700000002</v>
          </cell>
          <cell r="AL215">
            <v>2.2094531000000001E-2</v>
          </cell>
          <cell r="AR215">
            <v>1.3071895E-2</v>
          </cell>
          <cell r="AS215">
            <v>4.2298400000000001E-5</v>
          </cell>
          <cell r="AT215">
            <v>2.6213604000000001E-2</v>
          </cell>
          <cell r="AU215">
            <v>5.4350899999999996E-4</v>
          </cell>
        </row>
        <row r="216">
          <cell r="D216">
            <v>424</v>
          </cell>
          <cell r="J216">
            <v>7.0754716999999995E-2</v>
          </cell>
          <cell r="K216">
            <v>1.55434E-4</v>
          </cell>
          <cell r="L216">
            <v>0.19025525099999999</v>
          </cell>
          <cell r="M216">
            <v>1.3070167000000001E-2</v>
          </cell>
          <cell r="N216">
            <v>0.77358490599999996</v>
          </cell>
          <cell r="O216">
            <v>4.1406899999999998E-4</v>
          </cell>
          <cell r="P216">
            <v>0.60406434499999995</v>
          </cell>
          <cell r="Q216">
            <v>2.2998472999999998E-2</v>
          </cell>
          <cell r="AI216">
            <v>0.16745283</v>
          </cell>
          <cell r="AJ216">
            <v>3.2958E-4</v>
          </cell>
          <cell r="AK216">
            <v>0.32828362700000002</v>
          </cell>
          <cell r="AL216">
            <v>2.2094531000000001E-2</v>
          </cell>
          <cell r="AR216">
            <v>1.4150942999999999E-2</v>
          </cell>
          <cell r="AS216">
            <v>3.29804E-5</v>
          </cell>
          <cell r="AT216">
            <v>2.6213604000000001E-2</v>
          </cell>
          <cell r="AU216">
            <v>5.4350899999999996E-4</v>
          </cell>
        </row>
        <row r="217">
          <cell r="D217">
            <v>313</v>
          </cell>
          <cell r="J217">
            <v>0.17891373799999999</v>
          </cell>
          <cell r="K217">
            <v>4.7084500000000001E-4</v>
          </cell>
          <cell r="L217">
            <v>0.19025525099999999</v>
          </cell>
          <cell r="M217">
            <v>1.3070167000000001E-2</v>
          </cell>
          <cell r="N217">
            <v>0.619808307</v>
          </cell>
          <cell r="O217">
            <v>7.5527600000000004E-4</v>
          </cell>
          <cell r="P217">
            <v>0.60406434499999995</v>
          </cell>
          <cell r="Q217">
            <v>2.2998472999999998E-2</v>
          </cell>
          <cell r="AI217">
            <v>0.35143770000000002</v>
          </cell>
          <cell r="AJ217">
            <v>7.3054200000000004E-4</v>
          </cell>
          <cell r="AK217">
            <v>0.32828362700000002</v>
          </cell>
          <cell r="AL217">
            <v>2.2094531000000001E-2</v>
          </cell>
          <cell r="AR217">
            <v>1.2779553000000001E-2</v>
          </cell>
          <cell r="AS217">
            <v>4.0436699999999999E-5</v>
          </cell>
          <cell r="AT217">
            <v>2.6213604000000001E-2</v>
          </cell>
          <cell r="AU217">
            <v>5.4350899999999996E-4</v>
          </cell>
        </row>
        <row r="218">
          <cell r="D218">
            <v>502</v>
          </cell>
          <cell r="J218">
            <v>0.109561753</v>
          </cell>
          <cell r="K218">
            <v>1.9472599999999999E-4</v>
          </cell>
          <cell r="L218">
            <v>0.19025525099999999</v>
          </cell>
          <cell r="M218">
            <v>1.3070167000000001E-2</v>
          </cell>
          <cell r="N218">
            <v>0.67330677299999997</v>
          </cell>
          <cell r="O218">
            <v>4.3905099999999998E-4</v>
          </cell>
          <cell r="P218">
            <v>0.60406434499999995</v>
          </cell>
          <cell r="Q218">
            <v>2.2998472999999998E-2</v>
          </cell>
          <cell r="AI218">
            <v>0.25896414299999998</v>
          </cell>
          <cell r="AJ218">
            <v>3.8303700000000003E-4</v>
          </cell>
          <cell r="AK218">
            <v>0.32828362700000002</v>
          </cell>
          <cell r="AL218">
            <v>2.2094531000000001E-2</v>
          </cell>
          <cell r="AR218">
            <v>9.9601589999999997E-3</v>
          </cell>
          <cell r="AS218">
            <v>1.96825E-5</v>
          </cell>
          <cell r="AT218">
            <v>2.6213604000000001E-2</v>
          </cell>
          <cell r="AU218">
            <v>5.4350899999999996E-4</v>
          </cell>
        </row>
        <row r="219">
          <cell r="D219">
            <v>513</v>
          </cell>
          <cell r="J219">
            <v>0.10331384</v>
          </cell>
          <cell r="K219">
            <v>1.8093800000000001E-4</v>
          </cell>
          <cell r="L219">
            <v>0.19025525099999999</v>
          </cell>
          <cell r="M219">
            <v>1.3070167000000001E-2</v>
          </cell>
          <cell r="N219">
            <v>0.74463937599999996</v>
          </cell>
          <cell r="O219">
            <v>3.7138999999999998E-4</v>
          </cell>
          <cell r="P219">
            <v>0.60406434499999995</v>
          </cell>
          <cell r="Q219">
            <v>2.2998472999999998E-2</v>
          </cell>
          <cell r="AI219">
            <v>0.16959064300000001</v>
          </cell>
          <cell r="AJ219">
            <v>2.7505800000000001E-4</v>
          </cell>
          <cell r="AK219">
            <v>0.32828362700000002</v>
          </cell>
          <cell r="AL219">
            <v>2.2094531000000001E-2</v>
          </cell>
          <cell r="AR219">
            <v>9.7465889999999999E-3</v>
          </cell>
          <cell r="AS219">
            <v>1.8850799999999999E-5</v>
          </cell>
          <cell r="AT219">
            <v>2.6213604000000001E-2</v>
          </cell>
          <cell r="AU219">
            <v>5.4350899999999996E-4</v>
          </cell>
        </row>
        <row r="220">
          <cell r="D220">
            <v>471</v>
          </cell>
          <cell r="J220">
            <v>0.10191082799999999</v>
          </cell>
          <cell r="K220">
            <v>1.9473400000000001E-4</v>
          </cell>
          <cell r="L220">
            <v>0.19025525099999999</v>
          </cell>
          <cell r="M220">
            <v>1.3070167000000001E-2</v>
          </cell>
          <cell r="N220">
            <v>0.73885350299999997</v>
          </cell>
          <cell r="O220">
            <v>4.1052999999999999E-4</v>
          </cell>
          <cell r="P220">
            <v>0.60406434499999995</v>
          </cell>
          <cell r="Q220">
            <v>2.2998472999999998E-2</v>
          </cell>
          <cell r="AI220">
            <v>0.18895966</v>
          </cell>
          <cell r="AJ220">
            <v>3.26072E-4</v>
          </cell>
          <cell r="AK220">
            <v>0.32828362700000002</v>
          </cell>
          <cell r="AL220">
            <v>2.2094531000000001E-2</v>
          </cell>
          <cell r="AR220">
            <v>1.6985138E-2</v>
          </cell>
          <cell r="AS220">
            <v>3.5524800000000002E-5</v>
          </cell>
          <cell r="AT220">
            <v>2.6213604000000001E-2</v>
          </cell>
          <cell r="AU220">
            <v>5.4350899999999996E-4</v>
          </cell>
        </row>
        <row r="230">
          <cell r="G230">
            <v>364</v>
          </cell>
          <cell r="H230">
            <v>626</v>
          </cell>
          <cell r="AD230">
            <v>0.87912087900000002</v>
          </cell>
          <cell r="AE230">
            <v>2.9274800000000001E-4</v>
          </cell>
          <cell r="AF230">
            <v>0.82777370100000003</v>
          </cell>
          <cell r="AG230">
            <v>4.4111050000000002E-3</v>
          </cell>
          <cell r="AM230">
            <v>0.80670926499999995</v>
          </cell>
          <cell r="AN230">
            <v>2.4948700000000001E-4</v>
          </cell>
          <cell r="AO230">
            <v>0.82773213099999998</v>
          </cell>
          <cell r="AP230">
            <v>1.0723709999999999E-3</v>
          </cell>
          <cell r="AV230">
            <v>0.19329073499999999</v>
          </cell>
          <cell r="AW230">
            <v>2.4948700000000001E-4</v>
          </cell>
          <cell r="AX230">
            <v>0.17226786899999999</v>
          </cell>
          <cell r="AY230">
            <v>1.0741590000000001E-3</v>
          </cell>
        </row>
        <row r="231">
          <cell r="G231">
            <v>204</v>
          </cell>
          <cell r="H231">
            <v>821</v>
          </cell>
          <cell r="AD231">
            <v>0.735294118</v>
          </cell>
          <cell r="AE231">
            <v>9.5880100000000001E-4</v>
          </cell>
          <cell r="AF231">
            <v>0.82777370100000003</v>
          </cell>
          <cell r="AG231">
            <v>4.4111050000000002E-3</v>
          </cell>
          <cell r="AM231">
            <v>0.78806333699999997</v>
          </cell>
          <cell r="AN231">
            <v>2.0368200000000001E-4</v>
          </cell>
          <cell r="AO231">
            <v>0.82773213099999998</v>
          </cell>
          <cell r="AP231">
            <v>1.0723709999999999E-3</v>
          </cell>
          <cell r="AV231">
            <v>0.211936663</v>
          </cell>
          <cell r="AW231">
            <v>2.0368200000000001E-4</v>
          </cell>
          <cell r="AX231">
            <v>0.17226786899999999</v>
          </cell>
          <cell r="AY231">
            <v>1.0741590000000001E-3</v>
          </cell>
        </row>
        <row r="232">
          <cell r="G232">
            <v>254</v>
          </cell>
          <cell r="H232">
            <v>576</v>
          </cell>
          <cell r="AD232">
            <v>0.90157480300000004</v>
          </cell>
          <cell r="AE232">
            <v>3.5074200000000002E-4</v>
          </cell>
          <cell r="AF232">
            <v>0.82777370100000003</v>
          </cell>
          <cell r="AG232">
            <v>4.4111050000000002E-3</v>
          </cell>
          <cell r="AM232">
            <v>0.87847222199999997</v>
          </cell>
          <cell r="AN232">
            <v>1.8566700000000001E-4</v>
          </cell>
          <cell r="AO232">
            <v>0.82773213099999998</v>
          </cell>
          <cell r="AP232">
            <v>1.0723709999999999E-3</v>
          </cell>
          <cell r="AV232">
            <v>0.121527778</v>
          </cell>
          <cell r="AW232">
            <v>1.8566700000000001E-4</v>
          </cell>
          <cell r="AX232">
            <v>0.17226786899999999</v>
          </cell>
          <cell r="AY232">
            <v>1.0741590000000001E-3</v>
          </cell>
        </row>
        <row r="233">
          <cell r="G233">
            <v>375</v>
          </cell>
          <cell r="H233">
            <v>731</v>
          </cell>
          <cell r="AD233">
            <v>0.85066666700000004</v>
          </cell>
          <cell r="AE233">
            <v>3.3965999999999998E-4</v>
          </cell>
          <cell r="AF233">
            <v>0.82777370100000003</v>
          </cell>
          <cell r="AG233">
            <v>4.4111050000000002E-3</v>
          </cell>
          <cell r="AM233">
            <v>0.88645690799999999</v>
          </cell>
          <cell r="AN233">
            <v>1.37878E-4</v>
          </cell>
          <cell r="AO233">
            <v>0.82773213099999998</v>
          </cell>
          <cell r="AP233">
            <v>1.0723709999999999E-3</v>
          </cell>
          <cell r="AV233">
            <v>0.113543092</v>
          </cell>
          <cell r="AW233">
            <v>1.37878E-4</v>
          </cell>
          <cell r="AX233">
            <v>0.17226786899999999</v>
          </cell>
          <cell r="AY233">
            <v>1.0741590000000001E-3</v>
          </cell>
        </row>
        <row r="234">
          <cell r="G234">
            <v>390</v>
          </cell>
          <cell r="H234">
            <v>729</v>
          </cell>
          <cell r="AD234">
            <v>0.90256410300000001</v>
          </cell>
          <cell r="AE234">
            <v>2.2607200000000001E-4</v>
          </cell>
          <cell r="AF234">
            <v>0.82777370100000003</v>
          </cell>
          <cell r="AG234">
            <v>4.4111050000000002E-3</v>
          </cell>
          <cell r="AM234">
            <v>0.82578875200000001</v>
          </cell>
          <cell r="AN234">
            <v>1.97612E-4</v>
          </cell>
          <cell r="AO234">
            <v>0.82773213099999998</v>
          </cell>
          <cell r="AP234">
            <v>1.0723709999999999E-3</v>
          </cell>
          <cell r="AV234">
            <v>0.17421124800000001</v>
          </cell>
          <cell r="AW234">
            <v>1.97612E-4</v>
          </cell>
          <cell r="AX234">
            <v>0.17226786899999999</v>
          </cell>
          <cell r="AY234">
            <v>1.0741590000000001E-3</v>
          </cell>
        </row>
        <row r="235">
          <cell r="G235">
            <v>963</v>
          </cell>
          <cell r="H235">
            <v>836</v>
          </cell>
          <cell r="AD235">
            <v>0.84631360300000003</v>
          </cell>
          <cell r="AE235">
            <v>1.35205E-4</v>
          </cell>
          <cell r="AF235">
            <v>0.82777370100000003</v>
          </cell>
          <cell r="AG235">
            <v>4.4111050000000002E-3</v>
          </cell>
          <cell r="AM235">
            <v>0.83732057400000004</v>
          </cell>
          <cell r="AN235">
            <v>1.63132E-4</v>
          </cell>
          <cell r="AO235">
            <v>0.82773213099999998</v>
          </cell>
          <cell r="AP235">
            <v>1.0723709999999999E-3</v>
          </cell>
          <cell r="AV235">
            <v>0.16267942599999999</v>
          </cell>
          <cell r="AW235">
            <v>1.63132E-4</v>
          </cell>
          <cell r="AX235">
            <v>0.17226786899999999</v>
          </cell>
          <cell r="AY235">
            <v>1.0741590000000001E-3</v>
          </cell>
        </row>
        <row r="236">
          <cell r="G236">
            <v>487</v>
          </cell>
          <cell r="H236">
            <v>801</v>
          </cell>
          <cell r="AD236">
            <v>0.89322381900000003</v>
          </cell>
          <cell r="AE236">
            <v>1.96245E-4</v>
          </cell>
          <cell r="AF236">
            <v>0.82777370100000003</v>
          </cell>
          <cell r="AG236">
            <v>4.4111050000000002E-3</v>
          </cell>
          <cell r="AM236">
            <v>0.856429463</v>
          </cell>
          <cell r="AN236">
            <v>1.5369799999999999E-4</v>
          </cell>
          <cell r="AO236">
            <v>0.82773213099999998</v>
          </cell>
          <cell r="AP236">
            <v>1.0723709999999999E-3</v>
          </cell>
          <cell r="AV236">
            <v>0.143570537</v>
          </cell>
          <cell r="AW236">
            <v>1.5369799999999999E-4</v>
          </cell>
          <cell r="AX236">
            <v>0.17226786899999999</v>
          </cell>
          <cell r="AY236">
            <v>1.0741590000000001E-3</v>
          </cell>
        </row>
        <row r="237">
          <cell r="G237">
            <v>457</v>
          </cell>
          <cell r="H237">
            <v>675</v>
          </cell>
          <cell r="AD237">
            <v>0.81181619299999996</v>
          </cell>
          <cell r="AE237">
            <v>3.3502299999999999E-4</v>
          </cell>
          <cell r="AF237">
            <v>0.82777370100000003</v>
          </cell>
          <cell r="AG237">
            <v>4.4111050000000002E-3</v>
          </cell>
          <cell r="AM237">
            <v>0.82814814800000003</v>
          </cell>
          <cell r="AN237">
            <v>2.1115500000000001E-4</v>
          </cell>
          <cell r="AO237">
            <v>0.82773213099999998</v>
          </cell>
          <cell r="AP237">
            <v>1.0723709999999999E-3</v>
          </cell>
          <cell r="AV237">
            <v>0.171851852</v>
          </cell>
          <cell r="AW237">
            <v>2.1115500000000001E-4</v>
          </cell>
          <cell r="AX237">
            <v>0.17226786899999999</v>
          </cell>
          <cell r="AY237">
            <v>1.0741590000000001E-3</v>
          </cell>
        </row>
        <row r="238">
          <cell r="G238">
            <v>557</v>
          </cell>
          <cell r="H238">
            <v>1423</v>
          </cell>
          <cell r="AD238">
            <v>0.84560143600000004</v>
          </cell>
          <cell r="AE238">
            <v>2.3482E-4</v>
          </cell>
          <cell r="AF238">
            <v>0.82777370100000003</v>
          </cell>
          <cell r="AG238">
            <v>4.4111050000000002E-3</v>
          </cell>
          <cell r="AM238">
            <v>0.78004216400000004</v>
          </cell>
          <cell r="AN238">
            <v>1.20658E-4</v>
          </cell>
          <cell r="AO238">
            <v>0.82773213099999998</v>
          </cell>
          <cell r="AP238">
            <v>1.0723709999999999E-3</v>
          </cell>
          <cell r="AV238">
            <v>0.21995783599999999</v>
          </cell>
          <cell r="AW238">
            <v>1.20658E-4</v>
          </cell>
          <cell r="AX238">
            <v>0.17226786899999999</v>
          </cell>
          <cell r="AY238">
            <v>1.0741590000000001E-3</v>
          </cell>
        </row>
        <row r="239">
          <cell r="G239">
            <v>1185</v>
          </cell>
          <cell r="H239">
            <v>2765</v>
          </cell>
          <cell r="AD239">
            <v>0.88438818600000002</v>
          </cell>
          <cell r="AE239">
            <v>8.6356199999999998E-5</v>
          </cell>
          <cell r="AF239">
            <v>0.82777370100000003</v>
          </cell>
          <cell r="AG239">
            <v>4.4111050000000002E-3</v>
          </cell>
          <cell r="AM239">
            <v>0.79710669099999998</v>
          </cell>
          <cell r="AN239">
            <v>5.8512199999999999E-5</v>
          </cell>
          <cell r="AO239">
            <v>0.82773213099999998</v>
          </cell>
          <cell r="AP239">
            <v>1.0723709999999999E-3</v>
          </cell>
          <cell r="AV239">
            <v>0.20289330899999999</v>
          </cell>
          <cell r="AW239">
            <v>5.8512199999999999E-5</v>
          </cell>
          <cell r="AX239">
            <v>0.17226786899999999</v>
          </cell>
          <cell r="AY239">
            <v>1.0741590000000001E-3</v>
          </cell>
        </row>
        <row r="240">
          <cell r="G240">
            <v>958</v>
          </cell>
          <cell r="H240">
            <v>2151</v>
          </cell>
          <cell r="AD240">
            <v>0.79018789099999998</v>
          </cell>
          <cell r="AE240">
            <v>1.7323999999999999E-4</v>
          </cell>
          <cell r="AF240">
            <v>0.82777370100000003</v>
          </cell>
          <cell r="AG240">
            <v>4.4111050000000002E-3</v>
          </cell>
          <cell r="AM240">
            <v>0.80009297999999995</v>
          </cell>
          <cell r="AN240">
            <v>7.4392699999999997E-5</v>
          </cell>
          <cell r="AO240">
            <v>0.82773213099999998</v>
          </cell>
          <cell r="AP240">
            <v>1.0723709999999999E-3</v>
          </cell>
          <cell r="AV240">
            <v>0.19990701999999999</v>
          </cell>
          <cell r="AW240">
            <v>7.4392699999999997E-5</v>
          </cell>
          <cell r="AX240">
            <v>0.17226786899999999</v>
          </cell>
          <cell r="AY240">
            <v>1.0741590000000001E-3</v>
          </cell>
        </row>
        <row r="241">
          <cell r="G241">
            <v>1749</v>
          </cell>
          <cell r="H241">
            <v>1595</v>
          </cell>
          <cell r="AD241">
            <v>0.69582618600000001</v>
          </cell>
          <cell r="AE241">
            <v>1.21082E-4</v>
          </cell>
          <cell r="AF241">
            <v>0.82777370100000003</v>
          </cell>
          <cell r="AG241">
            <v>4.4111050000000002E-3</v>
          </cell>
          <cell r="AM241">
            <v>0.82257053300000005</v>
          </cell>
          <cell r="AN241">
            <v>9.1561E-5</v>
          </cell>
          <cell r="AO241">
            <v>0.82773213099999998</v>
          </cell>
          <cell r="AP241">
            <v>1.0723709999999999E-3</v>
          </cell>
          <cell r="AV241">
            <v>0.17742946700000001</v>
          </cell>
          <cell r="AW241">
            <v>9.1561E-5</v>
          </cell>
          <cell r="AX241">
            <v>0.17226786899999999</v>
          </cell>
          <cell r="AY241">
            <v>1.0741590000000001E-3</v>
          </cell>
        </row>
        <row r="242">
          <cell r="G242">
            <v>640</v>
          </cell>
          <cell r="H242">
            <v>524</v>
          </cell>
          <cell r="AD242">
            <v>0.74531250000000004</v>
          </cell>
          <cell r="AE242">
            <v>2.9706099999999999E-4</v>
          </cell>
          <cell r="AF242">
            <v>0.82777370100000003</v>
          </cell>
          <cell r="AG242">
            <v>4.4111050000000002E-3</v>
          </cell>
          <cell r="AV242">
            <v>0.145038168</v>
          </cell>
          <cell r="AW242">
            <v>2.3709800000000001E-4</v>
          </cell>
          <cell r="AX242">
            <v>0.17226786899999999</v>
          </cell>
          <cell r="AY242">
            <v>1.0741590000000001E-3</v>
          </cell>
        </row>
        <row r="252">
          <cell r="D252">
            <v>1221</v>
          </cell>
          <cell r="J252">
            <v>0.246519247</v>
          </cell>
          <cell r="K252">
            <v>1.5225199999999999E-4</v>
          </cell>
          <cell r="L252">
            <v>0.22084458100000001</v>
          </cell>
          <cell r="M252">
            <v>1.365163E-3</v>
          </cell>
          <cell r="N252">
            <v>9.9099098999999996E-2</v>
          </cell>
          <cell r="O252">
            <v>7.3179100000000005E-5</v>
          </cell>
          <cell r="P252">
            <v>0.102415992</v>
          </cell>
          <cell r="Q252">
            <v>1.7392600000000001E-3</v>
          </cell>
          <cell r="AI252">
            <v>0.75184275199999995</v>
          </cell>
          <cell r="AJ252">
            <v>1.52931E-4</v>
          </cell>
          <cell r="AK252">
            <v>0.70954271800000002</v>
          </cell>
          <cell r="AL252">
            <v>1.9049780000000001E-3</v>
          </cell>
          <cell r="AR252">
            <v>0.10892710899999999</v>
          </cell>
          <cell r="AS252">
            <v>7.9559000000000002E-5</v>
          </cell>
          <cell r="AT252">
            <v>0.112032852</v>
          </cell>
          <cell r="AU252">
            <v>1.0560649999999999E-3</v>
          </cell>
        </row>
        <row r="253">
          <cell r="D253">
            <v>1591</v>
          </cell>
          <cell r="J253">
            <v>0.233815211</v>
          </cell>
          <cell r="K253">
            <v>1.1267E-4</v>
          </cell>
          <cell r="L253">
            <v>0.22084458100000001</v>
          </cell>
          <cell r="M253">
            <v>1.365163E-3</v>
          </cell>
          <cell r="N253">
            <v>7.7938404000000003E-2</v>
          </cell>
          <cell r="O253">
            <v>4.5197500000000002E-5</v>
          </cell>
          <cell r="P253">
            <v>0.102415992</v>
          </cell>
          <cell r="Q253">
            <v>1.7392600000000001E-3</v>
          </cell>
          <cell r="AI253">
            <v>0.76492771800000003</v>
          </cell>
          <cell r="AJ253">
            <v>1.1309E-4</v>
          </cell>
          <cell r="AK253">
            <v>0.70954271800000002</v>
          </cell>
          <cell r="AL253">
            <v>1.9049780000000001E-3</v>
          </cell>
          <cell r="AR253">
            <v>0.12130735400000001</v>
          </cell>
          <cell r="AS253">
            <v>6.7038899999999999E-5</v>
          </cell>
          <cell r="AT253">
            <v>0.112032852</v>
          </cell>
          <cell r="AU253">
            <v>1.0560649999999999E-3</v>
          </cell>
        </row>
        <row r="254">
          <cell r="D254">
            <v>1203</v>
          </cell>
          <cell r="J254">
            <v>0.20532003300000001</v>
          </cell>
          <cell r="K254">
            <v>1.3574400000000001E-4</v>
          </cell>
          <cell r="L254">
            <v>0.22084458100000001</v>
          </cell>
          <cell r="M254">
            <v>1.365163E-3</v>
          </cell>
          <cell r="N254">
            <v>0.12551953399999999</v>
          </cell>
          <cell r="O254">
            <v>9.1318100000000002E-5</v>
          </cell>
          <cell r="P254">
            <v>0.102415992</v>
          </cell>
          <cell r="Q254">
            <v>1.7392600000000001E-3</v>
          </cell>
          <cell r="AI254">
            <v>0.71903574400000003</v>
          </cell>
          <cell r="AJ254">
            <v>1.68073E-4</v>
          </cell>
          <cell r="AK254">
            <v>0.70954271800000002</v>
          </cell>
          <cell r="AL254">
            <v>1.9049780000000001E-3</v>
          </cell>
          <cell r="AR254">
            <v>9.1438070999999996E-2</v>
          </cell>
          <cell r="AS254">
            <v>6.9115800000000007E-5</v>
          </cell>
          <cell r="AT254">
            <v>0.112032852</v>
          </cell>
          <cell r="AU254">
            <v>1.0560649999999999E-3</v>
          </cell>
        </row>
        <row r="255">
          <cell r="D255">
            <v>1041</v>
          </cell>
          <cell r="J255">
            <v>0.20845341000000001</v>
          </cell>
          <cell r="K255">
            <v>1.5865399999999999E-4</v>
          </cell>
          <cell r="L255">
            <v>0.22084458100000001</v>
          </cell>
          <cell r="M255">
            <v>1.365163E-3</v>
          </cell>
          <cell r="N255">
            <v>9.0297791000000002E-2</v>
          </cell>
          <cell r="O255">
            <v>7.8984699999999996E-5</v>
          </cell>
          <cell r="P255">
            <v>0.102415992</v>
          </cell>
          <cell r="Q255">
            <v>1.7392600000000001E-3</v>
          </cell>
          <cell r="AI255">
            <v>0.71950048</v>
          </cell>
          <cell r="AJ255">
            <v>1.94057E-4</v>
          </cell>
          <cell r="AK255">
            <v>0.70954271800000002</v>
          </cell>
          <cell r="AL255">
            <v>1.9049780000000001E-3</v>
          </cell>
          <cell r="AR255">
            <v>7.6849183000000001E-2</v>
          </cell>
          <cell r="AS255">
            <v>6.8214799999999996E-5</v>
          </cell>
          <cell r="AT255">
            <v>0.112032852</v>
          </cell>
          <cell r="AU255">
            <v>1.0560649999999999E-3</v>
          </cell>
        </row>
        <row r="256">
          <cell r="D256">
            <v>1117</v>
          </cell>
          <cell r="J256">
            <v>0.28021486099999998</v>
          </cell>
          <cell r="K256">
            <v>1.8073000000000001E-4</v>
          </cell>
          <cell r="L256">
            <v>0.22084458100000001</v>
          </cell>
          <cell r="M256">
            <v>1.365163E-3</v>
          </cell>
          <cell r="N256">
            <v>9.6687555999999994E-2</v>
          </cell>
          <cell r="O256">
            <v>7.8260800000000001E-5</v>
          </cell>
          <cell r="P256">
            <v>0.102415992</v>
          </cell>
          <cell r="Q256">
            <v>1.7392600000000001E-3</v>
          </cell>
          <cell r="AI256">
            <v>0.77350044799999995</v>
          </cell>
          <cell r="AJ256">
            <v>1.5698700000000001E-4</v>
          </cell>
          <cell r="AK256">
            <v>0.70954271800000002</v>
          </cell>
          <cell r="AL256">
            <v>1.9049780000000001E-3</v>
          </cell>
          <cell r="AR256">
            <v>5.5505818999999998E-2</v>
          </cell>
          <cell r="AS256">
            <v>4.6975699999999998E-5</v>
          </cell>
          <cell r="AT256">
            <v>0.112032852</v>
          </cell>
          <cell r="AU256">
            <v>1.0560649999999999E-3</v>
          </cell>
        </row>
        <row r="257">
          <cell r="D257">
            <v>1283</v>
          </cell>
          <cell r="J257">
            <v>0.27513639899999998</v>
          </cell>
          <cell r="K257">
            <v>1.5556700000000001E-4</v>
          </cell>
          <cell r="L257">
            <v>0.22084458100000001</v>
          </cell>
          <cell r="M257">
            <v>1.365163E-3</v>
          </cell>
          <cell r="N257">
            <v>9.6648479999999995E-2</v>
          </cell>
          <cell r="O257">
            <v>6.8102599999999994E-5</v>
          </cell>
          <cell r="P257">
            <v>0.102415992</v>
          </cell>
          <cell r="Q257">
            <v>1.7392600000000001E-3</v>
          </cell>
          <cell r="AI257">
            <v>0.71940763799999996</v>
          </cell>
          <cell r="AJ257">
            <v>1.5745700000000001E-4</v>
          </cell>
          <cell r="AK257">
            <v>0.70954271800000002</v>
          </cell>
          <cell r="AL257">
            <v>1.9049780000000001E-3</v>
          </cell>
          <cell r="AR257">
            <v>0.11457521399999999</v>
          </cell>
          <cell r="AS257">
            <v>7.9132400000000002E-5</v>
          </cell>
          <cell r="AT257">
            <v>0.112032852</v>
          </cell>
          <cell r="AU257">
            <v>1.0560649999999999E-3</v>
          </cell>
        </row>
        <row r="258">
          <cell r="D258">
            <v>1167</v>
          </cell>
          <cell r="J258">
            <v>0.26649528700000003</v>
          </cell>
          <cell r="K258">
            <v>1.67646E-4</v>
          </cell>
          <cell r="L258">
            <v>0.22084458100000001</v>
          </cell>
          <cell r="M258">
            <v>1.365163E-3</v>
          </cell>
          <cell r="N258">
            <v>3.5132819000000003E-2</v>
          </cell>
          <cell r="O258">
            <v>2.90725E-5</v>
          </cell>
          <cell r="P258">
            <v>0.102415992</v>
          </cell>
          <cell r="Q258">
            <v>1.7392600000000001E-3</v>
          </cell>
          <cell r="AI258">
            <v>0.715509854</v>
          </cell>
          <cell r="AJ258">
            <v>1.7457599999999999E-4</v>
          </cell>
          <cell r="AK258">
            <v>0.70954271800000002</v>
          </cell>
          <cell r="AL258">
            <v>1.9049780000000001E-3</v>
          </cell>
          <cell r="AR258">
            <v>0.14481576700000001</v>
          </cell>
          <cell r="AS258">
            <v>1.0621299999999999E-4</v>
          </cell>
          <cell r="AT258">
            <v>0.112032852</v>
          </cell>
          <cell r="AU258">
            <v>1.0560649999999999E-3</v>
          </cell>
        </row>
        <row r="259">
          <cell r="D259">
            <v>1571</v>
          </cell>
          <cell r="J259">
            <v>0.187141948</v>
          </cell>
          <cell r="K259">
            <v>9.6891600000000006E-5</v>
          </cell>
          <cell r="L259">
            <v>0.22084458100000001</v>
          </cell>
          <cell r="M259">
            <v>1.365163E-3</v>
          </cell>
          <cell r="N259">
            <v>0.12667091</v>
          </cell>
          <cell r="O259">
            <v>7.0462000000000004E-5</v>
          </cell>
          <cell r="P259">
            <v>0.102415992</v>
          </cell>
          <cell r="Q259">
            <v>1.7392600000000001E-3</v>
          </cell>
          <cell r="AI259">
            <v>0.69700827499999995</v>
          </cell>
          <cell r="AJ259">
            <v>1.3451399999999999E-4</v>
          </cell>
          <cell r="AK259">
            <v>0.70954271800000002</v>
          </cell>
          <cell r="AL259">
            <v>1.9049780000000001E-3</v>
          </cell>
          <cell r="AR259">
            <v>0.12985359599999999</v>
          </cell>
          <cell r="AS259">
            <v>7.1969200000000002E-5</v>
          </cell>
          <cell r="AT259">
            <v>0.112032852</v>
          </cell>
          <cell r="AU259">
            <v>1.0560649999999999E-3</v>
          </cell>
        </row>
        <row r="260">
          <cell r="D260">
            <v>1979</v>
          </cell>
          <cell r="J260">
            <v>0.16776149600000001</v>
          </cell>
          <cell r="K260">
            <v>7.0585200000000003E-5</v>
          </cell>
          <cell r="L260">
            <v>0.22084458100000001</v>
          </cell>
          <cell r="M260">
            <v>1.365163E-3</v>
          </cell>
          <cell r="N260">
            <v>7.5290550999999997E-2</v>
          </cell>
          <cell r="O260">
            <v>3.5198099999999998E-5</v>
          </cell>
          <cell r="P260">
            <v>0.102415992</v>
          </cell>
          <cell r="Q260">
            <v>1.7392600000000001E-3</v>
          </cell>
          <cell r="AI260">
            <v>0.67003537099999999</v>
          </cell>
          <cell r="AJ260">
            <v>1.11773E-4</v>
          </cell>
          <cell r="AK260">
            <v>0.70954271800000002</v>
          </cell>
          <cell r="AL260">
            <v>1.9049780000000001E-3</v>
          </cell>
          <cell r="AR260">
            <v>0.16422435599999999</v>
          </cell>
          <cell r="AS260">
            <v>6.9390700000000006E-5</v>
          </cell>
          <cell r="AT260">
            <v>0.112032852</v>
          </cell>
          <cell r="AU260">
            <v>1.0560649999999999E-3</v>
          </cell>
        </row>
        <row r="261">
          <cell r="D261">
            <v>1976</v>
          </cell>
          <cell r="J261">
            <v>0.17763157900000001</v>
          </cell>
          <cell r="K261">
            <v>7.3963799999999998E-5</v>
          </cell>
          <cell r="L261">
            <v>0.22084458100000001</v>
          </cell>
          <cell r="M261">
            <v>1.365163E-3</v>
          </cell>
          <cell r="N261">
            <v>6.2753035999999998E-2</v>
          </cell>
          <cell r="O261">
            <v>2.9779799999999999E-5</v>
          </cell>
          <cell r="P261">
            <v>0.102415992</v>
          </cell>
          <cell r="Q261">
            <v>1.7392600000000001E-3</v>
          </cell>
          <cell r="AI261">
            <v>0.75708502</v>
          </cell>
          <cell r="AJ261">
            <v>9.3117599999999998E-5</v>
          </cell>
          <cell r="AK261">
            <v>0.70954271800000002</v>
          </cell>
          <cell r="AL261">
            <v>1.9049780000000001E-3</v>
          </cell>
          <cell r="AR261">
            <v>0.11386639699999999</v>
          </cell>
          <cell r="AS261">
            <v>5.1088999999999998E-5</v>
          </cell>
          <cell r="AT261">
            <v>0.112032852</v>
          </cell>
          <cell r="AU261">
            <v>1.0560649999999999E-3</v>
          </cell>
        </row>
        <row r="262">
          <cell r="D262">
            <v>1997</v>
          </cell>
          <cell r="J262">
            <v>0.17826740099999999</v>
          </cell>
          <cell r="K262">
            <v>7.3390800000000002E-5</v>
          </cell>
          <cell r="L262">
            <v>0.22084458100000001</v>
          </cell>
          <cell r="M262">
            <v>1.365163E-3</v>
          </cell>
          <cell r="N262">
            <v>7.7616425000000003E-2</v>
          </cell>
          <cell r="O262">
            <v>3.5867800000000002E-5</v>
          </cell>
          <cell r="P262">
            <v>0.102415992</v>
          </cell>
          <cell r="Q262">
            <v>1.7392600000000001E-3</v>
          </cell>
          <cell r="AI262">
            <v>0.69404106200000004</v>
          </cell>
          <cell r="AJ262">
            <v>1.06387E-4</v>
          </cell>
          <cell r="AK262">
            <v>0.70954271800000002</v>
          </cell>
          <cell r="AL262">
            <v>1.9049780000000001E-3</v>
          </cell>
          <cell r="AR262">
            <v>0.14972458699999999</v>
          </cell>
          <cell r="AS262">
            <v>6.3781099999999998E-5</v>
          </cell>
          <cell r="AT262">
            <v>0.112032852</v>
          </cell>
          <cell r="AU262">
            <v>1.0560649999999999E-3</v>
          </cell>
        </row>
        <row r="263">
          <cell r="D263">
            <v>1472</v>
          </cell>
          <cell r="J263">
            <v>0.228940217</v>
          </cell>
          <cell r="K263">
            <v>1.20004E-4</v>
          </cell>
          <cell r="L263">
            <v>0.22084458100000001</v>
          </cell>
          <cell r="M263">
            <v>1.365163E-3</v>
          </cell>
          <cell r="N263">
            <v>0.11073369600000001</v>
          </cell>
          <cell r="O263">
            <v>6.6941999999999997E-5</v>
          </cell>
          <cell r="P263">
            <v>0.102415992</v>
          </cell>
          <cell r="Q263">
            <v>1.7392600000000001E-3</v>
          </cell>
          <cell r="AI263">
            <v>0.66915760899999999</v>
          </cell>
          <cell r="AJ263">
            <v>1.505E-4</v>
          </cell>
          <cell r="AK263">
            <v>0.70954271800000002</v>
          </cell>
          <cell r="AL263">
            <v>1.9049780000000001E-3</v>
          </cell>
          <cell r="AR263">
            <v>0.13790760899999999</v>
          </cell>
          <cell r="AS263">
            <v>8.0822000000000006E-5</v>
          </cell>
          <cell r="AT263">
            <v>0.112032852</v>
          </cell>
          <cell r="AU263">
            <v>1.0560649999999999E-3</v>
          </cell>
        </row>
        <row r="264">
          <cell r="D264">
            <v>1657</v>
          </cell>
          <cell r="J264">
            <v>0.21062160499999999</v>
          </cell>
          <cell r="K264">
            <v>1.00399E-4</v>
          </cell>
          <cell r="L264">
            <v>0.22084458100000001</v>
          </cell>
          <cell r="M264">
            <v>1.365163E-3</v>
          </cell>
          <cell r="N264">
            <v>0.15570307799999999</v>
          </cell>
          <cell r="O264">
            <v>7.9383799999999997E-5</v>
          </cell>
          <cell r="P264">
            <v>0.102415992</v>
          </cell>
          <cell r="Q264">
            <v>1.7392600000000001E-3</v>
          </cell>
          <cell r="AI264">
            <v>0.63246831599999997</v>
          </cell>
          <cell r="AJ264">
            <v>1.4037000000000001E-4</v>
          </cell>
          <cell r="AK264">
            <v>0.70954271800000002</v>
          </cell>
          <cell r="AL264">
            <v>1.9049780000000001E-3</v>
          </cell>
          <cell r="AR264">
            <v>9.4146046999999997E-2</v>
          </cell>
          <cell r="AS264">
            <v>5.1499100000000003E-5</v>
          </cell>
          <cell r="AT264">
            <v>0.112032852</v>
          </cell>
          <cell r="AU264">
            <v>1.0560649999999999E-3</v>
          </cell>
        </row>
        <row r="274">
          <cell r="G274">
            <v>525</v>
          </cell>
          <cell r="H274">
            <v>292</v>
          </cell>
          <cell r="AD274">
            <v>0.98476190500000005</v>
          </cell>
          <cell r="AE274">
            <v>2.8637200000000001E-5</v>
          </cell>
          <cell r="AF274">
            <v>0.98349167199999998</v>
          </cell>
          <cell r="AG274">
            <v>8.9143399999999998E-5</v>
          </cell>
          <cell r="AM274">
            <v>0.96232876700000003</v>
          </cell>
          <cell r="AN274">
            <v>1.24578E-4</v>
          </cell>
          <cell r="AO274">
            <v>0.94453026799999995</v>
          </cell>
          <cell r="AP274">
            <v>9.1548599999999997E-4</v>
          </cell>
          <cell r="AV274">
            <v>3.7671232999999998E-2</v>
          </cell>
          <cell r="AW274">
            <v>1.24578E-4</v>
          </cell>
          <cell r="AX274">
            <v>5.5469732000000001E-2</v>
          </cell>
          <cell r="AY274">
            <v>9.1752999999999995E-4</v>
          </cell>
        </row>
        <row r="275">
          <cell r="G275">
            <v>880</v>
          </cell>
          <cell r="H275">
            <v>634</v>
          </cell>
          <cell r="AD275">
            <v>0.98068181799999998</v>
          </cell>
          <cell r="AE275">
            <v>2.1552900000000002E-5</v>
          </cell>
          <cell r="AF275">
            <v>0.98349167199999998</v>
          </cell>
          <cell r="AG275">
            <v>8.9143399999999998E-5</v>
          </cell>
          <cell r="AM275">
            <v>0.97003154599999997</v>
          </cell>
          <cell r="AN275">
            <v>4.5924699999999998E-5</v>
          </cell>
          <cell r="AO275">
            <v>0.94453026799999995</v>
          </cell>
          <cell r="AP275">
            <v>9.1548599999999997E-4</v>
          </cell>
          <cell r="AV275">
            <v>2.9968453999999999E-2</v>
          </cell>
          <cell r="AW275">
            <v>4.5924699999999998E-5</v>
          </cell>
          <cell r="AX275">
            <v>5.5469732000000001E-2</v>
          </cell>
          <cell r="AY275">
            <v>9.1752999999999995E-4</v>
          </cell>
        </row>
        <row r="276">
          <cell r="G276">
            <v>1714</v>
          </cell>
          <cell r="H276">
            <v>918</v>
          </cell>
          <cell r="AD276">
            <v>0.98483080499999998</v>
          </cell>
          <cell r="AE276">
            <v>8.7210100000000007E-6</v>
          </cell>
          <cell r="AF276">
            <v>0.98349167199999998</v>
          </cell>
          <cell r="AG276">
            <v>8.9143399999999998E-5</v>
          </cell>
          <cell r="AM276">
            <v>0.95098039199999995</v>
          </cell>
          <cell r="AN276">
            <v>5.0836099999999999E-5</v>
          </cell>
          <cell r="AO276">
            <v>0.94453026799999995</v>
          </cell>
          <cell r="AP276">
            <v>9.1548599999999997E-4</v>
          </cell>
          <cell r="AV276">
            <v>4.9019607999999999E-2</v>
          </cell>
          <cell r="AW276">
            <v>5.0836099999999999E-5</v>
          </cell>
          <cell r="AX276">
            <v>5.5469732000000001E-2</v>
          </cell>
          <cell r="AY276">
            <v>9.1752999999999995E-4</v>
          </cell>
        </row>
        <row r="277">
          <cell r="G277">
            <v>761</v>
          </cell>
          <cell r="H277">
            <v>556</v>
          </cell>
          <cell r="AD277">
            <v>0.97634691200000001</v>
          </cell>
          <cell r="AE277">
            <v>3.0386300000000001E-5</v>
          </cell>
          <cell r="AF277">
            <v>0.98349167199999998</v>
          </cell>
          <cell r="AG277">
            <v>8.9143399999999998E-5</v>
          </cell>
          <cell r="AM277">
            <v>0.96043165500000005</v>
          </cell>
          <cell r="AN277">
            <v>6.8473300000000001E-5</v>
          </cell>
          <cell r="AO277">
            <v>0.94453026799999995</v>
          </cell>
          <cell r="AP277">
            <v>9.1548599999999997E-4</v>
          </cell>
          <cell r="AV277">
            <v>3.9568344999999998E-2</v>
          </cell>
          <cell r="AW277">
            <v>6.8473300000000001E-5</v>
          </cell>
          <cell r="AX277">
            <v>5.5469732000000001E-2</v>
          </cell>
          <cell r="AY277">
            <v>9.1752999999999995E-4</v>
          </cell>
        </row>
        <row r="278">
          <cell r="G278">
            <v>1117</v>
          </cell>
          <cell r="H278">
            <v>702</v>
          </cell>
          <cell r="AD278">
            <v>0.98746642799999995</v>
          </cell>
          <cell r="AE278">
            <v>1.1090000000000001E-5</v>
          </cell>
          <cell r="AF278">
            <v>0.98349167199999998</v>
          </cell>
          <cell r="AG278">
            <v>8.9143399999999998E-5</v>
          </cell>
          <cell r="AM278">
            <v>0.97435897400000004</v>
          </cell>
          <cell r="AN278">
            <v>3.5639899999999997E-5</v>
          </cell>
          <cell r="AO278">
            <v>0.94453026799999995</v>
          </cell>
          <cell r="AP278">
            <v>9.1548599999999997E-4</v>
          </cell>
          <cell r="AV278">
            <v>2.5641026000000001E-2</v>
          </cell>
          <cell r="AW278">
            <v>3.5639899999999997E-5</v>
          </cell>
          <cell r="AX278">
            <v>5.5469732000000001E-2</v>
          </cell>
          <cell r="AY278">
            <v>9.1752999999999995E-4</v>
          </cell>
        </row>
        <row r="279">
          <cell r="G279">
            <v>1398</v>
          </cell>
          <cell r="H279">
            <v>489</v>
          </cell>
          <cell r="AD279">
            <v>0.99284692399999996</v>
          </cell>
          <cell r="AE279">
            <v>5.0836900000000003E-6</v>
          </cell>
          <cell r="AF279">
            <v>0.98349167199999998</v>
          </cell>
          <cell r="AG279">
            <v>8.9143399999999998E-5</v>
          </cell>
          <cell r="AM279">
            <v>0.93660531700000005</v>
          </cell>
          <cell r="AN279">
            <v>1.21672E-4</v>
          </cell>
          <cell r="AO279">
            <v>0.94453026799999995</v>
          </cell>
          <cell r="AP279">
            <v>9.1548599999999997E-4</v>
          </cell>
          <cell r="AV279">
            <v>6.3394682999999993E-2</v>
          </cell>
          <cell r="AW279">
            <v>1.21672E-4</v>
          </cell>
          <cell r="AX279">
            <v>5.5469732000000001E-2</v>
          </cell>
          <cell r="AY279">
            <v>9.1752999999999995E-4</v>
          </cell>
        </row>
        <row r="280">
          <cell r="G280">
            <v>1429</v>
          </cell>
          <cell r="H280">
            <v>635</v>
          </cell>
          <cell r="AD280">
            <v>0.96571028699999995</v>
          </cell>
          <cell r="AE280">
            <v>2.3189000000000001E-5</v>
          </cell>
          <cell r="AF280">
            <v>0.98349167199999998</v>
          </cell>
          <cell r="AG280">
            <v>8.9143399999999998E-5</v>
          </cell>
          <cell r="AM280">
            <v>0.94803149600000003</v>
          </cell>
          <cell r="AN280">
            <v>7.7709399999999998E-5</v>
          </cell>
          <cell r="AO280">
            <v>0.94453026799999995</v>
          </cell>
          <cell r="AP280">
            <v>9.1548599999999997E-4</v>
          </cell>
          <cell r="AV280">
            <v>5.1968503999999999E-2</v>
          </cell>
          <cell r="AW280">
            <v>7.7709399999999998E-5</v>
          </cell>
          <cell r="AX280">
            <v>5.5469732000000001E-2</v>
          </cell>
          <cell r="AY280">
            <v>9.1752999999999995E-4</v>
          </cell>
        </row>
        <row r="281">
          <cell r="G281">
            <v>2502</v>
          </cell>
          <cell r="H281">
            <v>720</v>
          </cell>
          <cell r="AD281">
            <v>0.98641087100000002</v>
          </cell>
          <cell r="AE281">
            <v>5.3596399999999997E-6</v>
          </cell>
          <cell r="AF281">
            <v>0.98349167199999998</v>
          </cell>
          <cell r="AG281">
            <v>8.9143399999999998E-5</v>
          </cell>
          <cell r="AM281">
            <v>0.94444444400000005</v>
          </cell>
          <cell r="AN281">
            <v>7.2975199999999999E-5</v>
          </cell>
          <cell r="AO281">
            <v>0.94453026799999995</v>
          </cell>
          <cell r="AP281">
            <v>9.1548599999999997E-4</v>
          </cell>
          <cell r="AV281">
            <v>5.5555555999999999E-2</v>
          </cell>
          <cell r="AW281">
            <v>7.2975199999999999E-5</v>
          </cell>
          <cell r="AX281">
            <v>5.5469732000000001E-2</v>
          </cell>
          <cell r="AY281">
            <v>9.1752999999999995E-4</v>
          </cell>
        </row>
        <row r="282">
          <cell r="G282">
            <v>2746</v>
          </cell>
          <cell r="H282">
            <v>1021</v>
          </cell>
          <cell r="AD282">
            <v>0.96467589200000003</v>
          </cell>
          <cell r="AE282">
            <v>1.2414E-5</v>
          </cell>
          <cell r="AF282">
            <v>0.98349167199999998</v>
          </cell>
          <cell r="AG282">
            <v>8.9143399999999998E-5</v>
          </cell>
          <cell r="AM282">
            <v>0.95788442699999998</v>
          </cell>
          <cell r="AN282">
            <v>3.9550800000000001E-5</v>
          </cell>
          <cell r="AO282">
            <v>0.94453026799999995</v>
          </cell>
          <cell r="AP282">
            <v>9.1548599999999997E-4</v>
          </cell>
          <cell r="AV282">
            <v>4.2115573000000003E-2</v>
          </cell>
          <cell r="AW282">
            <v>3.9550800000000001E-5</v>
          </cell>
          <cell r="AX282">
            <v>5.5469732000000001E-2</v>
          </cell>
          <cell r="AY282">
            <v>9.1752999999999995E-4</v>
          </cell>
        </row>
        <row r="283">
          <cell r="G283">
            <v>2836</v>
          </cell>
          <cell r="H283">
            <v>1053</v>
          </cell>
          <cell r="AD283">
            <v>0.98942172100000003</v>
          </cell>
          <cell r="AE283">
            <v>3.6918399999999998E-6</v>
          </cell>
          <cell r="AF283">
            <v>0.98349167199999998</v>
          </cell>
          <cell r="AG283">
            <v>8.9143399999999998E-5</v>
          </cell>
          <cell r="AM283">
            <v>0.96391263100000002</v>
          </cell>
          <cell r="AN283">
            <v>3.3065699999999998E-5</v>
          </cell>
          <cell r="AO283">
            <v>0.94453026799999995</v>
          </cell>
          <cell r="AP283">
            <v>9.1548599999999997E-4</v>
          </cell>
          <cell r="AV283">
            <v>3.6087369000000001E-2</v>
          </cell>
          <cell r="AW283">
            <v>3.3065699999999998E-5</v>
          </cell>
          <cell r="AX283">
            <v>5.5469732000000001E-2</v>
          </cell>
          <cell r="AY283">
            <v>9.1752999999999995E-4</v>
          </cell>
        </row>
        <row r="284">
          <cell r="G284">
            <v>3442</v>
          </cell>
          <cell r="H284">
            <v>951</v>
          </cell>
          <cell r="AD284">
            <v>0.99331783799999995</v>
          </cell>
          <cell r="AE284">
            <v>1.92895E-6</v>
          </cell>
          <cell r="AF284">
            <v>0.98349167199999998</v>
          </cell>
          <cell r="AG284">
            <v>8.9143399999999998E-5</v>
          </cell>
          <cell r="AM284">
            <v>0.94742376399999995</v>
          </cell>
          <cell r="AN284">
            <v>5.2433699999999999E-5</v>
          </cell>
          <cell r="AO284">
            <v>0.94453026799999995</v>
          </cell>
          <cell r="AP284">
            <v>9.1548599999999997E-4</v>
          </cell>
          <cell r="AV284">
            <v>5.2576235999999998E-2</v>
          </cell>
          <cell r="AW284">
            <v>5.2433699999999999E-5</v>
          </cell>
          <cell r="AX284">
            <v>5.5469732000000001E-2</v>
          </cell>
          <cell r="AY284">
            <v>9.1752999999999995E-4</v>
          </cell>
        </row>
        <row r="285">
          <cell r="G285">
            <v>3327</v>
          </cell>
          <cell r="H285">
            <v>828</v>
          </cell>
          <cell r="AD285">
            <v>0.98767658599999997</v>
          </cell>
          <cell r="AE285">
            <v>3.65952E-6</v>
          </cell>
          <cell r="AF285">
            <v>0.98349167199999998</v>
          </cell>
          <cell r="AG285">
            <v>8.9143399999999998E-5</v>
          </cell>
          <cell r="AM285">
            <v>0.89492753599999997</v>
          </cell>
          <cell r="AN285">
            <v>1.1370300000000001E-4</v>
          </cell>
          <cell r="AO285">
            <v>0.94453026799999995</v>
          </cell>
          <cell r="AP285">
            <v>9.1548599999999997E-4</v>
          </cell>
          <cell r="AV285">
            <v>0.105072464</v>
          </cell>
          <cell r="AW285">
            <v>1.1370300000000001E-4</v>
          </cell>
          <cell r="AX285">
            <v>5.5469732000000001E-2</v>
          </cell>
          <cell r="AY285">
            <v>9.1752999999999995E-4</v>
          </cell>
        </row>
        <row r="286">
          <cell r="G286">
            <v>3638</v>
          </cell>
          <cell r="H286">
            <v>718</v>
          </cell>
          <cell r="AD286">
            <v>0.99505222599999998</v>
          </cell>
          <cell r="AE286">
            <v>1.3536700000000001E-6</v>
          </cell>
          <cell r="AF286">
            <v>0.98349167199999998</v>
          </cell>
          <cell r="AG286">
            <v>8.9143399999999998E-5</v>
          </cell>
          <cell r="AM286">
            <v>0.86350974899999999</v>
          </cell>
          <cell r="AN286">
            <v>1.6437999999999999E-4</v>
          </cell>
          <cell r="AO286">
            <v>0.94453026799999995</v>
          </cell>
          <cell r="AP286">
            <v>9.1548599999999997E-4</v>
          </cell>
          <cell r="AV286">
            <v>0.13649025100000001</v>
          </cell>
          <cell r="AW286">
            <v>1.6437999999999999E-4</v>
          </cell>
          <cell r="AX286">
            <v>5.5469732000000001E-2</v>
          </cell>
          <cell r="AY286">
            <v>9.1752999999999995E-4</v>
          </cell>
        </row>
        <row r="296">
          <cell r="D296">
            <v>136</v>
          </cell>
          <cell r="J296">
            <v>0.20588235299999999</v>
          </cell>
          <cell r="K296">
            <v>1.211073E-3</v>
          </cell>
          <cell r="L296">
            <v>0.14601389000000001</v>
          </cell>
          <cell r="M296">
            <v>1.586648E-3</v>
          </cell>
          <cell r="N296">
            <v>0.40441176499999998</v>
          </cell>
          <cell r="O296">
            <v>1.7841700000000001E-3</v>
          </cell>
          <cell r="P296">
            <v>0.61743827600000001</v>
          </cell>
          <cell r="Q296">
            <v>5.442634E-3</v>
          </cell>
          <cell r="AI296">
            <v>0.514705882</v>
          </cell>
          <cell r="AJ296">
            <v>1.8502499999999999E-3</v>
          </cell>
          <cell r="AK296">
            <v>0.33668710600000001</v>
          </cell>
          <cell r="AL296">
            <v>4.4514749999999999E-3</v>
          </cell>
          <cell r="AR296">
            <v>2.2058824000000001E-2</v>
          </cell>
          <cell r="AS296">
            <v>1.59794E-4</v>
          </cell>
          <cell r="AT296">
            <v>2.5896555000000002E-2</v>
          </cell>
          <cell r="AU296">
            <v>1.86563E-4</v>
          </cell>
        </row>
        <row r="297">
          <cell r="D297">
            <v>371</v>
          </cell>
          <cell r="J297">
            <v>0.15094339600000001</v>
          </cell>
          <cell r="K297">
            <v>3.4637699999999998E-4</v>
          </cell>
          <cell r="L297">
            <v>0.14601389000000001</v>
          </cell>
          <cell r="M297">
            <v>1.586648E-3</v>
          </cell>
          <cell r="N297">
            <v>0.62533692699999999</v>
          </cell>
          <cell r="O297">
            <v>6.3321799999999995E-4</v>
          </cell>
          <cell r="P297">
            <v>0.61743827600000001</v>
          </cell>
          <cell r="Q297">
            <v>5.442634E-3</v>
          </cell>
          <cell r="AI297">
            <v>0.35040431300000002</v>
          </cell>
          <cell r="AJ297">
            <v>6.1519199999999997E-4</v>
          </cell>
          <cell r="AK297">
            <v>0.33668710600000001</v>
          </cell>
          <cell r="AL297">
            <v>4.4514749999999999E-3</v>
          </cell>
          <cell r="AR297">
            <v>8.0862529999999998E-3</v>
          </cell>
          <cell r="AS297">
            <v>2.1678000000000001E-5</v>
          </cell>
          <cell r="AT297">
            <v>2.5896555000000002E-2</v>
          </cell>
          <cell r="AU297">
            <v>1.86563E-4</v>
          </cell>
        </row>
        <row r="298">
          <cell r="D298">
            <v>532</v>
          </cell>
          <cell r="J298">
            <v>0.12593984999999999</v>
          </cell>
          <cell r="K298">
            <v>2.0730499999999999E-4</v>
          </cell>
          <cell r="L298">
            <v>0.14601389000000001</v>
          </cell>
          <cell r="M298">
            <v>1.586648E-3</v>
          </cell>
          <cell r="N298">
            <v>0.64849624100000003</v>
          </cell>
          <cell r="O298">
            <v>4.2928200000000001E-4</v>
          </cell>
          <cell r="P298">
            <v>0.61743827600000001</v>
          </cell>
          <cell r="Q298">
            <v>5.442634E-3</v>
          </cell>
          <cell r="AI298">
            <v>0.31578947400000001</v>
          </cell>
          <cell r="AJ298">
            <v>4.0690499999999999E-4</v>
          </cell>
          <cell r="AK298">
            <v>0.33668710600000001</v>
          </cell>
          <cell r="AL298">
            <v>4.4514749999999999E-3</v>
          </cell>
          <cell r="AR298">
            <v>1.3157894999999999E-2</v>
          </cell>
          <cell r="AS298">
            <v>2.4453399999999999E-5</v>
          </cell>
          <cell r="AT298">
            <v>2.5896555000000002E-2</v>
          </cell>
          <cell r="AU298">
            <v>1.86563E-4</v>
          </cell>
        </row>
        <row r="299">
          <cell r="D299">
            <v>654</v>
          </cell>
          <cell r="J299">
            <v>0.120795107</v>
          </cell>
          <cell r="K299">
            <v>1.6264E-4</v>
          </cell>
          <cell r="L299">
            <v>0.14601389000000001</v>
          </cell>
          <cell r="M299">
            <v>1.586648E-3</v>
          </cell>
          <cell r="N299">
            <v>0.64373088700000003</v>
          </cell>
          <cell r="O299">
            <v>3.51212E-4</v>
          </cell>
          <cell r="P299">
            <v>0.61743827600000001</v>
          </cell>
          <cell r="Q299">
            <v>5.442634E-3</v>
          </cell>
          <cell r="AI299">
            <v>0.31498470899999997</v>
          </cell>
          <cell r="AJ299">
            <v>3.3042800000000002E-4</v>
          </cell>
          <cell r="AK299">
            <v>0.33668710600000001</v>
          </cell>
          <cell r="AL299">
            <v>4.4514749999999999E-3</v>
          </cell>
          <cell r="AR299">
            <v>1.6819572000000001E-2</v>
          </cell>
          <cell r="AS299">
            <v>2.5324200000000001E-5</v>
          </cell>
          <cell r="AT299">
            <v>2.5896555000000002E-2</v>
          </cell>
          <cell r="AU299">
            <v>1.86563E-4</v>
          </cell>
        </row>
        <row r="300">
          <cell r="D300">
            <v>783</v>
          </cell>
          <cell r="J300">
            <v>0.185185185</v>
          </cell>
          <cell r="K300">
            <v>1.9295599999999999E-4</v>
          </cell>
          <cell r="L300">
            <v>0.14601389000000001</v>
          </cell>
          <cell r="M300">
            <v>1.586648E-3</v>
          </cell>
          <cell r="N300">
            <v>0.54278416299999999</v>
          </cell>
          <cell r="O300">
            <v>3.1735200000000002E-4</v>
          </cell>
          <cell r="P300">
            <v>0.61743827600000001</v>
          </cell>
          <cell r="Q300">
            <v>5.442634E-3</v>
          </cell>
          <cell r="AI300">
            <v>0.40868454700000001</v>
          </cell>
          <cell r="AJ300">
            <v>3.0903000000000001E-4</v>
          </cell>
          <cell r="AK300">
            <v>0.33668710600000001</v>
          </cell>
          <cell r="AL300">
            <v>4.4514749999999999E-3</v>
          </cell>
          <cell r="AR300">
            <v>2.8097062999999999E-2</v>
          </cell>
          <cell r="AS300">
            <v>3.4920199999999998E-5</v>
          </cell>
          <cell r="AT300">
            <v>2.5896555000000002E-2</v>
          </cell>
          <cell r="AU300">
            <v>1.86563E-4</v>
          </cell>
        </row>
        <row r="301">
          <cell r="D301">
            <v>511</v>
          </cell>
          <cell r="J301">
            <v>0.121330724</v>
          </cell>
          <cell r="K301">
            <v>2.0903800000000001E-4</v>
          </cell>
          <cell r="L301">
            <v>0.14601389000000001</v>
          </cell>
          <cell r="M301">
            <v>1.586648E-3</v>
          </cell>
          <cell r="N301">
            <v>0.60861056800000002</v>
          </cell>
          <cell r="O301">
            <v>4.6706599999999998E-4</v>
          </cell>
          <cell r="P301">
            <v>0.61743827600000001</v>
          </cell>
          <cell r="Q301">
            <v>5.442634E-3</v>
          </cell>
          <cell r="AI301">
            <v>0.356164384</v>
          </cell>
          <cell r="AJ301">
            <v>4.4963000000000002E-4</v>
          </cell>
          <cell r="AK301">
            <v>0.33668710600000001</v>
          </cell>
          <cell r="AL301">
            <v>4.4514749999999999E-3</v>
          </cell>
          <cell r="AR301">
            <v>2.9354207E-2</v>
          </cell>
          <cell r="AS301">
            <v>5.58677E-5</v>
          </cell>
          <cell r="AT301">
            <v>2.5896555000000002E-2</v>
          </cell>
          <cell r="AU301">
            <v>1.86563E-4</v>
          </cell>
        </row>
        <row r="302">
          <cell r="D302">
            <v>612</v>
          </cell>
          <cell r="J302">
            <v>0.13888888899999999</v>
          </cell>
          <cell r="K302">
            <v>1.9574300000000001E-4</v>
          </cell>
          <cell r="L302">
            <v>0.14601389000000001</v>
          </cell>
          <cell r="M302">
            <v>1.586648E-3</v>
          </cell>
          <cell r="N302">
            <v>0.66176470600000004</v>
          </cell>
          <cell r="O302">
            <v>3.66337E-4</v>
          </cell>
          <cell r="P302">
            <v>0.61743827600000001</v>
          </cell>
          <cell r="Q302">
            <v>5.442634E-3</v>
          </cell>
          <cell r="AI302">
            <v>0.29084967299999998</v>
          </cell>
          <cell r="AJ302">
            <v>3.37571E-4</v>
          </cell>
          <cell r="AK302">
            <v>0.33668710600000001</v>
          </cell>
          <cell r="AL302">
            <v>4.4514749999999999E-3</v>
          </cell>
          <cell r="AR302">
            <v>3.2679738999999999E-2</v>
          </cell>
          <cell r="AS302">
            <v>5.1737799999999998E-5</v>
          </cell>
          <cell r="AT302">
            <v>2.5896555000000002E-2</v>
          </cell>
          <cell r="AU302">
            <v>1.86563E-4</v>
          </cell>
        </row>
        <row r="303">
          <cell r="D303">
            <v>475</v>
          </cell>
          <cell r="J303">
            <v>0.149473684</v>
          </cell>
          <cell r="K303">
            <v>2.6820899999999999E-4</v>
          </cell>
          <cell r="L303">
            <v>0.14601389000000001</v>
          </cell>
          <cell r="M303">
            <v>1.586648E-3</v>
          </cell>
          <cell r="N303">
            <v>0.675789474</v>
          </cell>
          <cell r="O303">
            <v>4.6223199999999997E-4</v>
          </cell>
          <cell r="P303">
            <v>0.61743827600000001</v>
          </cell>
          <cell r="Q303">
            <v>5.442634E-3</v>
          </cell>
          <cell r="AI303">
            <v>0.29052631600000001</v>
          </cell>
          <cell r="AJ303">
            <v>4.3485399999999998E-4</v>
          </cell>
          <cell r="AK303">
            <v>0.33668710600000001</v>
          </cell>
          <cell r="AL303">
            <v>4.4514749999999999E-3</v>
          </cell>
          <cell r="AR303">
            <v>1.4736842E-2</v>
          </cell>
          <cell r="AS303">
            <v>3.0632200000000001E-5</v>
          </cell>
          <cell r="AT303">
            <v>2.5896555000000002E-2</v>
          </cell>
          <cell r="AU303">
            <v>1.86563E-4</v>
          </cell>
        </row>
        <row r="304">
          <cell r="D304">
            <v>618</v>
          </cell>
          <cell r="J304">
            <v>0.105177994</v>
          </cell>
          <cell r="K304">
            <v>1.5253700000000001E-4</v>
          </cell>
          <cell r="L304">
            <v>0.14601389000000001</v>
          </cell>
          <cell r="M304">
            <v>1.586648E-3</v>
          </cell>
          <cell r="N304">
            <v>0.601941748</v>
          </cell>
          <cell r="O304">
            <v>3.8834299999999998E-4</v>
          </cell>
          <cell r="P304">
            <v>0.61743827600000001</v>
          </cell>
          <cell r="Q304">
            <v>5.442634E-3</v>
          </cell>
          <cell r="AI304">
            <v>0.33171520999999998</v>
          </cell>
          <cell r="AJ304">
            <v>3.5928700000000002E-4</v>
          </cell>
          <cell r="AK304">
            <v>0.33668710600000001</v>
          </cell>
          <cell r="AL304">
            <v>4.4514749999999999E-3</v>
          </cell>
          <cell r="AR304">
            <v>2.7508090999999998E-2</v>
          </cell>
          <cell r="AS304">
            <v>4.3357199999999999E-5</v>
          </cell>
          <cell r="AT304">
            <v>2.5896555000000002E-2</v>
          </cell>
          <cell r="AU304">
            <v>1.86563E-4</v>
          </cell>
        </row>
        <row r="305">
          <cell r="D305">
            <v>680</v>
          </cell>
          <cell r="J305">
            <v>9.2647059000000004E-2</v>
          </cell>
          <cell r="K305">
            <v>1.23805E-4</v>
          </cell>
          <cell r="L305">
            <v>0.14601389000000001</v>
          </cell>
          <cell r="M305">
            <v>1.586648E-3</v>
          </cell>
          <cell r="N305">
            <v>0.64264705899999996</v>
          </cell>
          <cell r="O305">
            <v>3.3822099999999999E-4</v>
          </cell>
          <cell r="P305">
            <v>0.61743827600000001</v>
          </cell>
          <cell r="Q305">
            <v>5.442634E-3</v>
          </cell>
          <cell r="AI305">
            <v>0.31470588199999999</v>
          </cell>
          <cell r="AJ305">
            <v>3.17623E-4</v>
          </cell>
          <cell r="AK305">
            <v>0.33668710600000001</v>
          </cell>
          <cell r="AL305">
            <v>4.4514749999999999E-3</v>
          </cell>
          <cell r="AR305">
            <v>3.2352941000000003E-2</v>
          </cell>
          <cell r="AS305">
            <v>4.6106400000000003E-5</v>
          </cell>
          <cell r="AT305">
            <v>2.5896555000000002E-2</v>
          </cell>
          <cell r="AU305">
            <v>1.86563E-4</v>
          </cell>
        </row>
        <row r="306">
          <cell r="D306">
            <v>362</v>
          </cell>
          <cell r="J306">
            <v>0.16850828700000001</v>
          </cell>
          <cell r="K306">
            <v>3.8812500000000002E-4</v>
          </cell>
          <cell r="L306">
            <v>0.14601389000000001</v>
          </cell>
          <cell r="M306">
            <v>1.586648E-3</v>
          </cell>
          <cell r="N306">
            <v>0.62983425400000004</v>
          </cell>
          <cell r="O306">
            <v>6.4582599999999995E-4</v>
          </cell>
          <cell r="P306">
            <v>0.61743827600000001</v>
          </cell>
          <cell r="Q306">
            <v>5.442634E-3</v>
          </cell>
          <cell r="AI306">
            <v>0.35911602199999998</v>
          </cell>
          <cell r="AJ306">
            <v>6.3753900000000001E-4</v>
          </cell>
          <cell r="AK306">
            <v>0.33668710600000001</v>
          </cell>
          <cell r="AL306">
            <v>4.4514749999999999E-3</v>
          </cell>
          <cell r="AR306">
            <v>1.1049724E-2</v>
          </cell>
          <cell r="AS306">
            <v>3.0270400000000001E-5</v>
          </cell>
          <cell r="AT306">
            <v>2.5896555000000002E-2</v>
          </cell>
          <cell r="AU306">
            <v>1.86563E-4</v>
          </cell>
        </row>
        <row r="307">
          <cell r="D307">
            <v>370</v>
          </cell>
          <cell r="J307">
            <v>0.10270270300000001</v>
          </cell>
          <cell r="K307">
            <v>2.4974200000000001E-4</v>
          </cell>
          <cell r="L307">
            <v>0.14601389000000001</v>
          </cell>
          <cell r="M307">
            <v>1.586648E-3</v>
          </cell>
          <cell r="N307">
            <v>0.66756756799999994</v>
          </cell>
          <cell r="O307">
            <v>6.0141199999999995E-4</v>
          </cell>
          <cell r="P307">
            <v>0.61743827600000001</v>
          </cell>
          <cell r="Q307">
            <v>5.442634E-3</v>
          </cell>
          <cell r="AI307">
            <v>0.27027026999999998</v>
          </cell>
          <cell r="AJ307">
            <v>5.3448299999999999E-4</v>
          </cell>
          <cell r="AK307">
            <v>0.33668710600000001</v>
          </cell>
          <cell r="AL307">
            <v>4.4514749999999999E-3</v>
          </cell>
          <cell r="AR307">
            <v>5.6756756999999998E-2</v>
          </cell>
          <cell r="AS307">
            <v>1.4508199999999999E-4</v>
          </cell>
          <cell r="AT307">
            <v>2.5896555000000002E-2</v>
          </cell>
          <cell r="AU307">
            <v>1.86563E-4</v>
          </cell>
        </row>
        <row r="308">
          <cell r="D308">
            <v>637</v>
          </cell>
          <cell r="J308">
            <v>0.150706436</v>
          </cell>
          <cell r="K308">
            <v>2.0124800000000001E-4</v>
          </cell>
          <cell r="L308">
            <v>0.14601389000000001</v>
          </cell>
          <cell r="M308">
            <v>1.586648E-3</v>
          </cell>
          <cell r="N308">
            <v>0.70486656199999997</v>
          </cell>
          <cell r="O308">
            <v>3.27091E-4</v>
          </cell>
          <cell r="P308">
            <v>0.61743827600000001</v>
          </cell>
          <cell r="Q308">
            <v>5.442634E-3</v>
          </cell>
          <cell r="AI308">
            <v>0.24175824200000001</v>
          </cell>
          <cell r="AJ308">
            <v>2.8822500000000003E-4</v>
          </cell>
          <cell r="AK308">
            <v>0.33668710600000001</v>
          </cell>
          <cell r="AL308">
            <v>4.4514749999999999E-3</v>
          </cell>
          <cell r="AR308">
            <v>2.5117739E-2</v>
          </cell>
          <cell r="AS308">
            <v>3.8501299999999997E-5</v>
          </cell>
          <cell r="AT308">
            <v>2.5896555000000002E-2</v>
          </cell>
          <cell r="AU308">
            <v>1.86563E-4</v>
          </cell>
        </row>
        <row r="318">
          <cell r="G318">
            <v>1478</v>
          </cell>
          <cell r="H318">
            <v>279</v>
          </cell>
          <cell r="AD318">
            <v>0.99932341000000002</v>
          </cell>
          <cell r="AE318">
            <v>4.5777400000000001E-7</v>
          </cell>
          <cell r="AF318">
            <v>0.98779804699999996</v>
          </cell>
          <cell r="AG318">
            <v>2.0975599999999999E-4</v>
          </cell>
          <cell r="AM318">
            <v>1</v>
          </cell>
          <cell r="AN318">
            <v>0</v>
          </cell>
          <cell r="AO318">
            <v>0.98821147200000004</v>
          </cell>
          <cell r="AP318">
            <v>5.1523900000000002E-4</v>
          </cell>
          <cell r="AV318">
            <v>0</v>
          </cell>
          <cell r="AW318">
            <v>0</v>
          </cell>
          <cell r="AX318">
            <v>1.1788528E-2</v>
          </cell>
          <cell r="AY318">
            <v>5.1482899999999996E-4</v>
          </cell>
        </row>
        <row r="319">
          <cell r="G319">
            <v>868</v>
          </cell>
          <cell r="H319">
            <v>119</v>
          </cell>
          <cell r="AD319">
            <v>1</v>
          </cell>
          <cell r="AE319">
            <v>0</v>
          </cell>
          <cell r="AF319">
            <v>0.98779804699999996</v>
          </cell>
          <cell r="AG319">
            <v>2.0975599999999999E-4</v>
          </cell>
          <cell r="AM319">
            <v>1</v>
          </cell>
          <cell r="AN319">
            <v>0</v>
          </cell>
          <cell r="AO319">
            <v>0.98821147200000004</v>
          </cell>
          <cell r="AP319">
            <v>5.1523900000000002E-4</v>
          </cell>
          <cell r="AV319">
            <v>0</v>
          </cell>
          <cell r="AW319">
            <v>0</v>
          </cell>
          <cell r="AX319">
            <v>1.1788528E-2</v>
          </cell>
          <cell r="AY319">
            <v>5.1482899999999996E-4</v>
          </cell>
        </row>
        <row r="320">
          <cell r="G320">
            <v>1473</v>
          </cell>
          <cell r="H320">
            <v>284</v>
          </cell>
          <cell r="AD320">
            <v>0.99932111300000004</v>
          </cell>
          <cell r="AE320">
            <v>4.6088700000000002E-7</v>
          </cell>
          <cell r="AF320">
            <v>0.98779804699999996</v>
          </cell>
          <cell r="AG320">
            <v>2.0975599999999999E-4</v>
          </cell>
          <cell r="AM320">
            <v>1</v>
          </cell>
          <cell r="AN320">
            <v>0</v>
          </cell>
          <cell r="AO320">
            <v>0.98821147200000004</v>
          </cell>
          <cell r="AP320">
            <v>5.1523900000000002E-4</v>
          </cell>
          <cell r="AV320">
            <v>0</v>
          </cell>
          <cell r="AW320">
            <v>0</v>
          </cell>
          <cell r="AX320">
            <v>1.1788528E-2</v>
          </cell>
          <cell r="AY320">
            <v>5.1482899999999996E-4</v>
          </cell>
        </row>
        <row r="321">
          <cell r="G321">
            <v>1248</v>
          </cell>
          <cell r="H321">
            <v>124</v>
          </cell>
          <cell r="AD321">
            <v>0.99759615400000001</v>
          </cell>
          <cell r="AE321">
            <v>1.9230699999999999E-6</v>
          </cell>
          <cell r="AF321">
            <v>0.98779804699999996</v>
          </cell>
          <cell r="AG321">
            <v>2.0975599999999999E-4</v>
          </cell>
          <cell r="AM321">
            <v>1</v>
          </cell>
          <cell r="AN321">
            <v>0</v>
          </cell>
          <cell r="AO321">
            <v>0.98821147200000004</v>
          </cell>
          <cell r="AP321">
            <v>5.1523900000000002E-4</v>
          </cell>
          <cell r="AV321">
            <v>0</v>
          </cell>
          <cell r="AW321">
            <v>0</v>
          </cell>
          <cell r="AX321">
            <v>1.1788528E-2</v>
          </cell>
          <cell r="AY321">
            <v>5.1482899999999996E-4</v>
          </cell>
        </row>
        <row r="322">
          <cell r="G322">
            <v>680</v>
          </cell>
          <cell r="H322">
            <v>181</v>
          </cell>
          <cell r="AD322">
            <v>0.97794117599999997</v>
          </cell>
          <cell r="AE322">
            <v>3.1770599999999997E-5</v>
          </cell>
          <cell r="AF322">
            <v>0.98779804699999996</v>
          </cell>
          <cell r="AG322">
            <v>2.0975599999999999E-4</v>
          </cell>
          <cell r="AM322">
            <v>1</v>
          </cell>
          <cell r="AN322">
            <v>0</v>
          </cell>
          <cell r="AO322">
            <v>0.98821147200000004</v>
          </cell>
          <cell r="AP322">
            <v>5.1523900000000002E-4</v>
          </cell>
          <cell r="AV322">
            <v>0</v>
          </cell>
          <cell r="AW322">
            <v>0</v>
          </cell>
          <cell r="AX322">
            <v>1.1788528E-2</v>
          </cell>
          <cell r="AY322">
            <v>5.1482899999999996E-4</v>
          </cell>
        </row>
        <row r="323">
          <cell r="G323">
            <v>1280</v>
          </cell>
          <cell r="H323">
            <v>216</v>
          </cell>
          <cell r="AD323">
            <v>0.98593750000000002</v>
          </cell>
          <cell r="AE323">
            <v>1.08403E-5</v>
          </cell>
          <cell r="AF323">
            <v>0.98779804699999996</v>
          </cell>
          <cell r="AG323">
            <v>2.0975599999999999E-4</v>
          </cell>
          <cell r="AM323">
            <v>0.97685185200000002</v>
          </cell>
          <cell r="AN323">
            <v>1.0517400000000001E-4</v>
          </cell>
          <cell r="AO323">
            <v>0.98821147200000004</v>
          </cell>
          <cell r="AP323">
            <v>5.1523900000000002E-4</v>
          </cell>
          <cell r="AV323">
            <v>2.3148148E-2</v>
          </cell>
          <cell r="AW323">
            <v>1.0517400000000001E-4</v>
          </cell>
          <cell r="AX323">
            <v>1.1788528E-2</v>
          </cell>
          <cell r="AY323">
            <v>5.1482899999999996E-4</v>
          </cell>
        </row>
        <row r="324">
          <cell r="G324">
            <v>1494</v>
          </cell>
          <cell r="H324">
            <v>287</v>
          </cell>
          <cell r="AD324">
            <v>0.97657295899999996</v>
          </cell>
          <cell r="AE324">
            <v>1.53237E-5</v>
          </cell>
          <cell r="AF324">
            <v>0.98779804699999996</v>
          </cell>
          <cell r="AG324">
            <v>2.0975599999999999E-4</v>
          </cell>
          <cell r="AM324">
            <v>0.92682926799999998</v>
          </cell>
          <cell r="AN324">
            <v>2.3712200000000001E-4</v>
          </cell>
          <cell r="AO324">
            <v>0.98821147200000004</v>
          </cell>
          <cell r="AP324">
            <v>5.1523900000000002E-4</v>
          </cell>
          <cell r="AV324">
            <v>7.3170732000000002E-2</v>
          </cell>
          <cell r="AW324">
            <v>2.3712200000000001E-4</v>
          </cell>
          <cell r="AX324">
            <v>1.1788528E-2</v>
          </cell>
          <cell r="AY324">
            <v>5.1482899999999996E-4</v>
          </cell>
        </row>
        <row r="325">
          <cell r="G325">
            <v>1811</v>
          </cell>
          <cell r="H325">
            <v>170</v>
          </cell>
          <cell r="AD325">
            <v>0.99558255100000004</v>
          </cell>
          <cell r="AE325">
            <v>2.4298E-6</v>
          </cell>
          <cell r="AF325">
            <v>0.98779804699999996</v>
          </cell>
          <cell r="AG325">
            <v>2.0975599999999999E-4</v>
          </cell>
          <cell r="AM325">
            <v>1</v>
          </cell>
          <cell r="AN325">
            <v>0</v>
          </cell>
          <cell r="AO325">
            <v>0.98821147200000004</v>
          </cell>
          <cell r="AP325">
            <v>5.1523900000000002E-4</v>
          </cell>
          <cell r="AV325">
            <v>0</v>
          </cell>
          <cell r="AW325">
            <v>0</v>
          </cell>
          <cell r="AX325">
            <v>1.1788528E-2</v>
          </cell>
          <cell r="AY325">
            <v>5.1482899999999996E-4</v>
          </cell>
        </row>
        <row r="326">
          <cell r="G326">
            <v>1784</v>
          </cell>
          <cell r="H326">
            <v>243</v>
          </cell>
          <cell r="AD326">
            <v>0.998878924</v>
          </cell>
          <cell r="AE326">
            <v>6.2805399999999997E-7</v>
          </cell>
          <cell r="AF326">
            <v>0.98779804699999996</v>
          </cell>
          <cell r="AG326">
            <v>2.0975599999999999E-4</v>
          </cell>
          <cell r="AM326">
            <v>1</v>
          </cell>
          <cell r="AN326">
            <v>0</v>
          </cell>
          <cell r="AO326">
            <v>0.98821147200000004</v>
          </cell>
          <cell r="AP326">
            <v>5.1523900000000002E-4</v>
          </cell>
          <cell r="AV326">
            <v>0</v>
          </cell>
          <cell r="AW326">
            <v>0</v>
          </cell>
          <cell r="AX326">
            <v>1.1788528E-2</v>
          </cell>
          <cell r="AY326">
            <v>5.1482899999999996E-4</v>
          </cell>
        </row>
        <row r="327">
          <cell r="G327">
            <v>1953</v>
          </cell>
          <cell r="H327">
            <v>232</v>
          </cell>
          <cell r="AD327">
            <v>0.99692780299999995</v>
          </cell>
          <cell r="AE327">
            <v>1.56904E-6</v>
          </cell>
          <cell r="AF327">
            <v>0.98779804699999996</v>
          </cell>
          <cell r="AG327">
            <v>2.0975599999999999E-4</v>
          </cell>
          <cell r="AM327">
            <v>1</v>
          </cell>
          <cell r="AN327">
            <v>0</v>
          </cell>
          <cell r="AO327">
            <v>0.98821147200000004</v>
          </cell>
          <cell r="AP327">
            <v>5.1523900000000002E-4</v>
          </cell>
          <cell r="AV327">
            <v>0</v>
          </cell>
          <cell r="AW327">
            <v>0</v>
          </cell>
          <cell r="AX327">
            <v>1.1788528E-2</v>
          </cell>
          <cell r="AY327">
            <v>5.1482899999999996E-4</v>
          </cell>
        </row>
        <row r="328">
          <cell r="G328">
            <v>1815</v>
          </cell>
          <cell r="H328">
            <v>277</v>
          </cell>
          <cell r="AD328">
            <v>0.99944903600000001</v>
          </cell>
          <cell r="AE328">
            <v>3.03562E-7</v>
          </cell>
          <cell r="AF328">
            <v>0.98779804699999996</v>
          </cell>
          <cell r="AG328">
            <v>2.0975599999999999E-4</v>
          </cell>
          <cell r="AM328">
            <v>1</v>
          </cell>
          <cell r="AN328">
            <v>0</v>
          </cell>
          <cell r="AO328">
            <v>0.98821147200000004</v>
          </cell>
          <cell r="AP328">
            <v>5.1523900000000002E-4</v>
          </cell>
          <cell r="AV328">
            <v>0</v>
          </cell>
          <cell r="AW328">
            <v>0</v>
          </cell>
          <cell r="AX328">
            <v>1.1788528E-2</v>
          </cell>
          <cell r="AY328">
            <v>5.1482899999999996E-4</v>
          </cell>
        </row>
        <row r="329">
          <cell r="G329">
            <v>2009</v>
          </cell>
          <cell r="H329">
            <v>259</v>
          </cell>
          <cell r="AD329">
            <v>0.96864111500000005</v>
          </cell>
          <cell r="AE329">
            <v>1.51272E-5</v>
          </cell>
          <cell r="AF329">
            <v>0.98779804699999996</v>
          </cell>
          <cell r="AG329">
            <v>2.0975599999999999E-4</v>
          </cell>
          <cell r="AM329">
            <v>0.988416988</v>
          </cell>
          <cell r="AN329">
            <v>4.4375400000000002E-5</v>
          </cell>
          <cell r="AO329">
            <v>0.98821147200000004</v>
          </cell>
          <cell r="AP329">
            <v>5.1523900000000002E-4</v>
          </cell>
          <cell r="AV329">
            <v>1.1583012E-2</v>
          </cell>
          <cell r="AW329">
            <v>4.4375400000000002E-5</v>
          </cell>
          <cell r="AX329">
            <v>1.1788528E-2</v>
          </cell>
          <cell r="AY329">
            <v>5.1482899999999996E-4</v>
          </cell>
        </row>
        <row r="330">
          <cell r="G330">
            <v>2275</v>
          </cell>
          <cell r="H330">
            <v>259</v>
          </cell>
          <cell r="AD330">
            <v>0.978901099</v>
          </cell>
          <cell r="AE330">
            <v>9.0825600000000007E-6</v>
          </cell>
          <cell r="AF330">
            <v>0.98779804699999996</v>
          </cell>
          <cell r="AG330">
            <v>2.0975599999999999E-4</v>
          </cell>
          <cell r="AM330">
            <v>0.94980695000000004</v>
          </cell>
          <cell r="AN330">
            <v>1.8478200000000001E-4</v>
          </cell>
          <cell r="AO330">
            <v>0.98821147200000004</v>
          </cell>
          <cell r="AP330">
            <v>5.1523900000000002E-4</v>
          </cell>
          <cell r="AV330">
            <v>5.0193050000000003E-2</v>
          </cell>
          <cell r="AW330">
            <v>1.8478200000000001E-4</v>
          </cell>
          <cell r="AX330">
            <v>1.1788528E-2</v>
          </cell>
          <cell r="AY330">
            <v>5.1482899999999996E-4</v>
          </cell>
        </row>
        <row r="340">
          <cell r="D340">
            <v>160</v>
          </cell>
          <cell r="J340">
            <v>0</v>
          </cell>
          <cell r="K340">
            <v>0</v>
          </cell>
          <cell r="L340">
            <v>1.5299544999999999E-2</v>
          </cell>
          <cell r="M340">
            <v>2.3553699999999999E-4</v>
          </cell>
          <cell r="N340">
            <v>0.91249999999999998</v>
          </cell>
          <cell r="O340">
            <v>5.0216200000000001E-4</v>
          </cell>
          <cell r="P340">
            <v>0.86861137799999999</v>
          </cell>
          <cell r="Q340">
            <v>5.2692640000000001E-3</v>
          </cell>
        </row>
        <row r="341">
          <cell r="D341">
            <v>157</v>
          </cell>
          <cell r="J341">
            <v>6.3694270000000004E-3</v>
          </cell>
          <cell r="K341">
            <v>4.0569599999999999E-5</v>
          </cell>
          <cell r="L341">
            <v>1.5299544999999999E-2</v>
          </cell>
          <cell r="M341">
            <v>2.3553699999999999E-4</v>
          </cell>
          <cell r="N341">
            <v>0.94904458599999997</v>
          </cell>
          <cell r="O341">
            <v>3.09993E-4</v>
          </cell>
          <cell r="P341">
            <v>0.86861137799999999</v>
          </cell>
          <cell r="Q341">
            <v>5.2692640000000001E-3</v>
          </cell>
        </row>
        <row r="342">
          <cell r="D342">
            <v>67</v>
          </cell>
          <cell r="J342">
            <v>4.4776119000000003E-2</v>
          </cell>
          <cell r="K342">
            <v>6.4804900000000004E-4</v>
          </cell>
          <cell r="L342">
            <v>1.5299544999999999E-2</v>
          </cell>
          <cell r="M342">
            <v>2.3553699999999999E-4</v>
          </cell>
          <cell r="N342">
            <v>0.79104477600000001</v>
          </cell>
          <cell r="O342">
            <v>2.5044379999999999E-3</v>
          </cell>
          <cell r="P342">
            <v>0.86861137799999999</v>
          </cell>
          <cell r="Q342">
            <v>5.2692640000000001E-3</v>
          </cell>
        </row>
        <row r="343">
          <cell r="D343">
            <v>192</v>
          </cell>
          <cell r="J343">
            <v>1.5625E-2</v>
          </cell>
          <cell r="K343">
            <v>8.0528100000000006E-5</v>
          </cell>
          <cell r="L343">
            <v>1.5299544999999999E-2</v>
          </cell>
          <cell r="M343">
            <v>2.3553699999999999E-4</v>
          </cell>
          <cell r="N343">
            <v>0.94270833300000001</v>
          </cell>
          <cell r="O343">
            <v>2.8277100000000002E-4</v>
          </cell>
          <cell r="P343">
            <v>0.86861137799999999</v>
          </cell>
          <cell r="Q343">
            <v>5.2692640000000001E-3</v>
          </cell>
        </row>
        <row r="344">
          <cell r="D344">
            <v>201</v>
          </cell>
          <cell r="J344">
            <v>1.4925373E-2</v>
          </cell>
          <cell r="K344">
            <v>7.3512999999999999E-5</v>
          </cell>
          <cell r="L344">
            <v>1.5299544999999999E-2</v>
          </cell>
          <cell r="M344">
            <v>2.3553699999999999E-4</v>
          </cell>
          <cell r="N344">
            <v>0.89552238799999995</v>
          </cell>
          <cell r="O344">
            <v>4.6780999999999998E-4</v>
          </cell>
          <cell r="P344">
            <v>0.86861137799999999</v>
          </cell>
          <cell r="Q344">
            <v>5.2692640000000001E-3</v>
          </cell>
        </row>
        <row r="345">
          <cell r="D345">
            <v>276</v>
          </cell>
          <cell r="J345">
            <v>1.8115941999999999E-2</v>
          </cell>
          <cell r="K345">
            <v>6.4682699999999997E-5</v>
          </cell>
          <cell r="L345">
            <v>1.5299544999999999E-2</v>
          </cell>
          <cell r="M345">
            <v>2.3553699999999999E-4</v>
          </cell>
          <cell r="N345">
            <v>0.82608695700000001</v>
          </cell>
          <cell r="O345">
            <v>5.22427E-4</v>
          </cell>
          <cell r="P345">
            <v>0.86861137799999999</v>
          </cell>
          <cell r="Q345">
            <v>5.2692640000000001E-3</v>
          </cell>
        </row>
        <row r="346">
          <cell r="D346">
            <v>135</v>
          </cell>
          <cell r="J346">
            <v>2.2222222E-2</v>
          </cell>
          <cell r="K346">
            <v>1.6215199999999999E-4</v>
          </cell>
          <cell r="L346">
            <v>1.5299544999999999E-2</v>
          </cell>
          <cell r="M346">
            <v>2.3553699999999999E-4</v>
          </cell>
          <cell r="N346">
            <v>0.79259259299999996</v>
          </cell>
          <cell r="O346">
            <v>1.2267879999999999E-3</v>
          </cell>
          <cell r="P346">
            <v>0.86861137799999999</v>
          </cell>
          <cell r="Q346">
            <v>5.2692640000000001E-3</v>
          </cell>
        </row>
        <row r="349">
          <cell r="D349">
            <v>55</v>
          </cell>
          <cell r="J349">
            <v>0</v>
          </cell>
          <cell r="K349">
            <v>0</v>
          </cell>
          <cell r="L349">
            <v>1.5299544999999999E-2</v>
          </cell>
          <cell r="M349">
            <v>2.3553699999999999E-4</v>
          </cell>
          <cell r="N349">
            <v>0.98181818200000004</v>
          </cell>
          <cell r="O349">
            <v>3.3057900000000001E-4</v>
          </cell>
          <cell r="P349">
            <v>0.86861137799999999</v>
          </cell>
          <cell r="Q349">
            <v>5.2692640000000001E-3</v>
          </cell>
        </row>
        <row r="350">
          <cell r="D350">
            <v>80</v>
          </cell>
          <cell r="J350">
            <v>3.7499999999999999E-2</v>
          </cell>
          <cell r="K350">
            <v>4.56883E-4</v>
          </cell>
          <cell r="L350">
            <v>1.5299544999999999E-2</v>
          </cell>
          <cell r="M350">
            <v>2.3553699999999999E-4</v>
          </cell>
          <cell r="N350">
            <v>0.85</v>
          </cell>
          <cell r="O350">
            <v>1.6139240000000001E-3</v>
          </cell>
          <cell r="P350">
            <v>0.86861137799999999</v>
          </cell>
          <cell r="Q350">
            <v>5.2692640000000001E-3</v>
          </cell>
        </row>
        <row r="351">
          <cell r="D351">
            <v>391</v>
          </cell>
          <cell r="J351">
            <v>0</v>
          </cell>
          <cell r="K351">
            <v>0</v>
          </cell>
          <cell r="L351">
            <v>1.5299544999999999E-2</v>
          </cell>
          <cell r="M351">
            <v>2.3553699999999999E-4</v>
          </cell>
          <cell r="N351">
            <v>0.90537084400000001</v>
          </cell>
          <cell r="O351">
            <v>2.1967800000000001E-4</v>
          </cell>
          <cell r="P351">
            <v>0.86861137799999999</v>
          </cell>
          <cell r="Q351">
            <v>5.2692640000000001E-3</v>
          </cell>
        </row>
        <row r="352">
          <cell r="D352">
            <v>243</v>
          </cell>
          <cell r="J352">
            <v>2.0576132E-2</v>
          </cell>
          <cell r="K352">
            <v>8.3275800000000007E-5</v>
          </cell>
          <cell r="L352">
            <v>1.5299544999999999E-2</v>
          </cell>
          <cell r="M352">
            <v>2.3553699999999999E-4</v>
          </cell>
          <cell r="N352">
            <v>0.76131687199999998</v>
          </cell>
          <cell r="O352">
            <v>7.5088200000000003E-4</v>
          </cell>
          <cell r="P352">
            <v>0.86861137799999999</v>
          </cell>
          <cell r="Q352">
            <v>5.2692640000000001E-3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tie Howard" id="{4EF1F454-7715-4346-9203-AE6840C64668}" userId="Katie Howard" providerId="None"/>
  <person displayName="Joy, Philip J (DFG)" id="{84AED1DB-CEEF-46FA-AFE8-A9482D8C2393}" userId="S::philip.joy@alaska.gov::07bb4402-e822-4d82-9684-e0a3bfb665f9" providerId="AD"/>
  <person displayName="Webster, Sarah R (DFG)" id="{FFDA9C8F-439A-4FA2-8BEC-CE5DCE936A5A}" userId="S::sarah.webster@alaska.gov::59db7636-3d5a-4e70-a230-37a0ec0386f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11-08T23:24:26.42" personId="{4EF1F454-7715-4346-9203-AE6840C64668}" id="{775795E9-59A4-4C2B-9D0B-970CC03CF14A}">
    <text>C:\Users\kghoward\Desktop\Rockfish SF Harvest reconstruction\R code\logbook_harvest</text>
  </threadedComment>
  <threadedComment ref="E1" dT="2019-11-18T22:10:30.62" personId="{4EF1F454-7715-4346-9203-AE6840C64668}" id="{85D5FC7A-24C2-4223-8707-6B719028EF92}">
    <text>SWHS data with too few respondents: 
mainland and westside=WKMA
SOUTHEAST, SOUTHWEST = SKMA
EYKT and IBS=EWYKT</text>
  </threadedComment>
  <threadedComment ref="K1" dT="2019-11-04T20:56:56.47" personId="{4EF1F454-7715-4346-9203-AE6840C64668}" id="{AA9E4D02-CF20-4B46-8624-D9D4257BE7DB}">
    <text>=logbook CFMU RF harvest /guided proportion SWHS RF harvest</text>
  </threadedComment>
  <threadedComment ref="L1" dT="2019-11-04T20:56:56.47" personId="{4EF1F454-7715-4346-9203-AE6840C64668}" id="{6ED5C177-5F75-486B-AE5C-4D8904CC603D}">
    <text>=logbook CFMU RF harvest /guided proportion SWHS RF harvest</text>
  </threadedComment>
  <threadedComment ref="L1" dT="2019-12-31T00:11:06.98" personId="{4EF1F454-7715-4346-9203-AE6840C64668}" id="{A301F803-BE1F-42C8-96BE-ACC1EBA73C81}" parentId="{6ED5C177-5F75-486B-AE5C-4D8904CC603D}">
    <text>pre-2011 bootstrapping needed for variance estimates</text>
  </threadedComment>
  <threadedComment ref="P1" dT="2019-11-04T22:30:11.90" personId="{4EF1F454-7715-4346-9203-AE6840C64668}" id="{4A58EEE8-6932-45F5-8E80-9D47700F3E80}">
    <text>add variances of log_rfharv and TOTAL_rfharv. since logbook assume variance of zero, variance = that of total harvest estimate</text>
  </threadedComment>
  <threadedComment ref="E26" dT="2024-08-13T21:31:34.45" personId="{84AED1DB-CEEF-46FA-AFE8-A9482D8C2393}" id="{DB4E246C-B848-44B5-B5A0-4074E6099624}">
    <text>47 respondents under 50, but using anyway since it would match recent years and no other alternatives.</text>
  </threadedComment>
  <threadedComment ref="E51" dT="2024-08-13T21:33:32.95" personId="{84AED1DB-CEEF-46FA-AFE8-A9482D8C2393}" id="{2689698F-4480-4BF6-8F1C-64C50F490E59}">
    <text xml:space="preserve">Low sample size (41) but don’t want to use Afognak because also low sample size. </text>
  </threadedComment>
  <threadedComment ref="E65" dT="2019-12-11T01:50:06.68" personId="{4EF1F454-7715-4346-9203-AE6840C64668}" id="{AF43EECD-E180-4969-BCA0-8F194CBC2935}">
    <text>substitute WKMA as best surrogate</text>
  </threadedComment>
  <threadedComment ref="E76" dT="2024-08-13T21:34:11.66" personId="{84AED1DB-CEEF-46FA-AFE8-A9482D8C2393}" id="{7833E81E-5A68-4F98-88DC-EE589F8A9AB2}">
    <text>Subbed Afognak because of low sample size</text>
  </threadedComment>
  <threadedComment ref="F76" dT="2024-08-13T21:34:11.66" personId="{84AED1DB-CEEF-46FA-AFE8-A9482D8C2393}" id="{B501C9FD-FEB3-406B-AA02-8E4333B814F1}">
    <text>Subbed Afognak because of low sample size</text>
  </threadedComment>
  <threadedComment ref="G76" dT="2024-08-13T21:34:11.66" personId="{84AED1DB-CEEF-46FA-AFE8-A9482D8C2393}" id="{C0F93926-8F3D-4088-BC55-955E3C876275}">
    <text>Subbed Afognak because of low sample size</text>
  </threadedComment>
  <threadedComment ref="H76" dT="2024-08-13T21:34:11.66" personId="{84AED1DB-CEEF-46FA-AFE8-A9482D8C2393}" id="{FA48B479-4D71-4F49-B8DE-41DB973984FD}">
    <text>Subbed Afognak because of low sample size</text>
  </threadedComment>
  <threadedComment ref="E121" dT="2023-06-06T19:54:31.64" personId="{FFDA9C8F-439A-4FA2-8BEC-CE5DCE936A5A}" id="{5A0F5DCC-2B3C-438C-A0B4-9B74718FE666}">
    <text>Subbed Westside due to low sample - more consistent proportions than northeast (nearest neighbor)</text>
  </threadedComment>
  <threadedComment ref="E126" dT="2024-08-13T21:35:14.23" personId="{84AED1DB-CEEF-46FA-AFE8-A9482D8C2393}" id="{9AD36856-1E35-4919-B19C-A9099B07E2B6}">
    <text>Subbed Afognak because of low sample size</text>
  </threadedComment>
  <threadedComment ref="F126" dT="2024-08-13T21:35:14.23" personId="{84AED1DB-CEEF-46FA-AFE8-A9482D8C2393}" id="{B4C9B029-743D-4159-8E82-DD6FC0D07EEE}">
    <text>Subbed Afognak because of low sample size</text>
  </threadedComment>
  <threadedComment ref="G126" dT="2024-08-13T21:35:14.23" personId="{84AED1DB-CEEF-46FA-AFE8-A9482D8C2393}" id="{F0FFDDEE-A4DA-447F-A4D5-31BFD562B243}">
    <text>Subbed Afognak because of low sample size</text>
  </threadedComment>
  <threadedComment ref="H126" dT="2024-08-13T21:35:14.23" personId="{84AED1DB-CEEF-46FA-AFE8-A9482D8C2393}" id="{0801D007-3BFC-4CE0-9126-DB22DD3E18C0}">
    <text>Subbed Afognak because of low sample size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19-11-08T23:24:26.42" personId="{4EF1F454-7715-4346-9203-AE6840C64668}" id="{CDEF81F2-575A-4396-92F0-157572F31FB5}">
    <text>C:\Users\kghoward\Desktop\Rockfish SF Harvest reconstruction\R code\logbook_harvest</text>
  </threadedComment>
  <threadedComment ref="F2" dT="2019-11-09T01:53:04.10" personId="{4EF1F454-7715-4346-9203-AE6840C64668}" id="{F6C31A2C-E692-40FE-9BCF-418DC29BCE93}">
    <text>Substitutions when no port sample data available:
1. AFOGNAK &amp; WKMA = NORTHEAST
2. SKMA = EASTSIDE</text>
  </threadedComment>
  <threadedComment ref="N2" dT="2019-11-04T22:30:11.90" personId="{4EF1F454-7715-4346-9203-AE6840C64668}" id="{37717508-8924-41EE-BD2E-DBB495D51F38}">
    <text>add variances of log_rfharv and TOTAL_rfharv. since logbook assume variance of zero, variance = that of total harvest estimate</text>
  </threadedComment>
  <threadedComment ref="O2" dT="2019-11-12T19:36:13.11" personId="{4EF1F454-7715-4346-9203-AE6840C64668}" id="{35011469-C84D-4FE4-9515-70FC1774D3C5}">
    <text>Substitutions when no port sample data available:
1. AFOGNAK &amp; WKMA &amp; SKMA &amp; EASTSIDE = NORTHEAST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dT="2019-11-09T01:53:04.10" personId="{4EF1F454-7715-4346-9203-AE6840C64668}" id="{5536D63F-8920-4E36-8CC8-1A7F12ED2E6C}">
    <text>Substitutions when no port sample data available from mean logbook proportions (AFOGNAK, WKMA, SKMA, CI, EASTSIDE, NORTHEAST)</text>
  </threadedComment>
  <threadedComment ref="O2" dT="2019-11-04T22:30:11.90" personId="{4EF1F454-7715-4346-9203-AE6840C64668}" id="{D3FDD8F1-8010-4BF3-997A-CBBA4560959A}">
    <text>add variances of log_rfharv and TOTAL_rfharv. since logbook assume variance of zero, variance = that of total harvest estimate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A42CC030-ACEC-4060-8312-7F444929EA9A}">
    <text>Substitutions when no port sample data available from mean logbook proportions (AFOGNAK, WKMA, SKMA, CI, EASTSIDE, NORTHEAST)</text>
  </threadedComment>
  <threadedComment ref="N2" dT="2019-11-04T22:30:11.90" personId="{4EF1F454-7715-4346-9203-AE6840C64668}" id="{395E7875-D433-406A-9CB6-B8379504EDE7}">
    <text>add variances of log_rfharv and TOTAL_rfharv. since logbook assume variance of zero, variance = that of total harvest estimate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08A33481-555A-4897-B499-BB6394654238}">
    <text>Substitutions when no port sample data available from mean logbook proportions (AFOGNAK, WKMA, SKMA, CI, EASTSIDE, NORTHEAST)</text>
  </threadedComment>
  <threadedComment ref="N2" dT="2019-11-04T22:30:11.90" personId="{4EF1F454-7715-4346-9203-AE6840C64668}" id="{214489EA-54E8-488C-9644-E3D8984FBD97}">
    <text>add variances of log_rfharv and TOTAL_rfharv. since logbook assume variance of zero, variance = that of total harvest estimate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19-11-08T23:24:26.42" personId="{4EF1F454-7715-4346-9203-AE6840C64668}" id="{6A782F1B-EE30-4623-A70E-0F248925A880}">
    <text>C:\Users\kghoward\Desktop\Rockfish SF Harvest reconstruction\R code\logbook_harvest</text>
  </threadedComment>
  <threadedComment ref="D1" dT="2019-11-18T22:10:30.62" personId="{4EF1F454-7715-4346-9203-AE6840C64668}" id="{8C8DE39C-9C9D-4C4C-AFEE-9B7D1EB24BE1}">
    <text>SWHS data with too few respondents: BSAI - Bering and aleutian
mainland and westside=WKMA
Chignik, SAKPEN, SOUTHEAST, SOUTHWEST = SOKO2SAP
EYKT and IBS=EWT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B42C-ACC5-408D-AB66-156210C7E187}">
  <sheetPr>
    <tabColor rgb="FF00B050"/>
  </sheetPr>
  <dimension ref="A1:T51"/>
  <sheetViews>
    <sheetView topLeftCell="A9" workbookViewId="0">
      <selection activeCell="M13" sqref="M13"/>
    </sheetView>
  </sheetViews>
  <sheetFormatPr defaultRowHeight="15" x14ac:dyDescent="0.25"/>
  <sheetData>
    <row r="1" spans="1:3" ht="18.75" x14ac:dyDescent="0.3">
      <c r="A1" s="5" t="s">
        <v>0</v>
      </c>
    </row>
    <row r="2" spans="1:3" x14ac:dyDescent="0.25">
      <c r="A2" s="41" t="s">
        <v>99</v>
      </c>
    </row>
    <row r="3" spans="1:3" x14ac:dyDescent="0.25">
      <c r="A3" s="41"/>
      <c r="B3" s="42" t="s">
        <v>100</v>
      </c>
    </row>
    <row r="4" spans="1:3" x14ac:dyDescent="0.25">
      <c r="B4" t="s">
        <v>107</v>
      </c>
    </row>
    <row r="5" spans="1:3" x14ac:dyDescent="0.25">
      <c r="B5" t="s">
        <v>97</v>
      </c>
    </row>
    <row r="6" spans="1:3" x14ac:dyDescent="0.25">
      <c r="A6" t="s">
        <v>109</v>
      </c>
    </row>
    <row r="7" spans="1:3" x14ac:dyDescent="0.25">
      <c r="A7" t="s">
        <v>137</v>
      </c>
    </row>
    <row r="8" spans="1:3" x14ac:dyDescent="0.25">
      <c r="A8" s="4" t="s">
        <v>9</v>
      </c>
    </row>
    <row r="9" spans="1:3" x14ac:dyDescent="0.25">
      <c r="B9" s="4" t="s">
        <v>16</v>
      </c>
    </row>
    <row r="10" spans="1:3" x14ac:dyDescent="0.25">
      <c r="B10" t="s">
        <v>98</v>
      </c>
    </row>
    <row r="11" spans="1:3" x14ac:dyDescent="0.25">
      <c r="C11" t="s">
        <v>108</v>
      </c>
    </row>
    <row r="12" spans="1:3" x14ac:dyDescent="0.25">
      <c r="B12" t="s">
        <v>103</v>
      </c>
    </row>
    <row r="13" spans="1:3" x14ac:dyDescent="0.25">
      <c r="C13" t="s">
        <v>105</v>
      </c>
    </row>
    <row r="14" spans="1:3" x14ac:dyDescent="0.25">
      <c r="B14" t="s">
        <v>104</v>
      </c>
    </row>
    <row r="15" spans="1:3" x14ac:dyDescent="0.25">
      <c r="C15" t="s">
        <v>101</v>
      </c>
    </row>
    <row r="16" spans="1:3" x14ac:dyDescent="0.25">
      <c r="B16" s="4" t="s">
        <v>17</v>
      </c>
    </row>
    <row r="17" spans="1:4" x14ac:dyDescent="0.25">
      <c r="B17" t="s">
        <v>98</v>
      </c>
    </row>
    <row r="18" spans="1:4" x14ac:dyDescent="0.25">
      <c r="C18" t="s">
        <v>102</v>
      </c>
    </row>
    <row r="19" spans="1:4" x14ac:dyDescent="0.25">
      <c r="B19" t="s">
        <v>103</v>
      </c>
    </row>
    <row r="20" spans="1:4" x14ac:dyDescent="0.25">
      <c r="C20" t="s">
        <v>106</v>
      </c>
    </row>
    <row r="21" spans="1:4" x14ac:dyDescent="0.25">
      <c r="B21" t="s">
        <v>104</v>
      </c>
    </row>
    <row r="22" spans="1:4" x14ac:dyDescent="0.25">
      <c r="C22" t="s">
        <v>101</v>
      </c>
    </row>
    <row r="24" spans="1:4" x14ac:dyDescent="0.25">
      <c r="A24" s="4" t="s">
        <v>10</v>
      </c>
    </row>
    <row r="25" spans="1:4" x14ac:dyDescent="0.25">
      <c r="B25" s="4" t="s">
        <v>16</v>
      </c>
    </row>
    <row r="26" spans="1:4" x14ac:dyDescent="0.25">
      <c r="B26" t="s">
        <v>111</v>
      </c>
    </row>
    <row r="27" spans="1:4" x14ac:dyDescent="0.25">
      <c r="B27" t="s">
        <v>112</v>
      </c>
    </row>
    <row r="28" spans="1:4" x14ac:dyDescent="0.25">
      <c r="C28" t="s">
        <v>113</v>
      </c>
    </row>
    <row r="29" spans="1:4" x14ac:dyDescent="0.25">
      <c r="D29" t="s">
        <v>114</v>
      </c>
    </row>
    <row r="30" spans="1:4" x14ac:dyDescent="0.25">
      <c r="C30" t="s">
        <v>160</v>
      </c>
    </row>
    <row r="31" spans="1:4" x14ac:dyDescent="0.25">
      <c r="D31" t="s">
        <v>115</v>
      </c>
    </row>
    <row r="32" spans="1:4" x14ac:dyDescent="0.25">
      <c r="C32" t="s">
        <v>116</v>
      </c>
    </row>
    <row r="33" spans="1:20" x14ac:dyDescent="0.25">
      <c r="D33" t="s">
        <v>119</v>
      </c>
    </row>
    <row r="34" spans="1:20" x14ac:dyDescent="0.25">
      <c r="B34" s="4" t="s">
        <v>17</v>
      </c>
    </row>
    <row r="35" spans="1:20" x14ac:dyDescent="0.25">
      <c r="B35" t="s">
        <v>11</v>
      </c>
    </row>
    <row r="36" spans="1:20" x14ac:dyDescent="0.25">
      <c r="C36" t="s">
        <v>123</v>
      </c>
    </row>
    <row r="37" spans="1:20" x14ac:dyDescent="0.25">
      <c r="B37" t="s">
        <v>103</v>
      </c>
    </row>
    <row r="38" spans="1:20" x14ac:dyDescent="0.25">
      <c r="C38" t="s">
        <v>126</v>
      </c>
    </row>
    <row r="39" spans="1:20" x14ac:dyDescent="0.25">
      <c r="B39" t="s">
        <v>127</v>
      </c>
    </row>
    <row r="40" spans="1:20" x14ac:dyDescent="0.25">
      <c r="C40" t="s">
        <v>130</v>
      </c>
    </row>
    <row r="42" spans="1:20" x14ac:dyDescent="0.25">
      <c r="A42" t="s">
        <v>12</v>
      </c>
    </row>
    <row r="43" spans="1:20" x14ac:dyDescent="0.25">
      <c r="B43" t="s">
        <v>135</v>
      </c>
    </row>
    <row r="44" spans="1:20" x14ac:dyDescent="0.25">
      <c r="B44" t="s">
        <v>136</v>
      </c>
    </row>
    <row r="46" spans="1:20" x14ac:dyDescent="0.25">
      <c r="A46" s="44" t="s">
        <v>13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  <row r="49" customFormat="1" x14ac:dyDescent="0.25"/>
    <row r="50" customFormat="1" x14ac:dyDescent="0.25"/>
    <row r="51" customForma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0DC-5E07-4106-8471-0321948C826C}">
  <sheetPr>
    <tabColor rgb="FF00B0F0"/>
  </sheetPr>
  <dimension ref="A1:AF86"/>
  <sheetViews>
    <sheetView topLeftCell="G57" workbookViewId="0">
      <selection activeCell="AC62" sqref="AC62:AD86"/>
    </sheetView>
  </sheetViews>
  <sheetFormatPr defaultRowHeight="15" x14ac:dyDescent="0.25"/>
  <cols>
    <col min="2" max="2" width="9.5703125" bestFit="1" customWidth="1"/>
    <col min="3" max="3" width="10" bestFit="1" customWidth="1"/>
    <col min="5" max="5" width="10" bestFit="1" customWidth="1"/>
    <col min="7" max="7" width="11" bestFit="1" customWidth="1"/>
    <col min="11" max="11" width="10.42578125" bestFit="1" customWidth="1"/>
    <col min="12" max="14" width="10.42578125" customWidth="1"/>
    <col min="17" max="17" width="9.140625" style="99"/>
  </cols>
  <sheetData>
    <row r="1" spans="1:17" ht="21" x14ac:dyDescent="0.35">
      <c r="A1" s="109" t="s">
        <v>94</v>
      </c>
      <c r="B1" s="109"/>
      <c r="C1" s="109"/>
      <c r="D1" s="109"/>
      <c r="E1" s="109"/>
      <c r="F1" s="109"/>
      <c r="G1" s="109"/>
      <c r="H1" s="109"/>
      <c r="I1" s="109"/>
      <c r="J1" s="109"/>
      <c r="Q1" s="98" t="s">
        <v>174</v>
      </c>
    </row>
    <row r="2" spans="1:17" x14ac:dyDescent="0.25">
      <c r="A2" t="s">
        <v>34</v>
      </c>
      <c r="B2" s="109" t="s">
        <v>45</v>
      </c>
      <c r="C2" s="109"/>
      <c r="D2" s="109" t="s">
        <v>48</v>
      </c>
      <c r="E2" s="109"/>
      <c r="F2" s="109" t="s">
        <v>91</v>
      </c>
      <c r="G2" s="109"/>
      <c r="H2" s="109" t="s">
        <v>54</v>
      </c>
      <c r="I2" s="109"/>
      <c r="J2" s="109" t="s">
        <v>82</v>
      </c>
      <c r="K2" s="109"/>
      <c r="L2" s="9"/>
      <c r="M2" s="9"/>
      <c r="N2" s="9"/>
    </row>
    <row r="3" spans="1:17" x14ac:dyDescent="0.25">
      <c r="B3" s="9" t="s">
        <v>138</v>
      </c>
      <c r="C3" s="9" t="s">
        <v>139</v>
      </c>
      <c r="D3" s="9" t="s">
        <v>138</v>
      </c>
      <c r="E3" s="9" t="s">
        <v>139</v>
      </c>
      <c r="F3" s="9" t="s">
        <v>138</v>
      </c>
      <c r="G3" s="9" t="s">
        <v>139</v>
      </c>
      <c r="H3" s="9" t="s">
        <v>138</v>
      </c>
      <c r="I3" s="9" t="s">
        <v>139</v>
      </c>
      <c r="J3" s="9" t="s">
        <v>138</v>
      </c>
      <c r="K3" s="9" t="s">
        <v>139</v>
      </c>
      <c r="L3" s="9"/>
      <c r="M3" s="9"/>
      <c r="N3" s="9"/>
    </row>
    <row r="4" spans="1:17" x14ac:dyDescent="0.25">
      <c r="A4">
        <v>1998</v>
      </c>
      <c r="B4" s="1">
        <f>'rockfish harvests'!K2</f>
        <v>529.5015960846614</v>
      </c>
      <c r="C4" s="1">
        <f>'rockfish harvests'!L2</f>
        <v>3943.5752117924521</v>
      </c>
      <c r="D4" s="1">
        <f>'rockfish harvests'!K102</f>
        <v>179.10831553366631</v>
      </c>
      <c r="E4" s="1">
        <f>'rockfish harvests'!L102</f>
        <v>350.7410435791694</v>
      </c>
      <c r="F4" s="1">
        <f>'rockfish harvests'!K152</f>
        <v>2646.751507803267</v>
      </c>
      <c r="G4" s="1">
        <f>'rockfish harvests'!L152</f>
        <v>130721.74657888399</v>
      </c>
      <c r="H4" s="1">
        <f>'rockfish harvests'!K27</f>
        <v>190.68660416251171</v>
      </c>
      <c r="I4" s="1">
        <f>'rockfish harvests'!L27</f>
        <v>681.09032990436276</v>
      </c>
      <c r="J4" s="1">
        <f>'rockfish harvests'!K52</f>
        <v>34.921501147605341</v>
      </c>
      <c r="K4" s="1">
        <f>'rockfish harvests'!L52</f>
        <v>23.019267226088481</v>
      </c>
      <c r="L4" s="1"/>
      <c r="M4" s="1"/>
      <c r="N4" s="1"/>
    </row>
    <row r="5" spans="1:17" x14ac:dyDescent="0.25">
      <c r="A5">
        <v>1999</v>
      </c>
      <c r="B5" s="1">
        <f>'rockfish harvests'!K3</f>
        <v>644.05722985297768</v>
      </c>
      <c r="C5" s="1">
        <f>'rockfish harvests'!L3</f>
        <v>5834.5115045216135</v>
      </c>
      <c r="D5" s="1">
        <f>'rockfish harvests'!K103</f>
        <v>137.68705174501304</v>
      </c>
      <c r="E5" s="1">
        <f>'rockfish harvests'!L103</f>
        <v>206.21704461477333</v>
      </c>
      <c r="F5" s="1">
        <f>'rockfish harvests'!K153</f>
        <v>3319.1117698661938</v>
      </c>
      <c r="G5" s="1">
        <f>'rockfish harvests'!L153</f>
        <v>205572.61399024838</v>
      </c>
      <c r="H5" s="1">
        <f>'rockfish harvests'!K28</f>
        <v>293.76044425035587</v>
      </c>
      <c r="I5" s="1">
        <f>'rockfish harvests'!L28</f>
        <v>1616.4079487649926</v>
      </c>
      <c r="J5" s="1">
        <f>'rockfish harvests'!K53</f>
        <v>113.81822596256556</v>
      </c>
      <c r="K5" s="1">
        <f>'rockfish harvests'!L53</f>
        <v>244.52840246752979</v>
      </c>
      <c r="L5" s="1"/>
      <c r="M5" s="1"/>
      <c r="N5" s="1"/>
    </row>
    <row r="6" spans="1:17" x14ac:dyDescent="0.25">
      <c r="A6">
        <v>2000</v>
      </c>
      <c r="B6" s="1">
        <f>'rockfish harvests'!K4</f>
        <v>1797.2506097873604</v>
      </c>
      <c r="C6" s="1">
        <f>'rockfish harvests'!L4</f>
        <v>45433.151217293431</v>
      </c>
      <c r="D6" s="1">
        <f>'rockfish harvests'!K104</f>
        <v>481.33572634826874</v>
      </c>
      <c r="E6" s="1">
        <f>'rockfish harvests'!L104</f>
        <v>2520.1973619204136</v>
      </c>
      <c r="F6" s="1">
        <f>'rockfish harvests'!K154</f>
        <v>3762.0157520187568</v>
      </c>
      <c r="G6" s="1">
        <f>'rockfish harvests'!L154</f>
        <v>264096.54694560438</v>
      </c>
      <c r="H6" s="1">
        <f>'rockfish harvests'!K29</f>
        <v>497.33127842384812</v>
      </c>
      <c r="I6" s="1">
        <f>'rockfish harvests'!L29</f>
        <v>4632.9316469334572</v>
      </c>
      <c r="J6" s="1">
        <f>'rockfish harvests'!K54</f>
        <v>84.070280540531371</v>
      </c>
      <c r="K6" s="1">
        <f>'rockfish harvests'!L54</f>
        <v>133.41070511690512</v>
      </c>
      <c r="L6" s="1"/>
      <c r="M6" s="1"/>
      <c r="N6" s="1"/>
    </row>
    <row r="7" spans="1:17" x14ac:dyDescent="0.25">
      <c r="A7">
        <v>2001</v>
      </c>
      <c r="B7" s="1">
        <f>'rockfish harvests'!K5</f>
        <v>680.96960073387947</v>
      </c>
      <c r="C7" s="1">
        <f>'rockfish harvests'!L5</f>
        <v>6522.4540899783578</v>
      </c>
      <c r="D7" s="1">
        <f>'rockfish harvests'!K105</f>
        <v>339.09703652904039</v>
      </c>
      <c r="E7" s="1">
        <f>'rockfish harvests'!L105</f>
        <v>1250.7956034403612</v>
      </c>
      <c r="F7" s="1">
        <f>'rockfish harvests'!K155</f>
        <v>3701.5389030501337</v>
      </c>
      <c r="G7" s="1">
        <f>'rockfish harvests'!L155</f>
        <v>255673.74912670467</v>
      </c>
      <c r="H7" s="1">
        <f>'rockfish harvests'!K30</f>
        <v>1522.9159872978976</v>
      </c>
      <c r="I7" s="1">
        <f>'rockfish harvests'!L30</f>
        <v>43442.642717188777</v>
      </c>
      <c r="J7" s="1">
        <f>'rockfish harvests'!K55</f>
        <v>34.921501147605341</v>
      </c>
      <c r="K7" s="1">
        <f>'rockfish harvests'!L55</f>
        <v>23.019267226088481</v>
      </c>
      <c r="L7" s="1"/>
      <c r="M7" s="1"/>
      <c r="N7" s="1"/>
    </row>
    <row r="8" spans="1:17" x14ac:dyDescent="0.25">
      <c r="A8">
        <v>2002</v>
      </c>
      <c r="B8" s="1">
        <f>'rockfish harvests'!K6</f>
        <v>439.12992944521204</v>
      </c>
      <c r="C8" s="1">
        <f>'rockfish harvests'!L6</f>
        <v>2712.3245630524034</v>
      </c>
      <c r="D8" s="1">
        <f>'rockfish harvests'!K106</f>
        <v>362.99313641867076</v>
      </c>
      <c r="E8" s="1">
        <f>'rockfish harvests'!L106</f>
        <v>1433.2936737274742</v>
      </c>
      <c r="F8" s="1">
        <f>'rockfish harvests'!K156</f>
        <v>4023.4891872654503</v>
      </c>
      <c r="G8" s="1">
        <f>'rockfish harvests'!L156</f>
        <v>302083.62252065231</v>
      </c>
      <c r="H8" s="1">
        <f>'rockfish harvests'!K31</f>
        <v>1133.8122409662858</v>
      </c>
      <c r="I8" s="1">
        <f>'rockfish harvests'!L31</f>
        <v>24079.453591943871</v>
      </c>
      <c r="J8" s="1">
        <f>'rockfish harvests'!K56</f>
        <v>128.04550420788624</v>
      </c>
      <c r="K8" s="1">
        <f>'rockfish harvests'!L56</f>
        <v>309.48125937296737</v>
      </c>
      <c r="L8" s="1"/>
      <c r="M8" s="1"/>
      <c r="N8" s="1"/>
    </row>
    <row r="9" spans="1:17" x14ac:dyDescent="0.25">
      <c r="A9">
        <v>2003</v>
      </c>
      <c r="B9" s="1">
        <f>'rockfish harvests'!K7</f>
        <v>721.70049274039195</v>
      </c>
      <c r="C9" s="1">
        <f>'rockfish harvests'!L7</f>
        <v>7326.0450447481962</v>
      </c>
      <c r="D9" s="1">
        <f>'rockfish harvests'!K107</f>
        <v>1151.5644327764728</v>
      </c>
      <c r="E9" s="1">
        <f>'rockfish harvests'!L107</f>
        <v>14424.967484458195</v>
      </c>
      <c r="F9" s="1">
        <f>'rockfish harvests'!K157</f>
        <v>4879.0587270862643</v>
      </c>
      <c r="G9" s="1">
        <f>'rockfish harvests'!L157</f>
        <v>444215.38374428463</v>
      </c>
      <c r="H9" s="1">
        <f>'rockfish harvests'!K32</f>
        <v>1426.2842622155438</v>
      </c>
      <c r="I9" s="1">
        <f>'rockfish harvests'!L32</f>
        <v>38104.522630157575</v>
      </c>
      <c r="J9" s="1">
        <f>'rockfish harvests'!K57</f>
        <v>186.24800612056183</v>
      </c>
      <c r="K9" s="1">
        <f>'rockfish harvests'!L57</f>
        <v>654.77026776429454</v>
      </c>
      <c r="L9" s="1"/>
      <c r="M9" s="1"/>
      <c r="N9" s="1"/>
    </row>
    <row r="10" spans="1:17" x14ac:dyDescent="0.25">
      <c r="A10">
        <v>2004</v>
      </c>
      <c r="B10" s="1">
        <f>'rockfish harvests'!K8</f>
        <v>595.68929559524418</v>
      </c>
      <c r="C10" s="1">
        <f>'rockfish harvests'!L8</f>
        <v>4991.087377424823</v>
      </c>
      <c r="D10" s="1">
        <f>'rockfish harvests'!K108</f>
        <v>830.67394854429358</v>
      </c>
      <c r="E10" s="1">
        <f>'rockfish harvests'!L108</f>
        <v>7505.8440731652699</v>
      </c>
      <c r="F10" s="1">
        <f>'rockfish harvests'!K158</f>
        <v>5853.8032339923066</v>
      </c>
      <c r="G10" s="1">
        <f>'rockfish harvests'!L158</f>
        <v>639436.97291537211</v>
      </c>
      <c r="H10" s="1">
        <f>'rockfish harvests'!K33</f>
        <v>1043.6226308894222</v>
      </c>
      <c r="I10" s="1">
        <f>'rockfish harvests'!L33</f>
        <v>20400.993674682817</v>
      </c>
      <c r="J10" s="1">
        <f>'rockfish harvests'!K58</f>
        <v>258.67778627855807</v>
      </c>
      <c r="K10" s="1">
        <f>'rockfish harvests'!L58</f>
        <v>1263.059930100877</v>
      </c>
      <c r="L10" s="1"/>
      <c r="M10" s="1"/>
      <c r="N10" s="1"/>
    </row>
    <row r="11" spans="1:17" x14ac:dyDescent="0.25">
      <c r="A11">
        <v>2005</v>
      </c>
      <c r="B11" s="1">
        <f>'rockfish harvests'!K9</f>
        <v>1762.8839196568656</v>
      </c>
      <c r="C11" s="1">
        <f>'rockfish harvests'!L9</f>
        <v>43712.235118346529</v>
      </c>
      <c r="D11" s="1">
        <f>'rockfish harvests'!K109</f>
        <v>1413.283622043853</v>
      </c>
      <c r="E11" s="1">
        <f>'rockfish harvests'!L109</f>
        <v>21726.862182169472</v>
      </c>
      <c r="F11" s="1">
        <f>'rockfish harvests'!K159</f>
        <v>8255.0898842170445</v>
      </c>
      <c r="G11" s="1">
        <f>'rockfish harvests'!L159</f>
        <v>1271642.7403433286</v>
      </c>
      <c r="H11" s="1">
        <f>'rockfish harvests'!K34</f>
        <v>1631.1435193901339</v>
      </c>
      <c r="I11" s="1">
        <f>'rockfish harvests'!L34</f>
        <v>49836.633162719001</v>
      </c>
      <c r="J11" s="1">
        <f>'rockfish harvests'!K59</f>
        <v>371.20262330973088</v>
      </c>
      <c r="K11" s="1">
        <f>'rockfish harvests'!L59</f>
        <v>2600.9245845619785</v>
      </c>
      <c r="L11" s="1"/>
      <c r="M11" s="1"/>
      <c r="N11" s="1"/>
    </row>
    <row r="12" spans="1:17" x14ac:dyDescent="0.25">
      <c r="A12">
        <v>2006</v>
      </c>
      <c r="B12" s="1">
        <f>'rockfish harvests'!K10</f>
        <v>1177.3773470632495</v>
      </c>
      <c r="C12" s="1">
        <f>'rockfish harvests'!L10</f>
        <v>19497.859309067106</v>
      </c>
      <c r="D12" s="1">
        <f>'rockfish harvests'!K110</f>
        <v>1725.0708301276015</v>
      </c>
      <c r="E12" s="1">
        <f>'rockfish harvests'!L110</f>
        <v>32370.709657002288</v>
      </c>
      <c r="F12" s="1">
        <f>'rockfish harvests'!K160</f>
        <v>6568.8530365036731</v>
      </c>
      <c r="G12" s="1">
        <f>'rockfish harvests'!L160</f>
        <v>805194.11996587296</v>
      </c>
      <c r="H12" s="1">
        <f>'rockfish harvests'!K35</f>
        <v>949.56775180926445</v>
      </c>
      <c r="I12" s="1">
        <f>'rockfish harvests'!L35</f>
        <v>16889.47924597438</v>
      </c>
      <c r="J12" s="1">
        <f>'rockfish harvests'!K60</f>
        <v>391.89684621201548</v>
      </c>
      <c r="K12" s="1">
        <f>'rockfish harvests'!L60</f>
        <v>2899.0067280657854</v>
      </c>
      <c r="L12" s="1"/>
      <c r="M12" s="1"/>
      <c r="N12" s="1"/>
    </row>
    <row r="13" spans="1:17" x14ac:dyDescent="0.25">
      <c r="A13">
        <v>2007</v>
      </c>
      <c r="B13" s="1">
        <f>'rockfish harvests'!K11</f>
        <v>3166.8268535063407</v>
      </c>
      <c r="C13" s="1">
        <f>'rockfish harvests'!L11</f>
        <v>141060.11022920778</v>
      </c>
      <c r="D13" s="1">
        <f>'rockfish harvests'!K111</f>
        <v>3961.0630340858711</v>
      </c>
      <c r="E13" s="1">
        <f>'rockfish harvests'!L111</f>
        <v>170671.83757600674</v>
      </c>
      <c r="F13" s="1">
        <f>'rockfish harvests'!K161</f>
        <v>9035.9527282530889</v>
      </c>
      <c r="G13" s="1">
        <f>'rockfish harvests'!L161</f>
        <v>1523594.5272363999</v>
      </c>
      <c r="H13" s="1">
        <f>'rockfish harvests'!K36</f>
        <v>2119.4558368062958</v>
      </c>
      <c r="I13" s="1">
        <f>'rockfish harvests'!L36</f>
        <v>84142.049852969925</v>
      </c>
      <c r="J13" s="1">
        <f>'rockfish harvests'!K61</f>
        <v>1484.8104932389235</v>
      </c>
      <c r="K13" s="1">
        <f>'rockfish harvests'!L61</f>
        <v>41614.793352991655</v>
      </c>
      <c r="L13" s="1"/>
      <c r="M13" s="1"/>
      <c r="N13" s="1"/>
    </row>
    <row r="14" spans="1:17" x14ac:dyDescent="0.25">
      <c r="A14">
        <v>2008</v>
      </c>
      <c r="B14" s="1">
        <f>'rockfish harvests'!K12</f>
        <v>3398.4838017933798</v>
      </c>
      <c r="C14" s="1">
        <f>'rockfish harvests'!L12</f>
        <v>162452.3467972634</v>
      </c>
      <c r="D14" s="1">
        <f>'rockfish harvests'!K112</f>
        <v>2629.7088973778937</v>
      </c>
      <c r="E14" s="1">
        <f>'rockfish harvests'!L112</f>
        <v>75223.529863537799</v>
      </c>
      <c r="F14" s="1">
        <f>'rockfish harvests'!K162</f>
        <v>11134.855133634712</v>
      </c>
      <c r="G14" s="1">
        <f>'rockfish harvests'!L162</f>
        <v>2313612.6269270084</v>
      </c>
      <c r="H14" s="1">
        <f>'rockfish harvests'!K37</f>
        <v>1540.9539093132703</v>
      </c>
      <c r="I14" s="1">
        <f>'rockfish harvests'!L37</f>
        <v>44477.835342425082</v>
      </c>
      <c r="J14" s="1">
        <f>'rockfish harvests'!K62</f>
        <v>1461.5294924738532</v>
      </c>
      <c r="K14" s="1">
        <f>'rockfish harvests'!L62</f>
        <v>40320.030618645244</v>
      </c>
      <c r="L14" s="1"/>
      <c r="M14" s="1"/>
      <c r="N14" s="1"/>
    </row>
    <row r="15" spans="1:17" x14ac:dyDescent="0.25">
      <c r="A15">
        <v>2009</v>
      </c>
      <c r="B15" s="1">
        <f>'rockfish harvests'!K13</f>
        <v>4789.6983318908196</v>
      </c>
      <c r="C15" s="1">
        <f>'rockfish harvests'!L13</f>
        <v>322679.89242321515</v>
      </c>
      <c r="D15" s="1">
        <f>'rockfish harvests'!K113</f>
        <v>2612.6402545995866</v>
      </c>
      <c r="E15" s="1">
        <f>'rockfish harvests'!L113</f>
        <v>74250.19273710491</v>
      </c>
      <c r="F15" s="1">
        <f>'rockfish harvests'!K163</f>
        <v>11328.736796504711</v>
      </c>
      <c r="G15" s="1">
        <f>'rockfish harvests'!L163</f>
        <v>2394883.9707024693</v>
      </c>
      <c r="H15" s="1">
        <f>'rockfish harvests'!K38</f>
        <v>2382.2941290302983</v>
      </c>
      <c r="I15" s="1">
        <f>'rockfish harvests'!L38</f>
        <v>106305.34609967883</v>
      </c>
      <c r="J15" s="1">
        <f>'rockfish harvests'!K63</f>
        <v>1047.6450344281602</v>
      </c>
      <c r="K15" s="1">
        <f>'rockfish harvests'!L63</f>
        <v>20717.340503479634</v>
      </c>
      <c r="L15" s="1"/>
      <c r="M15" s="1"/>
      <c r="N15" s="1"/>
    </row>
    <row r="16" spans="1:17" x14ac:dyDescent="0.25">
      <c r="A16">
        <v>2010</v>
      </c>
      <c r="B16" s="1">
        <f>'rockfish harvests'!K14</f>
        <v>3859.2520176170519</v>
      </c>
      <c r="C16" s="1">
        <f>'rockfish harvests'!L14</f>
        <v>209489.30732140518</v>
      </c>
      <c r="D16" s="1">
        <f>'rockfish harvests'!K114</f>
        <v>2907.3588199050278</v>
      </c>
      <c r="E16" s="1">
        <f>'rockfish harvests'!L114</f>
        <v>91946.589896274556</v>
      </c>
      <c r="F16" s="1">
        <f>'rockfish harvests'!K164</f>
        <v>14480.647866281181</v>
      </c>
      <c r="G16" s="1">
        <f>'rockfish harvests'!L164</f>
        <v>3912888.6469779164</v>
      </c>
      <c r="H16" s="1">
        <f>'rockfish harvests'!K39</f>
        <v>1631.1435193901339</v>
      </c>
      <c r="I16" s="1">
        <f>'rockfish harvests'!L39</f>
        <v>49836.633162719001</v>
      </c>
      <c r="J16" s="1">
        <f>'rockfish harvests'!K64</f>
        <v>832.94247181695698</v>
      </c>
      <c r="K16" s="1">
        <f>'rockfish harvests'!L64</f>
        <v>13095.910579257932</v>
      </c>
      <c r="L16" s="1"/>
      <c r="M16" s="1"/>
      <c r="N16" s="1"/>
    </row>
    <row r="17" spans="1:32" x14ac:dyDescent="0.25">
      <c r="A17">
        <v>2011</v>
      </c>
      <c r="B17" s="1">
        <f>'rockfish harvests'!K15</f>
        <v>3904.7408195848857</v>
      </c>
      <c r="C17" s="1">
        <f>'rockfish harvests'!L15</f>
        <v>200039.3867927817</v>
      </c>
      <c r="D17" s="1">
        <f>'rockfish harvests'!K115</f>
        <v>1979.4612042209808</v>
      </c>
      <c r="E17" s="1">
        <f>'rockfish harvests'!L115</f>
        <v>1649.9620849615694</v>
      </c>
      <c r="F17" s="1">
        <f>'rockfish harvests'!K165</f>
        <v>12904.522735409953</v>
      </c>
      <c r="G17" s="1">
        <f>'rockfish harvests'!L165</f>
        <v>2122890.1028359062</v>
      </c>
      <c r="H17" s="1">
        <f>'rockfish harvests'!K40</f>
        <v>1687.1685166498487</v>
      </c>
      <c r="I17" s="1">
        <f>'rockfish harvests'!L40</f>
        <v>51469.344301835146</v>
      </c>
      <c r="J17" s="1">
        <f>'rockfish harvests'!K65</f>
        <v>850.99495459132186</v>
      </c>
      <c r="K17" s="1">
        <f>'rockfish harvests'!L65</f>
        <v>13094.402331197241</v>
      </c>
      <c r="L17" s="1"/>
      <c r="M17" s="1"/>
      <c r="N17" s="1"/>
    </row>
    <row r="18" spans="1:32" x14ac:dyDescent="0.25">
      <c r="A18">
        <v>2012</v>
      </c>
      <c r="B18" s="1">
        <f>'rockfish harvests'!K16</f>
        <v>4135.7541899441339</v>
      </c>
      <c r="C18" s="1">
        <f>'rockfish harvests'!L16</f>
        <v>261396.56419933448</v>
      </c>
      <c r="D18" s="1">
        <f>'rockfish harvests'!K116</f>
        <v>3709.3989021043003</v>
      </c>
      <c r="E18" s="1">
        <f>'rockfish harvests'!L116</f>
        <v>25117.984568882985</v>
      </c>
      <c r="F18" s="1">
        <f>'rockfish harvests'!K166</f>
        <v>11751.479333744601</v>
      </c>
      <c r="G18" s="1">
        <f>'rockfish harvests'!L166</f>
        <v>2023168.1052428612</v>
      </c>
      <c r="H18" s="1">
        <f>'rockfish harvests'!K41</f>
        <v>2871.7026143790849</v>
      </c>
      <c r="I18" s="1">
        <f>'rockfish harvests'!L41</f>
        <v>412684.87548151758</v>
      </c>
      <c r="J18" s="1">
        <f>'rockfish harvests'!K66</f>
        <v>1509</v>
      </c>
      <c r="K18" s="1">
        <f>'rockfish harvests'!L66</f>
        <v>113950.9906442892</v>
      </c>
      <c r="L18" s="1"/>
      <c r="M18" s="1"/>
      <c r="N18" s="1"/>
    </row>
    <row r="19" spans="1:32" x14ac:dyDescent="0.25">
      <c r="A19">
        <v>2013</v>
      </c>
      <c r="B19" s="1">
        <f>'rockfish harvests'!K17</f>
        <v>3218.128956927867</v>
      </c>
      <c r="C19" s="1">
        <f>'rockfish harvests'!L17</f>
        <v>125971.00775365347</v>
      </c>
      <c r="D19" s="1">
        <f>'rockfish harvests'!K117</f>
        <v>2558.7798861480078</v>
      </c>
      <c r="E19" s="1">
        <f>'rockfish harvests'!L117</f>
        <v>93936.264893907151</v>
      </c>
      <c r="F19" s="1">
        <f>'rockfish harvests'!K167</f>
        <v>18590.830039525692</v>
      </c>
      <c r="G19" s="1">
        <f>'rockfish harvests'!L167</f>
        <v>4761147.9363994701</v>
      </c>
      <c r="H19" s="1">
        <f>'rockfish harvests'!K42</f>
        <v>2384.9594594594591</v>
      </c>
      <c r="I19" s="1">
        <f>'rockfish harvests'!L42</f>
        <v>69446.330827502126</v>
      </c>
      <c r="J19" s="1">
        <f>'rockfish harvests'!K67</f>
        <v>1244.7972972972973</v>
      </c>
      <c r="K19" s="1">
        <f>'rockfish harvests'!L67</f>
        <v>18918.407507863983</v>
      </c>
      <c r="L19" s="1"/>
      <c r="M19" s="1"/>
      <c r="N19" s="1"/>
    </row>
    <row r="20" spans="1:32" x14ac:dyDescent="0.25">
      <c r="A20">
        <v>2014</v>
      </c>
      <c r="B20" s="1">
        <f>'rockfish harvests'!K18</f>
        <v>4077.1607301869994</v>
      </c>
      <c r="C20" s="1">
        <f>'rockfish harvests'!L18</f>
        <v>268862.96198516607</v>
      </c>
      <c r="D20" s="1">
        <f>'rockfish harvests'!K118</f>
        <v>3801.8794981842188</v>
      </c>
      <c r="E20" s="1">
        <f>'rockfish harvests'!L118</f>
        <v>23714.551436006946</v>
      </c>
      <c r="F20" s="1">
        <f>'rockfish harvests'!K168</f>
        <v>17307.007400098668</v>
      </c>
      <c r="G20" s="1">
        <f>'rockfish harvests'!L168</f>
        <v>1633143.8585763292</v>
      </c>
      <c r="H20" s="1">
        <f>'rockfish harvests'!K43</f>
        <v>3202.8709245198747</v>
      </c>
      <c r="I20" s="1">
        <f>'rockfish harvests'!L43</f>
        <v>244720.20702808804</v>
      </c>
      <c r="J20" s="1">
        <f>'rockfish harvests'!K68</f>
        <v>872.90263510495754</v>
      </c>
      <c r="K20" s="1">
        <f>'rockfish harvests'!L68</f>
        <v>18177.015037346606</v>
      </c>
      <c r="L20" s="1"/>
      <c r="M20" s="1"/>
      <c r="N20" s="1"/>
    </row>
    <row r="21" spans="1:32" x14ac:dyDescent="0.25">
      <c r="A21">
        <v>2015</v>
      </c>
      <c r="B21" s="1">
        <f>'rockfish harvests'!K19</f>
        <v>5655.4958972529439</v>
      </c>
      <c r="C21" s="1">
        <f>'rockfish harvests'!L19</f>
        <v>1075446.4405794584</v>
      </c>
      <c r="D21" s="1">
        <f>'rockfish harvests'!K119</f>
        <v>3719.19872110182</v>
      </c>
      <c r="E21" s="1">
        <f>'rockfish harvests'!L119</f>
        <v>360398.18316320516</v>
      </c>
      <c r="F21" s="1">
        <f>'rockfish harvests'!K169</f>
        <v>23153.477406902814</v>
      </c>
      <c r="G21" s="1">
        <f>'rockfish harvests'!L169</f>
        <v>10110394.020791385</v>
      </c>
      <c r="H21" s="1">
        <f>'rockfish harvests'!K44</f>
        <v>2955.5510553337135</v>
      </c>
      <c r="I21" s="1">
        <f>'rockfish harvests'!L44</f>
        <v>669754.36895301775</v>
      </c>
      <c r="J21" s="1">
        <f>'rockfish harvests'!K69</f>
        <v>900.78094694808897</v>
      </c>
      <c r="K21" s="1">
        <f>'rockfish harvests'!L69</f>
        <v>62212.407283949418</v>
      </c>
      <c r="L21" s="1"/>
      <c r="M21" s="1"/>
      <c r="N21" s="1"/>
    </row>
    <row r="22" spans="1:32" x14ac:dyDescent="0.25">
      <c r="A22">
        <v>2016</v>
      </c>
      <c r="B22" s="1">
        <f>'rockfish harvests'!K20</f>
        <v>5754.5865442204031</v>
      </c>
      <c r="C22" s="1">
        <f>'rockfish harvests'!L20</f>
        <v>63684.114088437818</v>
      </c>
      <c r="D22" s="1">
        <f>'rockfish harvests'!K120</f>
        <v>3979.190684713376</v>
      </c>
      <c r="E22" s="1">
        <f>'rockfish harvests'!L120</f>
        <v>86017.579810230731</v>
      </c>
      <c r="F22" s="1">
        <f>'rockfish harvests'!K170</f>
        <v>27727.366319691999</v>
      </c>
      <c r="G22" s="1">
        <f>'rockfish harvests'!L170</f>
        <v>22590691.391820997</v>
      </c>
      <c r="H22" s="1">
        <f>'rockfish harvests'!K45</f>
        <v>3632.1269714513874</v>
      </c>
      <c r="I22" s="1">
        <f>'rockfish harvests'!L45</f>
        <v>25370.25919469192</v>
      </c>
      <c r="J22" s="1">
        <f>'rockfish harvests'!K70</f>
        <v>898.41878980891727</v>
      </c>
      <c r="K22" s="1">
        <f>'rockfish harvests'!L70</f>
        <v>4384.8563398414108</v>
      </c>
      <c r="L22" s="1"/>
      <c r="M22" s="1"/>
      <c r="N22" s="1"/>
    </row>
    <row r="23" spans="1:32" x14ac:dyDescent="0.25">
      <c r="A23">
        <v>2017</v>
      </c>
      <c r="B23" s="1">
        <f>'rockfish harvests'!K21</f>
        <v>5293.7475824448302</v>
      </c>
      <c r="C23" s="1">
        <f>'rockfish harvests'!L21</f>
        <v>89663.784684390819</v>
      </c>
      <c r="D23" s="1">
        <f>'rockfish harvests'!K121</f>
        <v>5286.8031716417918</v>
      </c>
      <c r="E23" s="1">
        <f>'rockfish harvests'!L121</f>
        <v>628325.57356668822</v>
      </c>
      <c r="F23" s="1">
        <f>'rockfish harvests'!K171</f>
        <v>10477.282570932253</v>
      </c>
      <c r="G23" s="1">
        <f>'rockfish harvests'!L171</f>
        <v>1035822.3149322054</v>
      </c>
      <c r="H23" s="1">
        <f>'rockfish harvests'!K46</f>
        <v>3896.8833955223881</v>
      </c>
      <c r="I23" s="1">
        <f>'rockfish harvests'!L46</f>
        <v>341376.2270959196</v>
      </c>
      <c r="J23" s="1">
        <f>'rockfish harvests'!K71</f>
        <v>895.24813432835822</v>
      </c>
      <c r="K23" s="1">
        <f>'rockfish harvests'!L71</f>
        <v>18017.117128178837</v>
      </c>
      <c r="L23" s="1"/>
      <c r="M23" s="1"/>
      <c r="N23" s="1"/>
    </row>
    <row r="24" spans="1:32" x14ac:dyDescent="0.25">
      <c r="A24">
        <v>2018</v>
      </c>
      <c r="B24" s="1">
        <f>'rockfish harvests'!K22</f>
        <v>7190.4016172506736</v>
      </c>
      <c r="C24" s="1">
        <f>'rockfish harvests'!L22</f>
        <v>412259.26032139536</v>
      </c>
      <c r="D24" s="1">
        <f>'rockfish harvests'!K122</f>
        <v>4216.2796271637817</v>
      </c>
      <c r="E24" s="1">
        <f>'rockfish harvests'!L122</f>
        <v>37596.448991886558</v>
      </c>
      <c r="F24" s="1">
        <f>'rockfish harvests'!K172</f>
        <v>17169.778908418131</v>
      </c>
      <c r="G24" s="1">
        <f>'rockfish harvests'!L172</f>
        <v>6090869.3085533688</v>
      </c>
      <c r="H24" s="1">
        <f>'rockfish harvests'!K47</f>
        <v>4979.3662731006161</v>
      </c>
      <c r="I24" s="1">
        <f>'rockfish harvests'!L47</f>
        <v>176905.35655507445</v>
      </c>
      <c r="J24" s="1">
        <f>'rockfish harvests'!K72</f>
        <v>778.64245379876797</v>
      </c>
      <c r="K24" s="1">
        <f>'rockfish harvests'!L72</f>
        <v>4325.8254808581805</v>
      </c>
      <c r="L24" s="1"/>
      <c r="M24" s="1"/>
      <c r="N24" s="1"/>
    </row>
    <row r="25" spans="1:32" x14ac:dyDescent="0.25">
      <c r="A25">
        <v>2019</v>
      </c>
      <c r="B25" s="1">
        <f>'rockfish harvests'!K23</f>
        <v>11217.376425855515</v>
      </c>
      <c r="C25" s="1">
        <f>'rockfish harvests'!L23</f>
        <v>3560251.2769631236</v>
      </c>
      <c r="D25" s="1">
        <f>'rockfish harvests'!K123</f>
        <v>7507.1545603495351</v>
      </c>
      <c r="E25" s="1">
        <f>'rockfish harvests'!L123</f>
        <v>1939226.0896531206</v>
      </c>
      <c r="F25" s="1">
        <f>'rockfish harvests'!K173</f>
        <v>20184.660072182862</v>
      </c>
      <c r="G25" s="1">
        <f>'rockfish harvests'!L173</f>
        <v>5030013.8598571327</v>
      </c>
      <c r="H25" s="1">
        <f>'rockfish harvests'!K48</f>
        <v>11501.863117870724</v>
      </c>
      <c r="I25" s="1">
        <f>'rockfish harvests'!L48</f>
        <v>3743126.0537553802</v>
      </c>
      <c r="J25" s="1">
        <f>'rockfish harvests'!K73</f>
        <v>946.32441288913162</v>
      </c>
      <c r="K25" s="1">
        <f>'rockfish harvests'!L73</f>
        <v>30814.691102249373</v>
      </c>
      <c r="L25" s="1"/>
      <c r="M25" s="1"/>
      <c r="N25" s="1"/>
    </row>
    <row r="26" spans="1:32" x14ac:dyDescent="0.25">
      <c r="A26">
        <v>2020</v>
      </c>
      <c r="B26" s="1">
        <f>'rockfish harvests'!K24</f>
        <v>7587.4199820520489</v>
      </c>
      <c r="C26" s="1">
        <f>'rockfish harvests'!L24</f>
        <v>564645.39156800637</v>
      </c>
      <c r="D26" s="1">
        <f>'rockfish harvests'!K124</f>
        <v>1792.0725207514197</v>
      </c>
      <c r="E26" s="1">
        <f>'rockfish harvests'!L124</f>
        <v>20342.54532916598</v>
      </c>
      <c r="F26" s="1">
        <f>'rockfish harvests'!K174</f>
        <v>9904.9695845697333</v>
      </c>
      <c r="G26" s="1">
        <f>'rockfish harvests'!L174</f>
        <v>2642689.7102351333</v>
      </c>
      <c r="H26" s="1">
        <f>'rockfish harvests'!K49</f>
        <v>4798.2830930537348</v>
      </c>
      <c r="I26" s="1">
        <f>'rockfish harvests'!L49</f>
        <v>145836.37674785985</v>
      </c>
      <c r="J26" s="1">
        <f>'rockfish harvests'!K74</f>
        <v>359.12800349497599</v>
      </c>
      <c r="K26" s="1">
        <f>'rockfish harvests'!L74</f>
        <v>816.94472651239755</v>
      </c>
      <c r="L26" s="1"/>
      <c r="M26" s="1"/>
      <c r="N26" s="1"/>
    </row>
    <row r="27" spans="1:32" x14ac:dyDescent="0.25">
      <c r="A27">
        <v>2021</v>
      </c>
      <c r="B27" s="1">
        <f>'rockfish harvests'!K25</f>
        <v>10413.682714889619</v>
      </c>
      <c r="C27" s="1">
        <f>'rockfish harvests'!L25</f>
        <v>336808.63980312884</v>
      </c>
      <c r="D27" s="1">
        <f>'rockfish harvests'!K125</f>
        <v>3335.5695162047909</v>
      </c>
      <c r="E27" s="1">
        <f>'rockfish harvests'!L125</f>
        <v>34555.289276141099</v>
      </c>
      <c r="F27" s="1">
        <f>'rockfish harvests'!K175</f>
        <v>16602.747125224181</v>
      </c>
      <c r="G27" s="1">
        <f>'rockfish harvests'!L175</f>
        <v>2666714.9901529583</v>
      </c>
      <c r="H27" s="1">
        <f>'rockfish harvests'!K50</f>
        <v>9161.5434476279934</v>
      </c>
      <c r="I27" s="1">
        <f>'rockfish harvests'!L50</f>
        <v>260682.47263099358</v>
      </c>
      <c r="J27" s="1">
        <f>'rockfish harvests'!K75</f>
        <v>1875.3184593705964</v>
      </c>
      <c r="K27" s="1">
        <f>'rockfish harvests'!L75</f>
        <v>10922.563990757333</v>
      </c>
      <c r="L27" s="1"/>
      <c r="M27" s="1"/>
      <c r="N27" s="1"/>
    </row>
    <row r="28" spans="1:32" x14ac:dyDescent="0.25">
      <c r="A28">
        <v>2022</v>
      </c>
      <c r="B28" s="1">
        <f>'rockfish harvests'!K26</f>
        <v>12768.878214229373</v>
      </c>
      <c r="C28" s="1">
        <f>'rockfish harvests'!L26</f>
        <v>2029671.2150868119</v>
      </c>
      <c r="D28" s="1">
        <f>'rockfish harvests'!K126</f>
        <v>2527.2457800914972</v>
      </c>
      <c r="E28" s="1">
        <f>'rockfish harvests'!L126</f>
        <v>79508.793444844647</v>
      </c>
      <c r="F28" s="1">
        <f>'rockfish harvests'!K176</f>
        <v>14487.096800572421</v>
      </c>
      <c r="G28" s="1">
        <f>'rockfish harvests'!L176</f>
        <v>1054686.774762708</v>
      </c>
      <c r="H28" s="1">
        <f>'rockfish harvests'!K51</f>
        <v>15671.724832214764</v>
      </c>
      <c r="I28" s="1">
        <f>'rockfish harvests'!L51</f>
        <v>4143553.5425617779</v>
      </c>
      <c r="J28" s="1">
        <f>'rockfish harvests'!K76</f>
        <v>1825.3098280485881</v>
      </c>
      <c r="K28" s="1">
        <f>'rockfish harvests'!L76</f>
        <v>41475.667798459108</v>
      </c>
      <c r="L28" s="1"/>
      <c r="M28" s="1"/>
      <c r="N28" s="1"/>
    </row>
    <row r="30" spans="1:32" x14ac:dyDescent="0.25">
      <c r="A30" s="109" t="s">
        <v>95</v>
      </c>
      <c r="B30" s="109"/>
      <c r="C30" s="109"/>
      <c r="D30" s="109"/>
      <c r="E30" s="109"/>
      <c r="F30" s="109"/>
      <c r="G30" s="109"/>
      <c r="H30" s="109"/>
      <c r="I30" s="109"/>
      <c r="J30" s="109"/>
    </row>
    <row r="31" spans="1:32" x14ac:dyDescent="0.25">
      <c r="A31" t="s">
        <v>34</v>
      </c>
      <c r="B31" s="109" t="s">
        <v>45</v>
      </c>
      <c r="C31" s="109"/>
      <c r="D31" s="109" t="s">
        <v>48</v>
      </c>
      <c r="E31" s="109"/>
      <c r="F31" s="109" t="s">
        <v>91</v>
      </c>
      <c r="G31" s="109"/>
      <c r="H31" s="109" t="s">
        <v>54</v>
      </c>
      <c r="I31" s="109"/>
      <c r="J31" s="109" t="s">
        <v>82</v>
      </c>
      <c r="K31" s="109"/>
      <c r="L31" s="109" t="s">
        <v>157</v>
      </c>
      <c r="M31" s="109"/>
      <c r="N31" s="109"/>
      <c r="O31" s="109"/>
      <c r="P31" s="9"/>
      <c r="Q31" s="100"/>
      <c r="R31" t="s">
        <v>34</v>
      </c>
      <c r="S31" s="109" t="s">
        <v>45</v>
      </c>
      <c r="T31" s="109"/>
      <c r="U31" s="109" t="s">
        <v>48</v>
      </c>
      <c r="V31" s="109"/>
      <c r="W31" s="109" t="s">
        <v>91</v>
      </c>
      <c r="X31" s="109"/>
      <c r="Y31" s="109" t="s">
        <v>54</v>
      </c>
      <c r="Z31" s="109"/>
      <c r="AA31" s="109" t="s">
        <v>82</v>
      </c>
      <c r="AB31" s="109"/>
      <c r="AC31" s="109" t="s">
        <v>157</v>
      </c>
      <c r="AD31" s="109"/>
      <c r="AE31" s="9"/>
      <c r="AF31" s="9"/>
    </row>
    <row r="32" spans="1:32" x14ac:dyDescent="0.25">
      <c r="B32" s="9" t="s">
        <v>138</v>
      </c>
      <c r="C32" s="9" t="s">
        <v>139</v>
      </c>
      <c r="D32" s="9" t="s">
        <v>138</v>
      </c>
      <c r="E32" s="9" t="s">
        <v>139</v>
      </c>
      <c r="F32" s="9" t="s">
        <v>138</v>
      </c>
      <c r="G32" s="9" t="s">
        <v>139</v>
      </c>
      <c r="H32" s="9" t="s">
        <v>138</v>
      </c>
      <c r="I32" s="9" t="s">
        <v>139</v>
      </c>
      <c r="J32" s="9" t="s">
        <v>138</v>
      </c>
      <c r="K32" s="9" t="s">
        <v>139</v>
      </c>
      <c r="L32" s="9" t="s">
        <v>138</v>
      </c>
      <c r="M32" s="9" t="s">
        <v>154</v>
      </c>
      <c r="N32" s="9" t="s">
        <v>155</v>
      </c>
      <c r="O32" s="9" t="s">
        <v>156</v>
      </c>
      <c r="P32" s="9"/>
      <c r="Q32" s="100"/>
      <c r="S32" s="9" t="s">
        <v>138</v>
      </c>
      <c r="T32" s="9" t="s">
        <v>175</v>
      </c>
      <c r="U32" s="9" t="s">
        <v>138</v>
      </c>
      <c r="V32" s="9" t="s">
        <v>175</v>
      </c>
      <c r="W32" s="9" t="s">
        <v>138</v>
      </c>
      <c r="X32" s="9" t="s">
        <v>175</v>
      </c>
      <c r="Y32" s="9" t="s">
        <v>138</v>
      </c>
      <c r="Z32" s="9" t="s">
        <v>175</v>
      </c>
      <c r="AA32" s="9" t="s">
        <v>138</v>
      </c>
      <c r="AB32" s="9" t="s">
        <v>175</v>
      </c>
      <c r="AC32" s="9" t="s">
        <v>138</v>
      </c>
      <c r="AD32" s="9" t="s">
        <v>175</v>
      </c>
      <c r="AE32" s="9"/>
      <c r="AF32" s="9"/>
    </row>
    <row r="33" spans="1:32" x14ac:dyDescent="0.25">
      <c r="A33">
        <v>1998</v>
      </c>
      <c r="B33" s="1">
        <f>'BRF harvest'!V3</f>
        <v>359.1413642850506</v>
      </c>
      <c r="C33" s="1">
        <f>'BRF harvest'!W3</f>
        <v>2930.1364408536638</v>
      </c>
      <c r="D33" s="1">
        <f>'BRF harvest'!V103</f>
        <v>89.096673170685818</v>
      </c>
      <c r="E33" s="1">
        <f>'BRF harvest'!W103</f>
        <v>259.12625616698784</v>
      </c>
      <c r="F33" s="1">
        <f>'BRF harvest'!V153</f>
        <v>1751.2551217634721</v>
      </c>
      <c r="G33" s="1">
        <f>'BRF harvest'!W153</f>
        <v>94236.460952760332</v>
      </c>
      <c r="H33" s="1">
        <f>'BRF harvest'!V28</f>
        <v>129.65464430819756</v>
      </c>
      <c r="I33" s="1">
        <f>'BRF harvest'!W28</f>
        <v>497.21983027042921</v>
      </c>
      <c r="J33" s="1">
        <f>'BRF harvest'!V53</f>
        <v>27.332020177697281</v>
      </c>
      <c r="K33" s="1">
        <f>'BRF harvest'!W53</f>
        <v>17.367584068422552</v>
      </c>
      <c r="L33" s="2">
        <f>J33+H33+F33+D33+B33</f>
        <v>2356.4798237051032</v>
      </c>
      <c r="M33" s="1">
        <f>SUM(E33,G33,I33,K33,C33)</f>
        <v>97940.311064119829</v>
      </c>
      <c r="N33">
        <f>SQRT(M33)</f>
        <v>312.95416767335092</v>
      </c>
      <c r="O33" s="14">
        <f>N33/L33</f>
        <v>0.13280579130157447</v>
      </c>
      <c r="P33" s="14"/>
      <c r="Q33" s="101"/>
      <c r="R33">
        <v>1998</v>
      </c>
      <c r="S33" s="1">
        <f>B33</f>
        <v>359.1413642850506</v>
      </c>
      <c r="T33" s="102">
        <f>SQRT(C33)/S33</f>
        <v>0.1507226404382207</v>
      </c>
      <c r="U33" s="1">
        <f>D33</f>
        <v>89.096673170685818</v>
      </c>
      <c r="V33" s="102">
        <f>SQRT(E33)/U33</f>
        <v>0.18067340201260468</v>
      </c>
      <c r="W33" s="1">
        <f>F33</f>
        <v>1751.2551217634721</v>
      </c>
      <c r="X33" s="102">
        <f>SQRT(G33)/W33</f>
        <v>0.17529118036814123</v>
      </c>
      <c r="Y33" s="1">
        <f>H33</f>
        <v>129.65464430819756</v>
      </c>
      <c r="Z33" s="102">
        <f>SQRT(I33)/Y33</f>
        <v>0.17198324634764947</v>
      </c>
      <c r="AA33" s="1">
        <f>J33</f>
        <v>27.332020177697281</v>
      </c>
      <c r="AB33" s="102">
        <f>SQRT(K33)/AA33</f>
        <v>0.1524747648385083</v>
      </c>
      <c r="AC33" s="2">
        <f>AA33+Y33+W33+U33+S33</f>
        <v>2356.4798237051032</v>
      </c>
      <c r="AD33" s="102">
        <f>O33</f>
        <v>0.13280579130157447</v>
      </c>
      <c r="AF33" s="14"/>
    </row>
    <row r="34" spans="1:32" x14ac:dyDescent="0.25">
      <c r="A34">
        <v>1999</v>
      </c>
      <c r="B34" s="1">
        <f>'BRF harvest'!V4</f>
        <v>465.55923337779177</v>
      </c>
      <c r="C34" s="1">
        <f>'BRF harvest'!W4</f>
        <v>3161.4374043853923</v>
      </c>
      <c r="D34" s="1">
        <f>'BRF harvest'!V104</f>
        <v>106.12871191893431</v>
      </c>
      <c r="E34" s="1">
        <f>'BRF harvest'!W104</f>
        <v>132.17456938472284</v>
      </c>
      <c r="F34" s="1">
        <f>'BRF harvest'!V154</f>
        <v>2515.9609216317722</v>
      </c>
      <c r="G34" s="1">
        <f>'BRF harvest'!W154</f>
        <v>109240.51176200648</v>
      </c>
      <c r="H34" s="1">
        <f>'BRF harvest'!V29</f>
        <v>242.27796776833577</v>
      </c>
      <c r="I34" s="1">
        <f>'BRF harvest'!W29</f>
        <v>876.10968539017711</v>
      </c>
      <c r="J34" s="1">
        <f>'BRF harvest'!V54</f>
        <v>87.196972396234457</v>
      </c>
      <c r="K34" s="1">
        <f>'BRF harvest'!W54</f>
        <v>139.23466505360506</v>
      </c>
      <c r="L34" s="2">
        <f t="shared" ref="L34:L54" si="0">J34+H34+F34+D34+B34</f>
        <v>3417.1238070930685</v>
      </c>
      <c r="M34" s="1">
        <f t="shared" ref="M34:M54" si="1">SUM(E34,G34,I34,K34,C34)</f>
        <v>113549.46808622038</v>
      </c>
      <c r="N34">
        <f t="shared" ref="N34:N54" si="2">SQRT(M34)</f>
        <v>336.97101965335293</v>
      </c>
      <c r="O34" s="14">
        <f t="shared" ref="O34:O54" si="3">N34/L34</f>
        <v>9.8612470216586215E-2</v>
      </c>
      <c r="P34" s="14"/>
      <c r="Q34" s="101"/>
      <c r="R34">
        <v>1999</v>
      </c>
      <c r="S34" s="1">
        <f t="shared" ref="S34:S57" si="4">B34</f>
        <v>465.55923337779177</v>
      </c>
      <c r="T34" s="102">
        <f t="shared" ref="T34:T57" si="5">SQRT(C34)/S34</f>
        <v>0.12077230338006156</v>
      </c>
      <c r="U34" s="1">
        <f t="shared" ref="U34:U57" si="6">D34</f>
        <v>106.12871191893431</v>
      </c>
      <c r="V34" s="102">
        <f t="shared" ref="V34:V57" si="7">SQRT(E34)/U34</f>
        <v>0.10832808325271635</v>
      </c>
      <c r="W34" s="1">
        <f t="shared" ref="W34:W57" si="8">F34</f>
        <v>2515.9609216317722</v>
      </c>
      <c r="X34" s="102">
        <f t="shared" ref="X34:X57" si="9">SQRT(G34)/W34</f>
        <v>0.13136751107531666</v>
      </c>
      <c r="Y34" s="1">
        <f t="shared" ref="Y34:Y57" si="10">H34</f>
        <v>242.27796776833577</v>
      </c>
      <c r="Z34" s="102">
        <f t="shared" ref="Z34:Z57" si="11">SQRT(I34)/Y34</f>
        <v>0.12217020949734327</v>
      </c>
      <c r="AA34" s="1">
        <f t="shared" ref="AA34:AA57" si="12">J34</f>
        <v>87.196972396234457</v>
      </c>
      <c r="AB34" s="102">
        <f t="shared" ref="AB34:AB57" si="13">SQRT(K34)/AA34</f>
        <v>0.1353232069476481</v>
      </c>
      <c r="AC34" s="2">
        <f t="shared" ref="AC34:AC57" si="14">AA34+Y34+W34+U34+S34</f>
        <v>3417.1238070930685</v>
      </c>
      <c r="AD34" s="102">
        <f t="shared" ref="AD34:AD57" si="15">O34</f>
        <v>9.8612470216586215E-2</v>
      </c>
      <c r="AF34" s="14"/>
    </row>
    <row r="35" spans="1:32" x14ac:dyDescent="0.25">
      <c r="A35">
        <v>2000</v>
      </c>
      <c r="B35" s="1">
        <f>'BRF harvest'!V5</f>
        <v>1402.4684024516273</v>
      </c>
      <c r="C35" s="1">
        <f>'BRF harvest'!W5</f>
        <v>26415.717852331116</v>
      </c>
      <c r="D35" s="1">
        <f>'BRF harvest'!V105</f>
        <v>401.45477078136321</v>
      </c>
      <c r="E35" s="1">
        <f>'BRF harvest'!W105</f>
        <v>1788.1617434349223</v>
      </c>
      <c r="F35" s="1">
        <f>'BRF harvest'!V155</f>
        <v>2925.1451980975949</v>
      </c>
      <c r="G35" s="1">
        <f>'BRF harvest'!W155</f>
        <v>151202.74985901691</v>
      </c>
      <c r="H35" s="1">
        <f>'BRF harvest'!V30</f>
        <v>363.60832627038195</v>
      </c>
      <c r="I35" s="1">
        <f>'BRF harvest'!W30</f>
        <v>2644.8575659836843</v>
      </c>
      <c r="J35" s="1">
        <f>'BRF harvest'!V55</f>
        <v>18.892003485141906</v>
      </c>
      <c r="K35" s="1">
        <f>'BRF harvest'!W55</f>
        <v>74.060694533741312</v>
      </c>
      <c r="L35" s="2">
        <f t="shared" si="0"/>
        <v>5111.5687010861093</v>
      </c>
      <c r="M35" s="1">
        <f t="shared" si="1"/>
        <v>182125.5477153004</v>
      </c>
      <c r="N35">
        <f t="shared" si="2"/>
        <v>426.76169897883341</v>
      </c>
      <c r="O35" s="14">
        <f t="shared" si="3"/>
        <v>8.3489379471346006E-2</v>
      </c>
      <c r="P35" s="14"/>
      <c r="Q35" s="101"/>
      <c r="R35">
        <v>2000</v>
      </c>
      <c r="S35" s="1">
        <f t="shared" si="4"/>
        <v>1402.4684024516273</v>
      </c>
      <c r="T35" s="102">
        <f t="shared" si="5"/>
        <v>0.11588790803301097</v>
      </c>
      <c r="U35" s="1">
        <f t="shared" si="6"/>
        <v>401.45477078136321</v>
      </c>
      <c r="V35" s="102">
        <f t="shared" si="7"/>
        <v>0.10533356335177549</v>
      </c>
      <c r="W35" s="1">
        <f t="shared" si="8"/>
        <v>2925.1451980975949</v>
      </c>
      <c r="X35" s="102">
        <f t="shared" si="9"/>
        <v>0.13293288076039403</v>
      </c>
      <c r="Y35" s="1">
        <f t="shared" si="10"/>
        <v>363.60832627038195</v>
      </c>
      <c r="Z35" s="102">
        <f t="shared" si="11"/>
        <v>0.14143839675762288</v>
      </c>
      <c r="AA35" s="1">
        <f t="shared" si="12"/>
        <v>18.892003485141906</v>
      </c>
      <c r="AB35" s="102">
        <f t="shared" si="13"/>
        <v>0.45552883519482884</v>
      </c>
      <c r="AC35" s="2">
        <f t="shared" si="14"/>
        <v>5111.5687010861093</v>
      </c>
      <c r="AD35" s="102">
        <f t="shared" si="15"/>
        <v>8.3489379471346006E-2</v>
      </c>
      <c r="AF35" s="14"/>
    </row>
    <row r="36" spans="1:32" x14ac:dyDescent="0.25">
      <c r="A36">
        <v>2001</v>
      </c>
      <c r="B36" s="1">
        <f>'BRF harvest'!V6</f>
        <v>573.26885828848845</v>
      </c>
      <c r="C36" s="1">
        <f>'BRF harvest'!W6</f>
        <v>4590.2029959536358</v>
      </c>
      <c r="D36" s="1">
        <f>'BRF harvest'!V106</f>
        <v>251.38188209076492</v>
      </c>
      <c r="E36" s="1">
        <f>'BRF harvest'!W106</f>
        <v>987.75798312520953</v>
      </c>
      <c r="F36" s="1">
        <f>'BRF harvest'!V156</f>
        <v>3092.0257382708642</v>
      </c>
      <c r="G36" s="1">
        <f>'BRF harvest'!W156</f>
        <v>178660.22815549135</v>
      </c>
      <c r="H36" s="1">
        <f>'BRF harvest'!V31</f>
        <v>1380.6769000600257</v>
      </c>
      <c r="I36" s="1">
        <f>'BRF harvest'!W31</f>
        <v>30393.893897608825</v>
      </c>
      <c r="J36" s="1">
        <f>'BRF harvest'!V56</f>
        <v>14.035872588852769</v>
      </c>
      <c r="K36" s="1">
        <f>'BRF harvest'!W56</f>
        <v>15.72775735861236</v>
      </c>
      <c r="L36" s="2">
        <f t="shared" si="0"/>
        <v>5311.3892512989951</v>
      </c>
      <c r="M36" s="1">
        <f t="shared" si="1"/>
        <v>214647.81078953765</v>
      </c>
      <c r="N36">
        <f t="shared" si="2"/>
        <v>463.30099372820001</v>
      </c>
      <c r="O36" s="14">
        <f t="shared" si="3"/>
        <v>8.7227836599415395E-2</v>
      </c>
      <c r="P36" s="14"/>
      <c r="Q36" s="101"/>
      <c r="R36">
        <v>2001</v>
      </c>
      <c r="S36" s="1">
        <f t="shared" si="4"/>
        <v>573.26885828848845</v>
      </c>
      <c r="T36" s="102">
        <f t="shared" si="5"/>
        <v>0.11818370365493969</v>
      </c>
      <c r="U36" s="1">
        <f t="shared" si="6"/>
        <v>251.38188209076492</v>
      </c>
      <c r="V36" s="102">
        <f t="shared" si="7"/>
        <v>0.12502339867367129</v>
      </c>
      <c r="W36" s="1">
        <f t="shared" si="8"/>
        <v>3092.0257382708642</v>
      </c>
      <c r="X36" s="102">
        <f t="shared" si="9"/>
        <v>0.1367007325193082</v>
      </c>
      <c r="Y36" s="1">
        <f t="shared" si="10"/>
        <v>1380.6769000600257</v>
      </c>
      <c r="Z36" s="102">
        <f t="shared" si="11"/>
        <v>0.12627027105701807</v>
      </c>
      <c r="AA36" s="1">
        <f t="shared" si="12"/>
        <v>14.035872588852769</v>
      </c>
      <c r="AB36" s="102">
        <f t="shared" si="13"/>
        <v>0.28254913558135047</v>
      </c>
      <c r="AC36" s="2">
        <f t="shared" si="14"/>
        <v>5311.3892512989951</v>
      </c>
      <c r="AD36" s="102">
        <f t="shared" si="15"/>
        <v>8.7227836599415395E-2</v>
      </c>
      <c r="AF36" s="14"/>
    </row>
    <row r="37" spans="1:32" x14ac:dyDescent="0.25">
      <c r="A37">
        <v>2002</v>
      </c>
      <c r="B37" s="1">
        <f>'BRF harvest'!V7</f>
        <v>312.5349823096368</v>
      </c>
      <c r="C37" s="1">
        <f>'BRF harvest'!W7</f>
        <v>1175.85523103641</v>
      </c>
      <c r="D37" s="1">
        <f>'BRF harvest'!V107</f>
        <v>280.24767745357633</v>
      </c>
      <c r="E37" s="1">
        <f>'BRF harvest'!W107</f>
        <v>728.66343651476393</v>
      </c>
      <c r="F37" s="1">
        <f>'BRF harvest'!V157</f>
        <v>2871.7494444340323</v>
      </c>
      <c r="G37" s="1">
        <f>'BRF harvest'!W157</f>
        <v>123972.81902354451</v>
      </c>
      <c r="H37" s="1">
        <f>'BRF harvest'!V32</f>
        <v>865.83143816183724</v>
      </c>
      <c r="I37" s="1">
        <f>'BRF harvest'!W32</f>
        <v>10237.497524782051</v>
      </c>
      <c r="J37" s="1">
        <f>'BRF harvest'!V57</f>
        <v>100.59534150616244</v>
      </c>
      <c r="K37" s="1">
        <f>'BRF harvest'!W57</f>
        <v>136.45831193143337</v>
      </c>
      <c r="L37" s="2">
        <f t="shared" si="0"/>
        <v>4430.9588838652453</v>
      </c>
      <c r="M37" s="1">
        <f t="shared" si="1"/>
        <v>136251.29352780915</v>
      </c>
      <c r="N37">
        <f t="shared" si="2"/>
        <v>369.12232867683463</v>
      </c>
      <c r="O37" s="14">
        <f t="shared" si="3"/>
        <v>8.3305293132135597E-2</v>
      </c>
      <c r="P37" s="14"/>
      <c r="Q37" s="101"/>
      <c r="R37">
        <v>2002</v>
      </c>
      <c r="S37" s="1">
        <f t="shared" si="4"/>
        <v>312.5349823096368</v>
      </c>
      <c r="T37" s="102">
        <f t="shared" si="5"/>
        <v>0.10971810357431812</v>
      </c>
      <c r="U37" s="1">
        <f t="shared" si="6"/>
        <v>280.24767745357633</v>
      </c>
      <c r="V37" s="102">
        <f t="shared" si="7"/>
        <v>9.6321107345486642E-2</v>
      </c>
      <c r="W37" s="1">
        <f t="shared" si="8"/>
        <v>2871.7494444340323</v>
      </c>
      <c r="X37" s="102">
        <f t="shared" si="9"/>
        <v>0.12260740274792427</v>
      </c>
      <c r="Y37" s="1">
        <f t="shared" si="10"/>
        <v>865.83143816183724</v>
      </c>
      <c r="Z37" s="102">
        <f t="shared" si="11"/>
        <v>0.11685937358356421</v>
      </c>
      <c r="AA37" s="1">
        <f t="shared" si="12"/>
        <v>100.59534150616244</v>
      </c>
      <c r="AB37" s="102">
        <f t="shared" si="13"/>
        <v>0.11612403765196147</v>
      </c>
      <c r="AC37" s="2">
        <f t="shared" si="14"/>
        <v>4430.9588838652453</v>
      </c>
      <c r="AD37" s="102">
        <f t="shared" si="15"/>
        <v>8.3305293132135597E-2</v>
      </c>
      <c r="AF37" s="14"/>
    </row>
    <row r="38" spans="1:32" x14ac:dyDescent="0.25">
      <c r="A38">
        <v>2003</v>
      </c>
      <c r="B38" s="1">
        <f>'BRF harvest'!V8</f>
        <v>528.9454202183241</v>
      </c>
      <c r="C38" s="1">
        <f>'BRF harvest'!W8</f>
        <v>4261.9675061344697</v>
      </c>
      <c r="D38" s="1">
        <f>'BRF harvest'!V108</f>
        <v>1010.6323546288824</v>
      </c>
      <c r="E38" s="1">
        <f>'BRF harvest'!W108</f>
        <v>10282.07611577697</v>
      </c>
      <c r="F38" s="1">
        <f>'BRF harvest'!V158</f>
        <v>3691.9091603167899</v>
      </c>
      <c r="G38" s="1">
        <f>'BRF harvest'!W158</f>
        <v>250943.30091193932</v>
      </c>
      <c r="H38" s="1">
        <f>'BRF harvest'!V33</f>
        <v>1056.5445732905998</v>
      </c>
      <c r="I38" s="1">
        <f>'BRF harvest'!W33</f>
        <v>21742.894884376808</v>
      </c>
      <c r="J38" s="1">
        <f>'BRF harvest'!V58</f>
        <v>128.95174777365597</v>
      </c>
      <c r="K38" s="1">
        <f>'BRF harvest'!W58</f>
        <v>382.12443711905087</v>
      </c>
      <c r="L38" s="2">
        <f t="shared" si="0"/>
        <v>6416.9832562282518</v>
      </c>
      <c r="M38" s="1">
        <f t="shared" si="1"/>
        <v>287612.36385534663</v>
      </c>
      <c r="N38">
        <f t="shared" si="2"/>
        <v>536.29503433776699</v>
      </c>
      <c r="O38" s="14">
        <f t="shared" si="3"/>
        <v>8.3574323466910252E-2</v>
      </c>
      <c r="P38" s="14"/>
      <c r="Q38" s="101"/>
      <c r="R38">
        <v>2003</v>
      </c>
      <c r="S38" s="1">
        <f t="shared" si="4"/>
        <v>528.9454202183241</v>
      </c>
      <c r="T38" s="102">
        <f t="shared" si="5"/>
        <v>0.12342246215667606</v>
      </c>
      <c r="U38" s="1">
        <f t="shared" si="6"/>
        <v>1010.6323546288824</v>
      </c>
      <c r="V38" s="102">
        <f t="shared" si="7"/>
        <v>0.10033378814457405</v>
      </c>
      <c r="W38" s="1">
        <f t="shared" si="8"/>
        <v>3691.9091603167899</v>
      </c>
      <c r="X38" s="102">
        <f t="shared" si="9"/>
        <v>0.13568654888765627</v>
      </c>
      <c r="Y38" s="1">
        <f t="shared" si="10"/>
        <v>1056.5445732905998</v>
      </c>
      <c r="Z38" s="102">
        <f t="shared" si="11"/>
        <v>0.13956318095764317</v>
      </c>
      <c r="AA38" s="1">
        <f t="shared" si="12"/>
        <v>128.95174777365597</v>
      </c>
      <c r="AB38" s="102">
        <f t="shared" si="13"/>
        <v>0.15159161269562005</v>
      </c>
      <c r="AC38" s="2">
        <f t="shared" si="14"/>
        <v>6416.9832562282518</v>
      </c>
      <c r="AD38" s="102">
        <f t="shared" si="15"/>
        <v>8.3574323466910252E-2</v>
      </c>
      <c r="AF38" s="14"/>
    </row>
    <row r="39" spans="1:32" x14ac:dyDescent="0.25">
      <c r="A39">
        <v>2004</v>
      </c>
      <c r="B39" s="1">
        <f>'BRF harvest'!V9</f>
        <v>361.72103285180168</v>
      </c>
      <c r="C39" s="1">
        <f>'BRF harvest'!W9</f>
        <v>3178.8145766001203</v>
      </c>
      <c r="D39" s="1">
        <f>'BRF harvest'!V109</f>
        <v>711.72232213144957</v>
      </c>
      <c r="E39" s="1">
        <f>'BRF harvest'!W109</f>
        <v>5798.0218052213786</v>
      </c>
      <c r="F39" s="1">
        <f>'BRF harvest'!V159</f>
        <v>4377.7844435533307</v>
      </c>
      <c r="G39" s="1">
        <f>'BRF harvest'!W159</f>
        <v>407967.93419277959</v>
      </c>
      <c r="H39" s="1">
        <f>'BRF harvest'!V34</f>
        <v>737.50543260946256</v>
      </c>
      <c r="I39" s="1">
        <f>'BRF harvest'!W34</f>
        <v>13026.933197895305</v>
      </c>
      <c r="J39" s="1">
        <f>'BRF harvest'!V59</f>
        <v>195.57570555324924</v>
      </c>
      <c r="K39" s="1">
        <f>'BRF harvest'!W59</f>
        <v>839.92591153452895</v>
      </c>
      <c r="L39" s="2">
        <f t="shared" si="0"/>
        <v>6384.3089366992936</v>
      </c>
      <c r="M39" s="1">
        <f t="shared" si="1"/>
        <v>430811.62968403089</v>
      </c>
      <c r="N39">
        <f t="shared" si="2"/>
        <v>656.36242251063618</v>
      </c>
      <c r="O39" s="14">
        <f t="shared" si="3"/>
        <v>0.10280868752099855</v>
      </c>
      <c r="P39" s="14"/>
      <c r="Q39" s="101"/>
      <c r="R39">
        <v>2004</v>
      </c>
      <c r="S39" s="1">
        <f t="shared" si="4"/>
        <v>361.72103285180168</v>
      </c>
      <c r="T39" s="102">
        <f t="shared" si="5"/>
        <v>0.15586867215439862</v>
      </c>
      <c r="U39" s="1">
        <f t="shared" si="6"/>
        <v>711.72232213144957</v>
      </c>
      <c r="V39" s="102">
        <f t="shared" si="7"/>
        <v>0.10698658746295248</v>
      </c>
      <c r="W39" s="1">
        <f t="shared" si="8"/>
        <v>4377.7844435533307</v>
      </c>
      <c r="X39" s="102">
        <f t="shared" si="9"/>
        <v>0.14590112513876455</v>
      </c>
      <c r="Y39" s="1">
        <f t="shared" si="10"/>
        <v>737.50543260946256</v>
      </c>
      <c r="Z39" s="102">
        <f t="shared" si="11"/>
        <v>0.15475898378240582</v>
      </c>
      <c r="AA39" s="1">
        <f t="shared" si="12"/>
        <v>195.57570555324924</v>
      </c>
      <c r="AB39" s="102">
        <f t="shared" si="13"/>
        <v>0.14818545705741754</v>
      </c>
      <c r="AC39" s="2">
        <f t="shared" si="14"/>
        <v>6384.3089366992936</v>
      </c>
      <c r="AD39" s="102">
        <f t="shared" si="15"/>
        <v>0.10280868752099855</v>
      </c>
      <c r="AF39" s="14"/>
    </row>
    <row r="40" spans="1:32" x14ac:dyDescent="0.25">
      <c r="A40">
        <v>2005</v>
      </c>
      <c r="B40" s="1">
        <f>'BRF harvest'!V10</f>
        <v>1410.2992683885925</v>
      </c>
      <c r="C40" s="1">
        <f>'BRF harvest'!W10</f>
        <v>30346.649379815641</v>
      </c>
      <c r="D40" s="1">
        <f>'BRF harvest'!V110</f>
        <v>1152.806035567588</v>
      </c>
      <c r="E40" s="1">
        <f>'BRF harvest'!W110</f>
        <v>17826.983118176344</v>
      </c>
      <c r="F40" s="1">
        <f>'BRF harvest'!V160</f>
        <v>7004.4440019072426</v>
      </c>
      <c r="G40" s="1">
        <f>'BRF harvest'!W160</f>
        <v>878811.33432436222</v>
      </c>
      <c r="H40" s="1">
        <f>'BRF harvest'!V35</f>
        <v>1356.9211465405499</v>
      </c>
      <c r="I40" s="1">
        <f>'BRF harvest'!W35</f>
        <v>34413.47418628227</v>
      </c>
      <c r="J40" s="1">
        <f>'BRF harvest'!V60</f>
        <v>189.81639105045576</v>
      </c>
      <c r="K40" s="1">
        <f>'BRF harvest'!W60</f>
        <v>1805.1974911223547</v>
      </c>
      <c r="L40" s="2">
        <f t="shared" si="0"/>
        <v>11114.286843454429</v>
      </c>
      <c r="M40" s="1">
        <f t="shared" si="1"/>
        <v>963203.6384997589</v>
      </c>
      <c r="N40">
        <f t="shared" si="2"/>
        <v>981.42938538631449</v>
      </c>
      <c r="O40" s="14">
        <f t="shared" si="3"/>
        <v>8.8303406166299434E-2</v>
      </c>
      <c r="P40" s="14"/>
      <c r="Q40" s="101"/>
      <c r="R40">
        <v>2005</v>
      </c>
      <c r="S40" s="1">
        <f t="shared" si="4"/>
        <v>1410.2992683885925</v>
      </c>
      <c r="T40" s="102">
        <f t="shared" si="5"/>
        <v>0.12352193684505312</v>
      </c>
      <c r="U40" s="1">
        <f t="shared" si="6"/>
        <v>1152.806035567588</v>
      </c>
      <c r="V40" s="102">
        <f t="shared" si="7"/>
        <v>0.11581976649855831</v>
      </c>
      <c r="W40" s="1">
        <f t="shared" si="8"/>
        <v>7004.4440019072426</v>
      </c>
      <c r="X40" s="102">
        <f t="shared" si="9"/>
        <v>0.13383637254924127</v>
      </c>
      <c r="Y40" s="1">
        <f t="shared" si="10"/>
        <v>1356.9211465405499</v>
      </c>
      <c r="Z40" s="102">
        <f t="shared" si="11"/>
        <v>0.13671294813147516</v>
      </c>
      <c r="AA40" s="1">
        <f t="shared" si="12"/>
        <v>189.81639105045576</v>
      </c>
      <c r="AB40" s="102">
        <f t="shared" si="13"/>
        <v>0.22383533636444461</v>
      </c>
      <c r="AC40" s="2">
        <f t="shared" si="14"/>
        <v>11114.286843454429</v>
      </c>
      <c r="AD40" s="102">
        <f t="shared" si="15"/>
        <v>8.8303406166299434E-2</v>
      </c>
      <c r="AF40" s="14"/>
    </row>
    <row r="41" spans="1:32" x14ac:dyDescent="0.25">
      <c r="A41">
        <v>2006</v>
      </c>
      <c r="B41" s="1">
        <f>'BRF harvest'!V11</f>
        <v>864.82725119314125</v>
      </c>
      <c r="C41" s="1">
        <f>'BRF harvest'!W11</f>
        <v>13100.999310767989</v>
      </c>
      <c r="D41" s="1">
        <f>'BRF harvest'!V111</f>
        <v>1444.6238351492921</v>
      </c>
      <c r="E41" s="1">
        <f>'BRF harvest'!W111</f>
        <v>25650.171541451182</v>
      </c>
      <c r="F41" s="1">
        <f>'BRF harvest'!V161</f>
        <v>5342.857301024058</v>
      </c>
      <c r="G41" s="1">
        <f>'BRF harvest'!W161</f>
        <v>537469.93915013515</v>
      </c>
      <c r="H41" s="1">
        <f>'BRF harvest'!V36</f>
        <v>673.6989889709655</v>
      </c>
      <c r="I41" s="1">
        <f>'BRF harvest'!W36</f>
        <v>11155.588224535759</v>
      </c>
      <c r="J41" s="1">
        <f>'BRF harvest'!V61</f>
        <v>250.92729066128953</v>
      </c>
      <c r="K41" s="1">
        <f>'BRF harvest'!W61</f>
        <v>1953.7756441822028</v>
      </c>
      <c r="L41" s="2">
        <f t="shared" si="0"/>
        <v>8576.9346669987463</v>
      </c>
      <c r="M41" s="1">
        <f t="shared" si="1"/>
        <v>589330.47387107229</v>
      </c>
      <c r="N41">
        <f t="shared" si="2"/>
        <v>767.67862668637076</v>
      </c>
      <c r="O41" s="14">
        <f t="shared" si="3"/>
        <v>8.9505010413586147E-2</v>
      </c>
      <c r="P41" s="14"/>
      <c r="Q41" s="101"/>
      <c r="R41">
        <v>2006</v>
      </c>
      <c r="S41" s="1">
        <f t="shared" si="4"/>
        <v>864.82725119314125</v>
      </c>
      <c r="T41" s="102">
        <f t="shared" si="5"/>
        <v>0.13234966485016836</v>
      </c>
      <c r="U41" s="1">
        <f t="shared" si="6"/>
        <v>1444.6238351492921</v>
      </c>
      <c r="V41" s="102">
        <f t="shared" si="7"/>
        <v>0.11086395325003118</v>
      </c>
      <c r="W41" s="1">
        <f t="shared" si="8"/>
        <v>5342.857301024058</v>
      </c>
      <c r="X41" s="102">
        <f t="shared" si="9"/>
        <v>0.13721560805566368</v>
      </c>
      <c r="Y41" s="1">
        <f t="shared" si="10"/>
        <v>673.6989889709655</v>
      </c>
      <c r="Z41" s="102">
        <f t="shared" si="11"/>
        <v>0.15677627521230955</v>
      </c>
      <c r="AA41" s="1">
        <f t="shared" si="12"/>
        <v>250.92729066128953</v>
      </c>
      <c r="AB41" s="102">
        <f t="shared" si="13"/>
        <v>0.1761527584079382</v>
      </c>
      <c r="AC41" s="2">
        <f t="shared" si="14"/>
        <v>8576.9346669987463</v>
      </c>
      <c r="AD41" s="102">
        <f t="shared" si="15"/>
        <v>8.9505010413586147E-2</v>
      </c>
      <c r="AF41" s="14"/>
    </row>
    <row r="42" spans="1:32" x14ac:dyDescent="0.25">
      <c r="A42">
        <v>2007</v>
      </c>
      <c r="B42" s="1">
        <f>'BRF harvest'!V12</f>
        <v>1961.5839813375032</v>
      </c>
      <c r="C42" s="1">
        <f>'BRF harvest'!W12</f>
        <v>127534.05014604234</v>
      </c>
      <c r="D42" s="1">
        <f>'BRF harvest'!V112</f>
        <v>3548.2712909685397</v>
      </c>
      <c r="E42" s="1">
        <f>'BRF harvest'!W112</f>
        <v>166390.18017642081</v>
      </c>
      <c r="F42" s="1">
        <f>'BRF harvest'!V162</f>
        <v>6422.504868608883</v>
      </c>
      <c r="G42" s="1">
        <f>'BRF harvest'!W162</f>
        <v>1299302.9812342606</v>
      </c>
      <c r="H42" s="1">
        <f>'BRF harvest'!V37</f>
        <v>1235.5104762306612</v>
      </c>
      <c r="I42" s="1">
        <f>'BRF harvest'!W37</f>
        <v>72592.283026906094</v>
      </c>
      <c r="J42" s="1">
        <f>'BRF harvest'!V62</f>
        <v>1214.2443592476957</v>
      </c>
      <c r="K42" s="1">
        <f>'BRF harvest'!W62</f>
        <v>35910.510176689022</v>
      </c>
      <c r="L42" s="2">
        <f t="shared" si="0"/>
        <v>14382.114976393281</v>
      </c>
      <c r="M42" s="1">
        <f t="shared" si="1"/>
        <v>1701730.0047603191</v>
      </c>
      <c r="N42">
        <f t="shared" si="2"/>
        <v>1304.5037388832272</v>
      </c>
      <c r="O42" s="14">
        <f t="shared" si="3"/>
        <v>9.0703192195614624E-2</v>
      </c>
      <c r="P42" s="14"/>
      <c r="Q42" s="101"/>
      <c r="R42">
        <v>2007</v>
      </c>
      <c r="S42" s="1">
        <f t="shared" si="4"/>
        <v>1961.5839813375032</v>
      </c>
      <c r="T42" s="102">
        <f t="shared" si="5"/>
        <v>0.18205649178583225</v>
      </c>
      <c r="U42" s="1">
        <f t="shared" si="6"/>
        <v>3548.2712909685397</v>
      </c>
      <c r="V42" s="102">
        <f t="shared" si="7"/>
        <v>0.11496007239822588</v>
      </c>
      <c r="W42" s="1">
        <f t="shared" si="8"/>
        <v>6422.504868608883</v>
      </c>
      <c r="X42" s="102">
        <f t="shared" si="9"/>
        <v>0.17748055384725658</v>
      </c>
      <c r="Y42" s="1">
        <f t="shared" si="10"/>
        <v>1235.5104762306612</v>
      </c>
      <c r="Z42" s="102">
        <f t="shared" si="11"/>
        <v>0.21807144198475717</v>
      </c>
      <c r="AA42" s="1">
        <f t="shared" si="12"/>
        <v>1214.2443592476957</v>
      </c>
      <c r="AB42" s="102">
        <f t="shared" si="13"/>
        <v>0.15606470397621927</v>
      </c>
      <c r="AC42" s="2">
        <f t="shared" si="14"/>
        <v>14382.114976393281</v>
      </c>
      <c r="AD42" s="102">
        <f t="shared" si="15"/>
        <v>9.0703192195614624E-2</v>
      </c>
      <c r="AF42" s="14"/>
    </row>
    <row r="43" spans="1:32" x14ac:dyDescent="0.25">
      <c r="A43">
        <v>2008</v>
      </c>
      <c r="B43" s="1">
        <f>'BRF harvest'!V13</f>
        <v>2215.6726544599155</v>
      </c>
      <c r="C43" s="1">
        <f>'BRF harvest'!W13</f>
        <v>84016.499807644694</v>
      </c>
      <c r="D43" s="1">
        <f>'BRF harvest'!V113</f>
        <v>2197.93303989177</v>
      </c>
      <c r="E43" s="1">
        <f>'BRF harvest'!W113</f>
        <v>48240.693471829632</v>
      </c>
      <c r="F43" s="1">
        <f>'BRF harvest'!V163</f>
        <v>8218.9940485571151</v>
      </c>
      <c r="G43" s="1">
        <f>'BRF harvest'!W163</f>
        <v>1212752.2873273063</v>
      </c>
      <c r="H43" s="1">
        <f>'BRF harvest'!V38</f>
        <v>983.26253227554935</v>
      </c>
      <c r="I43" s="1">
        <f>'BRF harvest'!W38</f>
        <v>22515.794500779815</v>
      </c>
      <c r="J43" s="1">
        <f>'BRF harvest'!V63</f>
        <v>1211.7450630686949</v>
      </c>
      <c r="K43" s="1">
        <f>'BRF harvest'!W63</f>
        <v>22543.37210414069</v>
      </c>
      <c r="L43" s="2">
        <f t="shared" si="0"/>
        <v>14827.607338253045</v>
      </c>
      <c r="M43" s="1">
        <f t="shared" si="1"/>
        <v>1390068.6472117011</v>
      </c>
      <c r="N43">
        <f t="shared" si="2"/>
        <v>1179.0117247982316</v>
      </c>
      <c r="O43" s="14">
        <f t="shared" si="3"/>
        <v>7.9514630911256656E-2</v>
      </c>
      <c r="P43" s="14"/>
      <c r="Q43" s="101"/>
      <c r="R43">
        <v>2008</v>
      </c>
      <c r="S43" s="1">
        <f t="shared" si="4"/>
        <v>2215.6726544599155</v>
      </c>
      <c r="T43" s="102">
        <f t="shared" si="5"/>
        <v>0.13082076804763673</v>
      </c>
      <c r="U43" s="1">
        <f t="shared" si="6"/>
        <v>2197.93303989177</v>
      </c>
      <c r="V43" s="102">
        <f t="shared" si="7"/>
        <v>9.9929177688558857E-2</v>
      </c>
      <c r="W43" s="1">
        <f t="shared" si="8"/>
        <v>8218.9940485571151</v>
      </c>
      <c r="X43" s="102">
        <f t="shared" si="9"/>
        <v>0.13398845680953728</v>
      </c>
      <c r="Y43" s="1">
        <f t="shared" si="10"/>
        <v>983.26253227554935</v>
      </c>
      <c r="Z43" s="102">
        <f t="shared" si="11"/>
        <v>0.15260689202955674</v>
      </c>
      <c r="AA43" s="1">
        <f t="shared" si="12"/>
        <v>1211.7450630686949</v>
      </c>
      <c r="AB43" s="102">
        <f t="shared" si="13"/>
        <v>0.12390766725756198</v>
      </c>
      <c r="AC43" s="2">
        <f t="shared" si="14"/>
        <v>14827.607338253045</v>
      </c>
      <c r="AD43" s="102">
        <f t="shared" si="15"/>
        <v>7.9514630911256656E-2</v>
      </c>
      <c r="AF43" s="14"/>
    </row>
    <row r="44" spans="1:32" x14ac:dyDescent="0.25">
      <c r="A44">
        <v>2009</v>
      </c>
      <c r="B44" s="1">
        <f>'BRF harvest'!V14</f>
        <v>2933.7154069116409</v>
      </c>
      <c r="C44" s="1">
        <f>'BRF harvest'!W14</f>
        <v>131580.27580880257</v>
      </c>
      <c r="D44" s="1">
        <f>'BRF harvest'!V114</f>
        <v>2423.9460244987995</v>
      </c>
      <c r="E44" s="1">
        <f>'BRF harvest'!W114</f>
        <v>23282.839731054672</v>
      </c>
      <c r="F44" s="1">
        <f>'BRF harvest'!V164</f>
        <v>7252.3259521909167</v>
      </c>
      <c r="G44" s="1">
        <f>'BRF harvest'!W164</f>
        <v>930958.4747448694</v>
      </c>
      <c r="H44" s="1">
        <f>'BRF harvest'!V39</f>
        <v>1414.6978625666927</v>
      </c>
      <c r="I44" s="1">
        <f>'BRF harvest'!W39</f>
        <v>40148.956631759567</v>
      </c>
      <c r="J44" s="1">
        <f>'BRF harvest'!V64</f>
        <v>853.801636788471</v>
      </c>
      <c r="K44" s="1">
        <f>'BRF harvest'!W64</f>
        <v>6601.2664897697632</v>
      </c>
      <c r="L44" s="2">
        <f t="shared" si="0"/>
        <v>14878.48688295652</v>
      </c>
      <c r="M44" s="1">
        <f t="shared" si="1"/>
        <v>1132571.813406256</v>
      </c>
      <c r="N44">
        <f t="shared" si="2"/>
        <v>1064.2235730363502</v>
      </c>
      <c r="O44" s="14">
        <f t="shared" si="3"/>
        <v>7.1527674918034218E-2</v>
      </c>
      <c r="P44" s="14"/>
      <c r="Q44" s="101"/>
      <c r="R44">
        <v>2009</v>
      </c>
      <c r="S44" s="1">
        <f t="shared" si="4"/>
        <v>2933.7154069116409</v>
      </c>
      <c r="T44" s="102">
        <f t="shared" si="5"/>
        <v>0.12364524361309581</v>
      </c>
      <c r="U44" s="1">
        <f t="shared" si="6"/>
        <v>2423.9460244987995</v>
      </c>
      <c r="V44" s="102">
        <f t="shared" si="7"/>
        <v>6.2949897810944455E-2</v>
      </c>
      <c r="W44" s="1">
        <f t="shared" si="8"/>
        <v>7252.3259521909167</v>
      </c>
      <c r="X44" s="102">
        <f t="shared" si="9"/>
        <v>0.13304171661491568</v>
      </c>
      <c r="Y44" s="1">
        <f t="shared" si="10"/>
        <v>1414.6978625666927</v>
      </c>
      <c r="Z44" s="102">
        <f t="shared" si="11"/>
        <v>0.14163592865770172</v>
      </c>
      <c r="AA44" s="1">
        <f t="shared" si="12"/>
        <v>853.801636788471</v>
      </c>
      <c r="AB44" s="102">
        <f t="shared" si="13"/>
        <v>9.5160485617916457E-2</v>
      </c>
      <c r="AC44" s="2">
        <f t="shared" si="14"/>
        <v>14878.48688295652</v>
      </c>
      <c r="AD44" s="102">
        <f t="shared" si="15"/>
        <v>7.1527674918034218E-2</v>
      </c>
      <c r="AF44" s="14"/>
    </row>
    <row r="45" spans="1:32" x14ac:dyDescent="0.25">
      <c r="A45">
        <v>2010</v>
      </c>
      <c r="B45" s="1">
        <f>'BRF harvest'!V15</f>
        <v>1674.0195892837091</v>
      </c>
      <c r="C45" s="1">
        <f>'BRF harvest'!W15</f>
        <v>130106.07916994394</v>
      </c>
      <c r="D45" s="1">
        <f>'BRF harvest'!V115</f>
        <v>1830.6447757075803</v>
      </c>
      <c r="E45" s="1">
        <f>'BRF harvest'!W115</f>
        <v>59200.200551632581</v>
      </c>
      <c r="F45" s="1">
        <f>'BRF harvest'!V165</f>
        <v>8333.6162949861937</v>
      </c>
      <c r="G45" s="1">
        <f>'BRF harvest'!W165</f>
        <v>2534212.1455331598</v>
      </c>
      <c r="H45" s="1">
        <f>'BRF harvest'!V40</f>
        <v>697.68621552431614</v>
      </c>
      <c r="I45" s="1">
        <f>'BRF harvest'!W40</f>
        <v>30014.910092151087</v>
      </c>
      <c r="J45" s="1">
        <f>'BRF harvest'!V65</f>
        <v>518.26421078013175</v>
      </c>
      <c r="K45" s="1">
        <f>'BRF harvest'!W65</f>
        <v>7908.3493489754201</v>
      </c>
      <c r="L45" s="2">
        <f t="shared" si="0"/>
        <v>13054.23108628193</v>
      </c>
      <c r="M45" s="1">
        <f t="shared" si="1"/>
        <v>2761441.6846958632</v>
      </c>
      <c r="N45">
        <f t="shared" si="2"/>
        <v>1661.7586120420328</v>
      </c>
      <c r="O45" s="14">
        <f t="shared" si="3"/>
        <v>0.12729655244025026</v>
      </c>
      <c r="P45" s="14"/>
      <c r="Q45" s="101"/>
      <c r="R45">
        <v>2010</v>
      </c>
      <c r="S45" s="1">
        <f t="shared" si="4"/>
        <v>1674.0195892837091</v>
      </c>
      <c r="T45" s="102">
        <f t="shared" si="5"/>
        <v>0.21547071802467951</v>
      </c>
      <c r="U45" s="1">
        <f t="shared" si="6"/>
        <v>1830.6447757075803</v>
      </c>
      <c r="V45" s="102">
        <f t="shared" si="7"/>
        <v>0.13290995422560967</v>
      </c>
      <c r="W45" s="1">
        <f t="shared" si="8"/>
        <v>8333.6162949861937</v>
      </c>
      <c r="X45" s="102">
        <f t="shared" si="9"/>
        <v>0.19102402146491768</v>
      </c>
      <c r="Y45" s="1">
        <f t="shared" si="10"/>
        <v>697.68621552431614</v>
      </c>
      <c r="Z45" s="102">
        <f t="shared" si="11"/>
        <v>0.2483181024418501</v>
      </c>
      <c r="AA45" s="1">
        <f t="shared" si="12"/>
        <v>518.26421078013175</v>
      </c>
      <c r="AB45" s="102">
        <f t="shared" si="13"/>
        <v>0.17158989310361689</v>
      </c>
      <c r="AC45" s="2">
        <f t="shared" si="14"/>
        <v>13054.23108628193</v>
      </c>
      <c r="AD45" s="102">
        <f t="shared" si="15"/>
        <v>0.12729655244025026</v>
      </c>
      <c r="AF45" s="14"/>
    </row>
    <row r="46" spans="1:32" x14ac:dyDescent="0.25">
      <c r="A46">
        <v>2011</v>
      </c>
      <c r="B46" s="1">
        <f>'BRF harvest'!V16</f>
        <v>2824.379965044564</v>
      </c>
      <c r="C46" s="1">
        <f>'BRF harvest'!W16</f>
        <v>110439.43477794201</v>
      </c>
      <c r="D46" s="1">
        <f>'BRF harvest'!V116</f>
        <v>1783.061243623943</v>
      </c>
      <c r="E46" s="1">
        <f>'BRF harvest'!W116</f>
        <v>10218.459932117676</v>
      </c>
      <c r="F46" s="1">
        <f>'BRF harvest'!V166</f>
        <v>10011.024497849619</v>
      </c>
      <c r="G46" s="1">
        <f>'BRF harvest'!W166</f>
        <v>1231163.6214017903</v>
      </c>
      <c r="H46" s="1">
        <f>'BRF harvest'!V41</f>
        <v>1193.9086573069919</v>
      </c>
      <c r="I46" s="1">
        <f>'BRF harvest'!W41</f>
        <v>27787.228597925834</v>
      </c>
      <c r="J46" s="1">
        <f>'BRF harvest'!V66</f>
        <v>636.51641897520381</v>
      </c>
      <c r="K46" s="1">
        <f>'BRF harvest'!W66</f>
        <v>7625.3098503592446</v>
      </c>
      <c r="L46" s="2">
        <f t="shared" si="0"/>
        <v>16448.890782800321</v>
      </c>
      <c r="M46" s="1">
        <f t="shared" si="1"/>
        <v>1387234.0545601351</v>
      </c>
      <c r="N46">
        <f t="shared" si="2"/>
        <v>1177.8090059768329</v>
      </c>
      <c r="O46" s="14">
        <f t="shared" si="3"/>
        <v>7.1604159911402745E-2</v>
      </c>
      <c r="P46" s="14"/>
      <c r="Q46" s="101"/>
      <c r="R46">
        <v>2011</v>
      </c>
      <c r="S46" s="1">
        <f t="shared" si="4"/>
        <v>2824.379965044564</v>
      </c>
      <c r="T46" s="102">
        <f t="shared" si="5"/>
        <v>0.11766274215886653</v>
      </c>
      <c r="U46" s="1">
        <f t="shared" si="6"/>
        <v>1783.061243623943</v>
      </c>
      <c r="V46" s="102">
        <f t="shared" si="7"/>
        <v>5.6692611493379362E-2</v>
      </c>
      <c r="W46" s="1">
        <f t="shared" si="8"/>
        <v>10011.024497849619</v>
      </c>
      <c r="X46" s="102">
        <f t="shared" si="9"/>
        <v>0.11083562205921031</v>
      </c>
      <c r="Y46" s="1">
        <f t="shared" si="10"/>
        <v>1193.9086573069919</v>
      </c>
      <c r="Z46" s="102">
        <f t="shared" si="11"/>
        <v>0.13962124798720876</v>
      </c>
      <c r="AA46" s="1">
        <f t="shared" si="12"/>
        <v>636.51641897520381</v>
      </c>
      <c r="AB46" s="102">
        <f t="shared" si="13"/>
        <v>0.13718895154885047</v>
      </c>
      <c r="AC46" s="2">
        <f t="shared" si="14"/>
        <v>16448.890782800321</v>
      </c>
      <c r="AD46" s="102">
        <f t="shared" si="15"/>
        <v>7.1604159911402745E-2</v>
      </c>
      <c r="AF46" s="14"/>
    </row>
    <row r="47" spans="1:32" x14ac:dyDescent="0.25">
      <c r="A47">
        <v>2012</v>
      </c>
      <c r="B47" s="1">
        <f>'BRF harvest'!V17</f>
        <v>2686.2781107934079</v>
      </c>
      <c r="C47" s="1">
        <f>'BRF harvest'!W17</f>
        <v>154218.96287561004</v>
      </c>
      <c r="D47" s="1">
        <f>'BRF harvest'!V117</f>
        <v>3230.7519712596668</v>
      </c>
      <c r="E47" s="1">
        <f>'BRF harvest'!W117</f>
        <v>42110.513057331496</v>
      </c>
      <c r="F47" s="1">
        <f>'BRF harvest'!V167</f>
        <v>8405.2176992501281</v>
      </c>
      <c r="G47" s="1">
        <f>'BRF harvest'!W167</f>
        <v>1202114.4493362119</v>
      </c>
      <c r="H47" s="1">
        <f>'BRF harvest'!V42</f>
        <v>1836.4472785420294</v>
      </c>
      <c r="I47" s="1">
        <f>'BRF harvest'!W42</f>
        <v>232450.70700561017</v>
      </c>
      <c r="J47" s="1">
        <f>'BRF harvest'!V67</f>
        <v>975.58371010500002</v>
      </c>
      <c r="K47" s="1">
        <f>'BRF harvest'!W67</f>
        <v>64436.214915053235</v>
      </c>
      <c r="L47" s="2">
        <f t="shared" si="0"/>
        <v>17134.27876995023</v>
      </c>
      <c r="M47" s="1">
        <f t="shared" si="1"/>
        <v>1695330.8471898169</v>
      </c>
      <c r="N47">
        <f t="shared" si="2"/>
        <v>1302.0487115272672</v>
      </c>
      <c r="O47" s="14">
        <f t="shared" si="3"/>
        <v>7.5990867722473113E-2</v>
      </c>
      <c r="P47" s="14"/>
      <c r="Q47" s="101"/>
      <c r="R47">
        <v>2012</v>
      </c>
      <c r="S47" s="1">
        <f t="shared" si="4"/>
        <v>2686.2781107934079</v>
      </c>
      <c r="T47" s="102">
        <f t="shared" si="5"/>
        <v>0.14619008406774989</v>
      </c>
      <c r="U47" s="1">
        <f t="shared" si="6"/>
        <v>3230.7519712596668</v>
      </c>
      <c r="V47" s="102">
        <f t="shared" si="7"/>
        <v>6.3517244364885192E-2</v>
      </c>
      <c r="W47" s="1">
        <f t="shared" si="8"/>
        <v>8405.2176992501281</v>
      </c>
      <c r="X47" s="102">
        <f t="shared" si="9"/>
        <v>0.13044395031037542</v>
      </c>
      <c r="Y47" s="1">
        <f t="shared" si="10"/>
        <v>1836.4472785420294</v>
      </c>
      <c r="Z47" s="102">
        <f t="shared" si="11"/>
        <v>0.26253485548946831</v>
      </c>
      <c r="AA47" s="1">
        <f t="shared" si="12"/>
        <v>975.58371010500002</v>
      </c>
      <c r="AB47" s="102">
        <f t="shared" si="13"/>
        <v>0.26019591300038236</v>
      </c>
      <c r="AC47" s="2">
        <f t="shared" si="14"/>
        <v>17134.27876995023</v>
      </c>
      <c r="AD47" s="102">
        <f t="shared" si="15"/>
        <v>7.5990867722473113E-2</v>
      </c>
      <c r="AF47" s="14"/>
    </row>
    <row r="48" spans="1:32" x14ac:dyDescent="0.25">
      <c r="A48">
        <v>2013</v>
      </c>
      <c r="B48" s="1">
        <f>'BRF harvest'!V18</f>
        <v>1576.1179956627866</v>
      </c>
      <c r="C48" s="1">
        <f>'BRF harvest'!W18</f>
        <v>59124.036099398108</v>
      </c>
      <c r="D48" s="1">
        <f>'BRF harvest'!V118</f>
        <v>2196.1816172655258</v>
      </c>
      <c r="E48" s="1">
        <f>'BRF harvest'!W118</f>
        <v>53857.184931062875</v>
      </c>
      <c r="F48" s="1">
        <f>'BRF harvest'!V168</f>
        <v>10803.122295048772</v>
      </c>
      <c r="G48" s="1">
        <f>'BRF harvest'!W168</f>
        <v>2272222.4185363483</v>
      </c>
      <c r="H48" s="1">
        <f>'BRF harvest'!V43</f>
        <v>1146.5471884139997</v>
      </c>
      <c r="I48" s="1">
        <f>'BRF harvest'!W43</f>
        <v>32636.929540970188</v>
      </c>
      <c r="J48" s="1">
        <f>'BRF harvest'!V68</f>
        <v>958.2169747559999</v>
      </c>
      <c r="K48" s="1">
        <f>'BRF harvest'!W68</f>
        <v>10548.925104450396</v>
      </c>
      <c r="L48" s="2">
        <f t="shared" si="0"/>
        <v>16680.186071147084</v>
      </c>
      <c r="M48" s="1">
        <f t="shared" si="1"/>
        <v>2428389.4942122302</v>
      </c>
      <c r="N48">
        <f t="shared" si="2"/>
        <v>1558.3290712209121</v>
      </c>
      <c r="O48" s="14">
        <f t="shared" si="3"/>
        <v>9.3423962093352533E-2</v>
      </c>
      <c r="P48" s="14"/>
      <c r="Q48" s="101"/>
      <c r="R48">
        <v>2013</v>
      </c>
      <c r="S48" s="1">
        <f t="shared" si="4"/>
        <v>1576.1179956627866</v>
      </c>
      <c r="T48" s="102">
        <f t="shared" si="5"/>
        <v>0.15427420213292264</v>
      </c>
      <c r="U48" s="1">
        <f t="shared" si="6"/>
        <v>2196.1816172655258</v>
      </c>
      <c r="V48" s="102">
        <f t="shared" si="7"/>
        <v>0.10567045384735414</v>
      </c>
      <c r="W48" s="1">
        <f t="shared" si="8"/>
        <v>10803.122295048772</v>
      </c>
      <c r="X48" s="102">
        <f t="shared" si="9"/>
        <v>0.13953274166742125</v>
      </c>
      <c r="Y48" s="1">
        <f t="shared" si="10"/>
        <v>1146.5471884139997</v>
      </c>
      <c r="Z48" s="102">
        <f t="shared" si="11"/>
        <v>0.15756607371915604</v>
      </c>
      <c r="AA48" s="1">
        <f t="shared" si="12"/>
        <v>958.2169747559999</v>
      </c>
      <c r="AB48" s="102">
        <f t="shared" si="13"/>
        <v>0.10718653810539268</v>
      </c>
      <c r="AC48" s="2">
        <f t="shared" si="14"/>
        <v>16680.186071147084</v>
      </c>
      <c r="AD48" s="102">
        <f t="shared" si="15"/>
        <v>9.3423962093352533E-2</v>
      </c>
      <c r="AF48" s="14"/>
    </row>
    <row r="49" spans="1:32" x14ac:dyDescent="0.25">
      <c r="A49">
        <v>2014</v>
      </c>
      <c r="B49" s="1">
        <f>'BRF harvest'!V19</f>
        <v>2804.100842514702</v>
      </c>
      <c r="C49" s="1">
        <f>'BRF harvest'!W19</f>
        <v>166895.63223462563</v>
      </c>
      <c r="D49" s="1">
        <f>'BRF harvest'!V119</f>
        <v>3384.8400360634764</v>
      </c>
      <c r="E49" s="1">
        <f>'BRF harvest'!W119</f>
        <v>45649.304568713735</v>
      </c>
      <c r="F49" s="1">
        <f>'BRF harvest'!V169</f>
        <v>12651.288585790298</v>
      </c>
      <c r="G49" s="1">
        <f>'BRF harvest'!W169</f>
        <v>1078904.0100803296</v>
      </c>
      <c r="H49" s="1">
        <f>'BRF harvest'!V44</f>
        <v>2059.4071840108741</v>
      </c>
      <c r="I49" s="1">
        <f>'BRF harvest'!W44</f>
        <v>150118.9794128848</v>
      </c>
      <c r="J49" s="1">
        <f>'BRF harvest'!V69</f>
        <v>695.90076735227876</v>
      </c>
      <c r="K49" s="1">
        <f>'BRF harvest'!W69</f>
        <v>11883.823338096288</v>
      </c>
      <c r="L49" s="2">
        <f t="shared" si="0"/>
        <v>21595.537415731629</v>
      </c>
      <c r="M49" s="1">
        <f t="shared" si="1"/>
        <v>1453451.7496346501</v>
      </c>
      <c r="N49">
        <f t="shared" si="2"/>
        <v>1205.591866941151</v>
      </c>
      <c r="O49" s="14">
        <f t="shared" si="3"/>
        <v>5.5825971992848743E-2</v>
      </c>
      <c r="P49" s="14"/>
      <c r="Q49" s="101"/>
      <c r="R49">
        <v>2014</v>
      </c>
      <c r="S49" s="1">
        <f t="shared" si="4"/>
        <v>2804.100842514702</v>
      </c>
      <c r="T49" s="102">
        <f t="shared" si="5"/>
        <v>0.14568970289149061</v>
      </c>
      <c r="U49" s="1">
        <f t="shared" si="6"/>
        <v>3384.8400360634764</v>
      </c>
      <c r="V49" s="102">
        <f t="shared" si="7"/>
        <v>6.3121735879370519E-2</v>
      </c>
      <c r="W49" s="1">
        <f t="shared" si="8"/>
        <v>12651.288585790298</v>
      </c>
      <c r="X49" s="102">
        <f t="shared" si="9"/>
        <v>8.2102549100431924E-2</v>
      </c>
      <c r="Y49" s="1">
        <f t="shared" si="10"/>
        <v>2059.4071840108741</v>
      </c>
      <c r="Z49" s="102">
        <f t="shared" si="11"/>
        <v>0.1881375907316632</v>
      </c>
      <c r="AA49" s="1">
        <f t="shared" si="12"/>
        <v>695.90076735227876</v>
      </c>
      <c r="AB49" s="102">
        <f t="shared" si="13"/>
        <v>0.15665013668203703</v>
      </c>
      <c r="AC49" s="2">
        <f t="shared" si="14"/>
        <v>21595.537415731629</v>
      </c>
      <c r="AD49" s="102">
        <f t="shared" si="15"/>
        <v>5.5825971992848743E-2</v>
      </c>
      <c r="AF49" s="14"/>
    </row>
    <row r="50" spans="1:32" x14ac:dyDescent="0.25">
      <c r="A50">
        <v>2015</v>
      </c>
      <c r="B50" s="1">
        <f>'BRF harvest'!V20</f>
        <v>3569.4906353961287</v>
      </c>
      <c r="C50" s="1">
        <f>'BRF harvest'!W20</f>
        <v>598904.89009598747</v>
      </c>
      <c r="D50" s="1">
        <f>'BRF harvest'!V120</f>
        <v>3164.9577271984163</v>
      </c>
      <c r="E50" s="1">
        <f>'BRF harvest'!W120</f>
        <v>212087.20021346546</v>
      </c>
      <c r="F50" s="1">
        <f>'BRF harvest'!V170</f>
        <v>16131.688651385251</v>
      </c>
      <c r="G50" s="1">
        <f>'BRF harvest'!W170</f>
        <v>5753245.3203021316</v>
      </c>
      <c r="H50" s="1">
        <f>'BRF harvest'!V45</f>
        <v>1839.5665531727768</v>
      </c>
      <c r="I50" s="1">
        <f>'BRF harvest'!W45</f>
        <v>364264.79340150853</v>
      </c>
      <c r="J50" s="1">
        <f>'BRF harvest'!V70</f>
        <v>721.58731597694577</v>
      </c>
      <c r="K50" s="1">
        <f>'BRF harvest'!W70</f>
        <v>34121.480606567384</v>
      </c>
      <c r="L50" s="2">
        <f t="shared" si="0"/>
        <v>25427.290883129521</v>
      </c>
      <c r="M50" s="1">
        <f t="shared" si="1"/>
        <v>6962623.6846196605</v>
      </c>
      <c r="N50">
        <f t="shared" si="2"/>
        <v>2638.6783973458496</v>
      </c>
      <c r="O50" s="14">
        <f t="shared" si="3"/>
        <v>0.10377347746065067</v>
      </c>
      <c r="P50" s="14"/>
      <c r="Q50" s="101"/>
      <c r="R50">
        <v>2015</v>
      </c>
      <c r="S50" s="1">
        <f t="shared" si="4"/>
        <v>3569.4906353961287</v>
      </c>
      <c r="T50" s="102">
        <f t="shared" si="5"/>
        <v>0.21680669177785111</v>
      </c>
      <c r="U50" s="1">
        <f t="shared" si="6"/>
        <v>3164.9577271984163</v>
      </c>
      <c r="V50" s="102">
        <f t="shared" si="7"/>
        <v>0.14550881896987602</v>
      </c>
      <c r="W50" s="1">
        <f t="shared" si="8"/>
        <v>16131.688651385251</v>
      </c>
      <c r="X50" s="102">
        <f t="shared" si="9"/>
        <v>0.14868823804482117</v>
      </c>
      <c r="Y50" s="1">
        <f t="shared" si="10"/>
        <v>1839.5665531727768</v>
      </c>
      <c r="Z50" s="102">
        <f t="shared" si="11"/>
        <v>0.32809007622965242</v>
      </c>
      <c r="AA50" s="1">
        <f t="shared" si="12"/>
        <v>721.58731597694577</v>
      </c>
      <c r="AB50" s="102">
        <f t="shared" si="13"/>
        <v>0.25599120422820326</v>
      </c>
      <c r="AC50" s="2">
        <f t="shared" si="14"/>
        <v>25427.290883129521</v>
      </c>
      <c r="AD50" s="102">
        <f t="shared" si="15"/>
        <v>0.10377347746065067</v>
      </c>
      <c r="AF50" s="14"/>
    </row>
    <row r="51" spans="1:32" x14ac:dyDescent="0.25">
      <c r="A51">
        <v>2016</v>
      </c>
      <c r="B51" s="1">
        <f>'BRF harvest'!V21</f>
        <v>2858.1331790138988</v>
      </c>
      <c r="C51" s="1">
        <f>'BRF harvest'!W21</f>
        <v>60282.895699174449</v>
      </c>
      <c r="D51" s="1">
        <f>'BRF harvest'!V121</f>
        <v>3414.7740069257229</v>
      </c>
      <c r="E51" s="1">
        <f>'BRF harvest'!W121</f>
        <v>79528.975172019418</v>
      </c>
      <c r="F51" s="1">
        <f>'BRF harvest'!V171</f>
        <v>18815.657376733012</v>
      </c>
      <c r="G51" s="1">
        <f>'BRF harvest'!W171</f>
        <v>15932312.113905918</v>
      </c>
      <c r="H51" s="1">
        <f>'BRF harvest'!V46</f>
        <v>1687.6795897647514</v>
      </c>
      <c r="I51" s="1">
        <f>'BRF harvest'!W46</f>
        <v>23105.99002342359</v>
      </c>
      <c r="J51" s="1">
        <f>'BRF harvest'!V71</f>
        <v>723.22298554881536</v>
      </c>
      <c r="K51" s="1">
        <f>'BRF harvest'!W71</f>
        <v>3920.9224141345612</v>
      </c>
      <c r="L51" s="2">
        <f t="shared" si="0"/>
        <v>27499.467137986197</v>
      </c>
      <c r="M51" s="1">
        <f t="shared" si="1"/>
        <v>16099150.89721467</v>
      </c>
      <c r="N51">
        <f t="shared" si="2"/>
        <v>4012.3747204385922</v>
      </c>
      <c r="O51" s="14">
        <f>N51/L51</f>
        <v>0.14590736250653114</v>
      </c>
      <c r="P51" s="14"/>
      <c r="Q51" s="101"/>
      <c r="R51">
        <v>2016</v>
      </c>
      <c r="S51" s="1">
        <f t="shared" si="4"/>
        <v>2858.1331790138988</v>
      </c>
      <c r="T51" s="102">
        <f t="shared" si="5"/>
        <v>8.5904238276969053E-2</v>
      </c>
      <c r="U51" s="1">
        <f t="shared" si="6"/>
        <v>3414.7740069257229</v>
      </c>
      <c r="V51" s="102">
        <f t="shared" si="7"/>
        <v>8.2584914994977915E-2</v>
      </c>
      <c r="W51" s="1">
        <f t="shared" si="8"/>
        <v>18815.657376733012</v>
      </c>
      <c r="X51" s="102">
        <f t="shared" si="9"/>
        <v>0.21213875055253231</v>
      </c>
      <c r="Y51" s="1">
        <f t="shared" si="10"/>
        <v>1687.6795897647514</v>
      </c>
      <c r="Z51" s="102">
        <f t="shared" si="11"/>
        <v>9.0068367781776321E-2</v>
      </c>
      <c r="AA51" s="1">
        <f t="shared" si="12"/>
        <v>723.22298554881536</v>
      </c>
      <c r="AB51" s="102">
        <f t="shared" si="13"/>
        <v>8.6580861708725435E-2</v>
      </c>
      <c r="AC51" s="2">
        <f t="shared" si="14"/>
        <v>27499.467137986197</v>
      </c>
      <c r="AD51" s="102">
        <f t="shared" si="15"/>
        <v>0.14590736250653114</v>
      </c>
      <c r="AF51" s="14"/>
    </row>
    <row r="52" spans="1:32" x14ac:dyDescent="0.25">
      <c r="A52">
        <v>2017</v>
      </c>
      <c r="B52" s="1">
        <f>'BRF harvest'!V22</f>
        <v>3011.9498269146825</v>
      </c>
      <c r="C52" s="1">
        <f>'BRF harvest'!W22</f>
        <v>63135.675599037138</v>
      </c>
      <c r="D52" s="1">
        <f>'BRF harvest'!V122</f>
        <v>4542.8411858699965</v>
      </c>
      <c r="E52" s="1">
        <f>'BRF harvest'!W122</f>
        <v>328585.71047680808</v>
      </c>
      <c r="F52" s="1">
        <f>'BRF harvest'!V172</f>
        <v>6714.9385112867531</v>
      </c>
      <c r="G52" s="1">
        <f>'BRF harvest'!W172</f>
        <v>574832.62801868608</v>
      </c>
      <c r="H52" s="1">
        <f>'BRF harvest'!V47</f>
        <v>2145.1285766160786</v>
      </c>
      <c r="I52" s="1">
        <f>'BRF harvest'!W47</f>
        <v>178747.95283338366</v>
      </c>
      <c r="J52" s="1">
        <f>'BRF harvest'!V72</f>
        <v>723.56015152764917</v>
      </c>
      <c r="K52" s="1">
        <f>'BRF harvest'!W72</f>
        <v>9383.8354083557351</v>
      </c>
      <c r="L52" s="2">
        <f t="shared" si="0"/>
        <v>17138.41825221516</v>
      </c>
      <c r="M52" s="1">
        <f t="shared" si="1"/>
        <v>1154685.8023362707</v>
      </c>
      <c r="N52">
        <f t="shared" si="2"/>
        <v>1074.5630750850648</v>
      </c>
      <c r="O52" s="14">
        <f t="shared" si="3"/>
        <v>6.2699081051203559E-2</v>
      </c>
      <c r="P52" s="14"/>
      <c r="Q52" s="101"/>
      <c r="R52">
        <v>2017</v>
      </c>
      <c r="S52" s="1">
        <f t="shared" si="4"/>
        <v>3011.9498269146825</v>
      </c>
      <c r="T52" s="102">
        <f t="shared" si="5"/>
        <v>8.3423745183493409E-2</v>
      </c>
      <c r="U52" s="1">
        <f t="shared" si="6"/>
        <v>4542.8411858699965</v>
      </c>
      <c r="V52" s="102">
        <f t="shared" si="7"/>
        <v>0.12618181847648979</v>
      </c>
      <c r="W52" s="1">
        <f t="shared" si="8"/>
        <v>6714.9385112867531</v>
      </c>
      <c r="X52" s="102">
        <f t="shared" si="9"/>
        <v>0.11290902713141175</v>
      </c>
      <c r="Y52" s="1">
        <f t="shared" si="10"/>
        <v>2145.1285766160786</v>
      </c>
      <c r="Z52" s="102">
        <f t="shared" si="11"/>
        <v>0.19709118917347579</v>
      </c>
      <c r="AA52" s="1">
        <f t="shared" si="12"/>
        <v>723.56015152764917</v>
      </c>
      <c r="AB52" s="102">
        <f t="shared" si="13"/>
        <v>0.13387995256280633</v>
      </c>
      <c r="AC52" s="2">
        <f t="shared" si="14"/>
        <v>17138.41825221516</v>
      </c>
      <c r="AD52" s="102">
        <f t="shared" si="15"/>
        <v>6.2699081051203559E-2</v>
      </c>
      <c r="AF52" s="14"/>
    </row>
    <row r="53" spans="1:32" x14ac:dyDescent="0.25">
      <c r="A53">
        <v>2018</v>
      </c>
      <c r="B53" s="1">
        <f>'BRF harvest'!V23</f>
        <v>3958.1363902099833</v>
      </c>
      <c r="C53" s="1">
        <f>'BRF harvest'!W23</f>
        <v>316859.75576525182</v>
      </c>
      <c r="D53" s="1">
        <f>'BRF harvest'!V123</f>
        <v>3706.6052675224605</v>
      </c>
      <c r="E53" s="1">
        <f>'BRF harvest'!W123</f>
        <v>58837.103741671788</v>
      </c>
      <c r="F53" s="1">
        <f>'BRF harvest'!V173</f>
        <v>12726.394471159685</v>
      </c>
      <c r="G53" s="1">
        <f>'BRF harvest'!W173</f>
        <v>3590815.0337084327</v>
      </c>
      <c r="H53" s="1">
        <f>'BRF harvest'!V48</f>
        <v>2508.3648669308409</v>
      </c>
      <c r="I53" s="1">
        <f>'BRF harvest'!W48</f>
        <v>140826.6790163551</v>
      </c>
      <c r="J53" s="1">
        <f>'BRF harvest'!V73</f>
        <v>646.16417038081829</v>
      </c>
      <c r="K53" s="1">
        <f>'BRF harvest'!W73</f>
        <v>3476.3095111110133</v>
      </c>
      <c r="L53" s="2">
        <f t="shared" si="0"/>
        <v>23545.665166203788</v>
      </c>
      <c r="M53" s="1">
        <f t="shared" si="1"/>
        <v>4110814.8817428225</v>
      </c>
      <c r="N53">
        <f t="shared" si="2"/>
        <v>2027.5144590712102</v>
      </c>
      <c r="O53" s="14">
        <f t="shared" si="3"/>
        <v>8.610988242461709E-2</v>
      </c>
      <c r="P53" s="14"/>
      <c r="Q53" s="101"/>
      <c r="R53">
        <v>2018</v>
      </c>
      <c r="S53" s="1">
        <f t="shared" si="4"/>
        <v>3958.1363902099833</v>
      </c>
      <c r="T53" s="102">
        <f t="shared" si="5"/>
        <v>0.14221414231319557</v>
      </c>
      <c r="U53" s="1">
        <f t="shared" si="6"/>
        <v>3706.6052675224605</v>
      </c>
      <c r="V53" s="102">
        <f t="shared" si="7"/>
        <v>6.5440906196688159E-2</v>
      </c>
      <c r="W53" s="1">
        <f t="shared" si="8"/>
        <v>12726.394471159685</v>
      </c>
      <c r="X53" s="102">
        <f t="shared" si="9"/>
        <v>0.14889877910098781</v>
      </c>
      <c r="Y53" s="1">
        <f t="shared" si="10"/>
        <v>2508.3648669308409</v>
      </c>
      <c r="Z53" s="102">
        <f t="shared" si="11"/>
        <v>0.14960694672379488</v>
      </c>
      <c r="AA53" s="1">
        <f t="shared" si="12"/>
        <v>646.16417038081829</v>
      </c>
      <c r="AB53" s="102">
        <f t="shared" si="13"/>
        <v>9.1246527426748283E-2</v>
      </c>
      <c r="AC53" s="2">
        <f t="shared" si="14"/>
        <v>23545.665166203788</v>
      </c>
      <c r="AD53" s="102">
        <f t="shared" si="15"/>
        <v>8.610988242461709E-2</v>
      </c>
      <c r="AF53" s="14"/>
    </row>
    <row r="54" spans="1:32" x14ac:dyDescent="0.25">
      <c r="A54">
        <v>2019</v>
      </c>
      <c r="B54" s="1">
        <f>'BRF harvest'!V24</f>
        <v>8059.9741420972177</v>
      </c>
      <c r="C54" s="1">
        <f>'BRF harvest'!W24</f>
        <v>2244458.3425305276</v>
      </c>
      <c r="D54" s="1">
        <f>'BRF harvest'!V124</f>
        <v>6681.8842145632589</v>
      </c>
      <c r="E54" s="1">
        <f>'BRF harvest'!W124</f>
        <v>1288162.9810217149</v>
      </c>
      <c r="F54" s="1">
        <f>'BRF harvest'!V174</f>
        <v>15601.284379532004</v>
      </c>
      <c r="G54" s="1">
        <f>'BRF harvest'!W174</f>
        <v>3258106.8247394664</v>
      </c>
      <c r="H54" s="1">
        <f>'BRF harvest'!V49</f>
        <v>8055.0274581551948</v>
      </c>
      <c r="I54" s="1">
        <f>'BRF harvest'!W49</f>
        <v>2357424.5682554664</v>
      </c>
      <c r="J54" s="1">
        <f>'BRF harvest'!V74</f>
        <v>735.4573980461912</v>
      </c>
      <c r="K54" s="1">
        <f>'BRF harvest'!W74</f>
        <v>20069.869207052532</v>
      </c>
      <c r="L54" s="2">
        <f t="shared" si="0"/>
        <v>39133.627592393867</v>
      </c>
      <c r="M54" s="1">
        <f t="shared" si="1"/>
        <v>9168222.5857542269</v>
      </c>
      <c r="N54">
        <f t="shared" si="2"/>
        <v>3027.9072947754239</v>
      </c>
      <c r="O54" s="14">
        <f t="shared" si="3"/>
        <v>7.7373539869938793E-2</v>
      </c>
      <c r="P54" s="14"/>
      <c r="Q54" s="101"/>
      <c r="R54">
        <v>2019</v>
      </c>
      <c r="S54" s="1">
        <f t="shared" si="4"/>
        <v>8059.9741420972177</v>
      </c>
      <c r="T54" s="102">
        <f t="shared" si="5"/>
        <v>0.18587548987404462</v>
      </c>
      <c r="U54" s="1">
        <f t="shared" si="6"/>
        <v>6681.8842145632589</v>
      </c>
      <c r="V54" s="102">
        <f t="shared" si="7"/>
        <v>0.1698581780363187</v>
      </c>
      <c r="W54" s="1">
        <f t="shared" si="8"/>
        <v>15601.284379532004</v>
      </c>
      <c r="X54" s="102">
        <f t="shared" si="9"/>
        <v>0.11569705558079506</v>
      </c>
      <c r="Y54" s="1">
        <f t="shared" si="10"/>
        <v>8055.0274581551948</v>
      </c>
      <c r="Z54" s="102">
        <f t="shared" si="11"/>
        <v>0.19061271946028302</v>
      </c>
      <c r="AA54" s="1">
        <f t="shared" si="12"/>
        <v>735.4573980461912</v>
      </c>
      <c r="AB54" s="102">
        <f t="shared" si="13"/>
        <v>0.19262593074355477</v>
      </c>
      <c r="AC54" s="2">
        <f t="shared" si="14"/>
        <v>39133.627592393867</v>
      </c>
      <c r="AD54" s="102">
        <f t="shared" si="15"/>
        <v>7.7373539869938793E-2</v>
      </c>
      <c r="AF54" s="14"/>
    </row>
    <row r="55" spans="1:32" x14ac:dyDescent="0.25">
      <c r="A55">
        <v>2020</v>
      </c>
      <c r="B55" s="1">
        <f>'BRF harvest'!V25</f>
        <v>4984.8258412868308</v>
      </c>
      <c r="C55" s="1">
        <f>'BRF harvest'!W25</f>
        <v>364679.29618710873</v>
      </c>
      <c r="D55" s="1">
        <f>'BRF harvest'!V125</f>
        <v>1559.0395550802314</v>
      </c>
      <c r="E55" s="1">
        <f>'BRF harvest'!W125</f>
        <v>16348.811962761878</v>
      </c>
      <c r="F55" s="1">
        <f>'BRF harvest'!V175</f>
        <v>7027.7422953413698</v>
      </c>
      <c r="G55" s="1">
        <f>'BRF harvest'!W175</f>
        <v>1474426.1866350425</v>
      </c>
      <c r="H55" s="1">
        <f>'BRF harvest'!V50</f>
        <v>3119.9086592883014</v>
      </c>
      <c r="I55" s="1">
        <f>'BRF harvest'!W50</f>
        <v>108111.08107890702</v>
      </c>
      <c r="J55" s="1">
        <f>'BRF harvest'!V75</f>
        <v>281.54757508256534</v>
      </c>
      <c r="K55" s="1">
        <f>'BRF harvest'!W75</f>
        <v>608.04791810328891</v>
      </c>
      <c r="L55" s="2">
        <f t="shared" ref="L55:L56" si="16">J55+H55+F55+D55+B55</f>
        <v>16973.0639260793</v>
      </c>
      <c r="M55" s="1">
        <f t="shared" ref="M55:M56" si="17">SUM(E55,G55,I55,K55,C55)</f>
        <v>1964173.4237819235</v>
      </c>
      <c r="N55">
        <f t="shared" ref="N55:N56" si="18">SQRT(M55)</f>
        <v>1401.4897159030186</v>
      </c>
      <c r="O55" s="14">
        <f t="shared" ref="O55:O56" si="19">N55/L55</f>
        <v>8.2571403843569702E-2</v>
      </c>
      <c r="P55" s="14"/>
      <c r="Q55" s="101"/>
      <c r="R55">
        <v>2020</v>
      </c>
      <c r="S55" s="1">
        <f t="shared" si="4"/>
        <v>4984.8258412868308</v>
      </c>
      <c r="T55" s="102">
        <f t="shared" si="5"/>
        <v>0.1211450195485195</v>
      </c>
      <c r="U55" s="1">
        <f t="shared" si="6"/>
        <v>1559.0395550802314</v>
      </c>
      <c r="V55" s="102">
        <f t="shared" si="7"/>
        <v>8.2013616929205627E-2</v>
      </c>
      <c r="W55" s="1">
        <f t="shared" si="8"/>
        <v>7027.7422953413698</v>
      </c>
      <c r="X55" s="102">
        <f t="shared" si="9"/>
        <v>0.17278088337847994</v>
      </c>
      <c r="Y55" s="1">
        <f t="shared" si="10"/>
        <v>3119.9086592883014</v>
      </c>
      <c r="Z55" s="102">
        <f t="shared" si="11"/>
        <v>0.10538850057984808</v>
      </c>
      <c r="AA55" s="1">
        <f t="shared" si="12"/>
        <v>281.54757508256534</v>
      </c>
      <c r="AB55" s="102">
        <f t="shared" si="13"/>
        <v>8.7582454415926422E-2</v>
      </c>
      <c r="AC55" s="2">
        <f t="shared" si="14"/>
        <v>16973.0639260793</v>
      </c>
      <c r="AD55" s="102">
        <f t="shared" si="15"/>
        <v>8.2571403843569702E-2</v>
      </c>
      <c r="AF55" s="14"/>
    </row>
    <row r="56" spans="1:32" x14ac:dyDescent="0.25">
      <c r="A56">
        <v>2021</v>
      </c>
      <c r="B56" s="1">
        <f>'BRF harvest'!V26</f>
        <v>2748.7521419600089</v>
      </c>
      <c r="C56" s="1">
        <f>'BRF harvest'!W26</f>
        <v>372625.0837876838</v>
      </c>
      <c r="D56" s="1">
        <f>'BRF harvest'!V126</f>
        <v>2946.5335133529184</v>
      </c>
      <c r="E56" s="1">
        <f>'BRF harvest'!W126</f>
        <v>47735.845326573181</v>
      </c>
      <c r="F56" s="1">
        <f>'BRF harvest'!V176</f>
        <v>14272.336621144985</v>
      </c>
      <c r="G56" s="1">
        <f>'BRF harvest'!W176</f>
        <v>2188794.7112465701</v>
      </c>
      <c r="H56" s="1">
        <f>'BRF harvest'!V51</f>
        <v>2402.5867697780732</v>
      </c>
      <c r="I56" s="1">
        <f>'BRF harvest'!W51</f>
        <v>286546.49509196251</v>
      </c>
      <c r="J56" s="1">
        <f>'BRF harvest'!V76</f>
        <v>1572.856943436479</v>
      </c>
      <c r="K56" s="1">
        <f>'BRF harvest'!W76</f>
        <v>14375.094070478735</v>
      </c>
      <c r="L56" s="2">
        <f t="shared" si="16"/>
        <v>23943.065989672465</v>
      </c>
      <c r="M56" s="1">
        <f t="shared" si="17"/>
        <v>2910077.2295232685</v>
      </c>
      <c r="N56">
        <f t="shared" si="18"/>
        <v>1705.8948471471706</v>
      </c>
      <c r="O56" s="14">
        <f t="shared" si="19"/>
        <v>7.1247969991937818E-2</v>
      </c>
      <c r="P56" s="14"/>
      <c r="Q56" s="101"/>
      <c r="R56">
        <v>2021</v>
      </c>
      <c r="S56" s="1">
        <f t="shared" si="4"/>
        <v>2748.7521419600089</v>
      </c>
      <c r="T56" s="102">
        <f t="shared" si="5"/>
        <v>0.22207540487153921</v>
      </c>
      <c r="U56" s="1">
        <f t="shared" si="6"/>
        <v>2946.5335133529184</v>
      </c>
      <c r="V56" s="102">
        <f t="shared" si="7"/>
        <v>7.4149960458638614E-2</v>
      </c>
      <c r="W56" s="1">
        <f t="shared" si="8"/>
        <v>14272.336621144985</v>
      </c>
      <c r="X56" s="102">
        <f t="shared" si="9"/>
        <v>0.10365910029936175</v>
      </c>
      <c r="Y56" s="1">
        <f t="shared" si="10"/>
        <v>2402.5867697780732</v>
      </c>
      <c r="Z56" s="102">
        <f t="shared" si="11"/>
        <v>0.22280168404812961</v>
      </c>
      <c r="AA56" s="1">
        <f t="shared" si="12"/>
        <v>1572.856943436479</v>
      </c>
      <c r="AB56" s="102">
        <f t="shared" si="13"/>
        <v>7.6228280571553036E-2</v>
      </c>
      <c r="AC56" s="2">
        <f t="shared" si="14"/>
        <v>23943.065989672465</v>
      </c>
      <c r="AD56" s="102">
        <f t="shared" si="15"/>
        <v>7.1247969991937818E-2</v>
      </c>
      <c r="AF56" s="14"/>
    </row>
    <row r="57" spans="1:32" x14ac:dyDescent="0.25">
      <c r="A57">
        <v>2022</v>
      </c>
      <c r="B57" s="1">
        <f>'BRF harvest'!V27</f>
        <v>10864.593398176137</v>
      </c>
      <c r="C57" s="1">
        <f>'BRF harvest'!W27</f>
        <v>1869692.994313613</v>
      </c>
      <c r="D57" s="1">
        <f>'BRF harvest'!V127</f>
        <v>2264.6474476427757</v>
      </c>
      <c r="E57" s="1">
        <f>'BRF harvest'!W127</f>
        <v>79304.80997348229</v>
      </c>
      <c r="F57" s="1">
        <f>'BRF harvest'!V177</f>
        <v>12698.794368982428</v>
      </c>
      <c r="G57" s="1">
        <f>'BRF harvest'!W177</f>
        <v>1022625.8046410775</v>
      </c>
      <c r="H57" s="1">
        <f>'BRF harvest'!V52</f>
        <v>13088.472135856235</v>
      </c>
      <c r="I57" s="1">
        <f>'BRF harvest'!W52</f>
        <v>3783164.2396849422</v>
      </c>
      <c r="J57" s="1">
        <f>'BRF harvest'!V77</f>
        <v>1525.139383405281</v>
      </c>
      <c r="K57" s="1">
        <f>'BRF harvest'!W77</f>
        <v>40620.443235571067</v>
      </c>
      <c r="L57" s="2">
        <f t="shared" ref="L57" si="20">J57+H57+F57+D57+B57</f>
        <v>40441.646734062859</v>
      </c>
      <c r="M57" s="1">
        <f t="shared" ref="M57" si="21">SUM(E57,G57,I57,K57,C57)</f>
        <v>6795408.2918486875</v>
      </c>
      <c r="N57">
        <f t="shared" ref="N57" si="22">SQRT(M57)</f>
        <v>2606.8003935569536</v>
      </c>
      <c r="O57" s="14">
        <f t="shared" ref="O57" si="23">N57/L57</f>
        <v>6.4458314734284025E-2</v>
      </c>
      <c r="P57" s="14"/>
      <c r="Q57" s="101"/>
      <c r="R57">
        <v>2022</v>
      </c>
      <c r="S57" s="1">
        <f t="shared" si="4"/>
        <v>10864.593398176137</v>
      </c>
      <c r="T57" s="102">
        <f t="shared" si="5"/>
        <v>0.12585534736563733</v>
      </c>
      <c r="U57" s="1">
        <f t="shared" si="6"/>
        <v>2264.6474476427757</v>
      </c>
      <c r="V57" s="102">
        <f t="shared" si="7"/>
        <v>0.12435096567835517</v>
      </c>
      <c r="W57" s="1">
        <f t="shared" si="8"/>
        <v>12698.794368982428</v>
      </c>
      <c r="X57" s="102">
        <f t="shared" si="9"/>
        <v>7.9633514481976281E-2</v>
      </c>
      <c r="Y57" s="1">
        <f t="shared" si="10"/>
        <v>13088.472135856235</v>
      </c>
      <c r="Z57" s="102">
        <f t="shared" si="11"/>
        <v>0.14860678723574181</v>
      </c>
      <c r="AA57" s="1">
        <f t="shared" si="12"/>
        <v>1525.139383405281</v>
      </c>
      <c r="AB57" s="102">
        <f t="shared" si="13"/>
        <v>0.1321486689296103</v>
      </c>
      <c r="AC57" s="2">
        <f t="shared" si="14"/>
        <v>40441.646734062859</v>
      </c>
      <c r="AD57" s="102">
        <f t="shared" si="15"/>
        <v>6.4458314734284025E-2</v>
      </c>
      <c r="AF57" s="14"/>
    </row>
    <row r="59" spans="1:32" x14ac:dyDescent="0.25">
      <c r="A59" s="109" t="s">
        <v>96</v>
      </c>
      <c r="B59" s="109"/>
      <c r="C59" s="109"/>
      <c r="D59" s="109"/>
      <c r="E59" s="109"/>
      <c r="F59" s="109"/>
      <c r="G59" s="109"/>
      <c r="H59" s="109"/>
      <c r="I59" s="109"/>
      <c r="J59" s="109"/>
    </row>
    <row r="60" spans="1:32" x14ac:dyDescent="0.25">
      <c r="A60" t="s">
        <v>34</v>
      </c>
      <c r="B60" s="109" t="s">
        <v>45</v>
      </c>
      <c r="C60" s="109"/>
      <c r="D60" s="109" t="s">
        <v>48</v>
      </c>
      <c r="E60" s="109"/>
      <c r="F60" s="109" t="s">
        <v>91</v>
      </c>
      <c r="G60" s="109"/>
      <c r="H60" s="109" t="s">
        <v>54</v>
      </c>
      <c r="I60" s="109"/>
      <c r="J60" s="109" t="s">
        <v>82</v>
      </c>
      <c r="K60" s="109"/>
      <c r="L60" s="109" t="s">
        <v>153</v>
      </c>
      <c r="M60" s="109"/>
      <c r="N60" s="109"/>
      <c r="O60" s="109"/>
      <c r="P60" s="9"/>
      <c r="Q60" s="100"/>
      <c r="R60" t="s">
        <v>34</v>
      </c>
      <c r="S60" s="109" t="s">
        <v>45</v>
      </c>
      <c r="T60" s="109"/>
      <c r="U60" s="109" t="s">
        <v>48</v>
      </c>
      <c r="V60" s="109"/>
      <c r="W60" s="109" t="s">
        <v>91</v>
      </c>
      <c r="X60" s="109"/>
      <c r="Y60" s="109" t="s">
        <v>54</v>
      </c>
      <c r="Z60" s="109"/>
      <c r="AA60" s="109" t="s">
        <v>82</v>
      </c>
      <c r="AB60" s="109"/>
      <c r="AC60" s="109" t="s">
        <v>157</v>
      </c>
      <c r="AD60" s="109"/>
    </row>
    <row r="61" spans="1:32" x14ac:dyDescent="0.25">
      <c r="B61" s="9" t="s">
        <v>138</v>
      </c>
      <c r="C61" s="9" t="s">
        <v>139</v>
      </c>
      <c r="D61" s="9" t="s">
        <v>138</v>
      </c>
      <c r="E61" s="9" t="s">
        <v>139</v>
      </c>
      <c r="F61" s="9" t="s">
        <v>138</v>
      </c>
      <c r="G61" s="9" t="s">
        <v>139</v>
      </c>
      <c r="H61" s="9" t="s">
        <v>138</v>
      </c>
      <c r="I61" s="9" t="s">
        <v>139</v>
      </c>
      <c r="J61" s="9" t="s">
        <v>138</v>
      </c>
      <c r="K61" s="9" t="s">
        <v>139</v>
      </c>
      <c r="L61" s="9" t="s">
        <v>138</v>
      </c>
      <c r="M61" s="9" t="s">
        <v>154</v>
      </c>
      <c r="N61" s="9" t="s">
        <v>155</v>
      </c>
      <c r="O61" s="9" t="s">
        <v>156</v>
      </c>
      <c r="P61" s="9"/>
      <c r="Q61" s="100"/>
      <c r="S61" s="9" t="s">
        <v>138</v>
      </c>
      <c r="T61" s="9" t="s">
        <v>175</v>
      </c>
      <c r="U61" s="9" t="s">
        <v>138</v>
      </c>
      <c r="V61" s="9" t="s">
        <v>175</v>
      </c>
      <c r="W61" s="9" t="s">
        <v>138</v>
      </c>
      <c r="X61" s="9" t="s">
        <v>175</v>
      </c>
      <c r="Y61" s="9" t="s">
        <v>138</v>
      </c>
      <c r="Z61" s="9" t="s">
        <v>175</v>
      </c>
      <c r="AA61" s="9" t="s">
        <v>138</v>
      </c>
      <c r="AB61" s="9" t="s">
        <v>175</v>
      </c>
      <c r="AC61" s="9" t="s">
        <v>138</v>
      </c>
      <c r="AD61" s="9" t="s">
        <v>175</v>
      </c>
    </row>
    <row r="62" spans="1:32" x14ac:dyDescent="0.25">
      <c r="A62">
        <v>1998</v>
      </c>
      <c r="B62" s="1">
        <f>'YE harvest'!Y3</f>
        <v>77.850345010307606</v>
      </c>
      <c r="C62" s="1">
        <f>'YE harvest'!Z3</f>
        <v>215.34700946531018</v>
      </c>
      <c r="D62" s="1">
        <f>'YE harvest'!Y103</f>
        <v>48.092331209269815</v>
      </c>
      <c r="E62" s="1">
        <f>'YE harvest'!Z103</f>
        <v>362.35048645057765</v>
      </c>
      <c r="F62" s="1">
        <f>'YE harvest'!Y153</f>
        <v>305.18721379046434</v>
      </c>
      <c r="G62" s="1">
        <f>'YE harvest'!Z153</f>
        <v>9067.9912176204816</v>
      </c>
      <c r="H62" s="1">
        <f>'YE harvest'!Y28</f>
        <v>29.986506022310778</v>
      </c>
      <c r="I62" s="1">
        <f>'YE harvest'!Z28</f>
        <v>23.574070098533749</v>
      </c>
      <c r="J62" s="6">
        <f>'YE harvest'!Y53</f>
        <v>4.4068641244862867</v>
      </c>
      <c r="K62" s="6">
        <f>'YE harvest'!Z53</f>
        <v>1.8229918930891018</v>
      </c>
      <c r="L62" s="2">
        <f>J62+H62+F62+D62+B62</f>
        <v>465.52326015683877</v>
      </c>
      <c r="M62" s="1">
        <f>SUM(E62,G62,I62,K62,C62)</f>
        <v>9671.0857755279903</v>
      </c>
      <c r="N62">
        <f>SQRT(M62)</f>
        <v>98.341678730475152</v>
      </c>
      <c r="O62" s="14">
        <f>N62/L62</f>
        <v>0.21124976375475416</v>
      </c>
      <c r="P62" s="14"/>
      <c r="Q62" s="101"/>
      <c r="R62">
        <v>1998</v>
      </c>
      <c r="S62" s="1">
        <f>B62</f>
        <v>77.850345010307606</v>
      </c>
      <c r="T62" s="102">
        <f>SQRT(C62)/S62</f>
        <v>0.1884989263759578</v>
      </c>
      <c r="U62" s="1">
        <f>D62</f>
        <v>48.092331209269815</v>
      </c>
      <c r="V62" s="102">
        <f>SQRT(E62)/U62</f>
        <v>0.39581167023725905</v>
      </c>
      <c r="W62" s="1">
        <f>F62</f>
        <v>305.18721379046434</v>
      </c>
      <c r="X62" s="102">
        <f>SQRT(G62)/W62</f>
        <v>0.3120248701145858</v>
      </c>
      <c r="Y62" s="1">
        <f>H62</f>
        <v>29.986506022310778</v>
      </c>
      <c r="Z62" s="102">
        <f>SQRT(I62)/Y62</f>
        <v>0.16191661644874791</v>
      </c>
      <c r="AA62" s="1">
        <f>J62</f>
        <v>4.4068641244862867</v>
      </c>
      <c r="AB62" s="102">
        <f>SQRT(K62)/AA62</f>
        <v>0.30638162017120579</v>
      </c>
      <c r="AC62" s="2">
        <f>AA62+Y62+W62+U62+S62</f>
        <v>465.52326015683877</v>
      </c>
      <c r="AD62" s="102">
        <f>O62</f>
        <v>0.21124976375475416</v>
      </c>
    </row>
    <row r="63" spans="1:32" x14ac:dyDescent="0.25">
      <c r="A63">
        <v>1999</v>
      </c>
      <c r="B63" s="1">
        <f>'YE harvest'!Y4</f>
        <v>80.882330721684724</v>
      </c>
      <c r="C63" s="1">
        <f>'YE harvest'!Z4</f>
        <v>248.86952603779929</v>
      </c>
      <c r="D63" s="1">
        <f>'YE harvest'!Y104</f>
        <v>12.684879520076304</v>
      </c>
      <c r="E63" s="1">
        <f>'YE harvest'!Z104</f>
        <v>23.997333177331722</v>
      </c>
      <c r="F63" s="1">
        <f>'YE harvest'!Y154</f>
        <v>131.42888669180024</v>
      </c>
      <c r="G63" s="1">
        <f>'YE harvest'!Z154</f>
        <v>1391.4968732681891</v>
      </c>
      <c r="H63" s="1">
        <f>'YE harvest'!Y29</f>
        <v>14.354136765205205</v>
      </c>
      <c r="I63" s="1">
        <f>'YE harvest'!Z29</f>
        <v>45.814358914836802</v>
      </c>
      <c r="J63" s="6">
        <f>'YE harvest'!Y54</f>
        <v>13.449499112604649</v>
      </c>
      <c r="K63" s="6">
        <f>'YE harvest'!Z54</f>
        <v>16.99108364705129</v>
      </c>
      <c r="L63" s="2">
        <f t="shared" ref="L63:L83" si="24">J63+H63+F63+D63+B63</f>
        <v>252.79973281137111</v>
      </c>
      <c r="M63" s="1">
        <f t="shared" ref="M63:M83" si="25">SUM(E63,G63,I63,K63,C63)</f>
        <v>1727.169175045208</v>
      </c>
      <c r="N63">
        <f t="shared" ref="N63:N83" si="26">SQRT(M63)</f>
        <v>41.5592249091006</v>
      </c>
      <c r="O63" s="14">
        <f t="shared" ref="O63:O83" si="27">N63/L63</f>
        <v>0.16439584190585518</v>
      </c>
      <c r="P63" s="14"/>
      <c r="Q63" s="101"/>
      <c r="R63">
        <v>1999</v>
      </c>
      <c r="S63" s="1">
        <f t="shared" ref="S63:S86" si="28">B63</f>
        <v>80.882330721684724</v>
      </c>
      <c r="T63" s="102">
        <f t="shared" ref="T63:T86" si="29">SQRT(C63)/S63</f>
        <v>0.19504382390921327</v>
      </c>
      <c r="U63" s="1">
        <f t="shared" ref="U63:U86" si="30">D63</f>
        <v>12.684879520076304</v>
      </c>
      <c r="V63" s="102">
        <f t="shared" ref="V63:V86" si="31">SQRT(E63)/U63</f>
        <v>0.38618477131003975</v>
      </c>
      <c r="W63" s="1">
        <f t="shared" ref="W63:W86" si="32">F63</f>
        <v>131.42888669180024</v>
      </c>
      <c r="X63" s="102">
        <f t="shared" ref="X63:X86" si="33">SQRT(G63)/W63</f>
        <v>0.28382476589418215</v>
      </c>
      <c r="Y63" s="1">
        <f t="shared" ref="Y63:Y86" si="34">H63</f>
        <v>14.354136765205205</v>
      </c>
      <c r="Z63" s="102">
        <f t="shared" ref="Z63:Z86" si="35">SQRT(I63)/Y63</f>
        <v>0.47154563286083645</v>
      </c>
      <c r="AA63" s="1">
        <f t="shared" ref="AA63:AA86" si="36">J63</f>
        <v>13.449499112604649</v>
      </c>
      <c r="AB63" s="102">
        <f t="shared" ref="AB63:AB86" si="37">SQRT(K63)/AA63</f>
        <v>0.3064816156105693</v>
      </c>
      <c r="AC63" s="2">
        <f t="shared" ref="AC63:AC86" si="38">AA63+Y63+W63+U63+S63</f>
        <v>252.79973281137111</v>
      </c>
      <c r="AD63" s="102">
        <f t="shared" ref="AD63:AD86" si="39">O63</f>
        <v>0.16439584190585518</v>
      </c>
    </row>
    <row r="64" spans="1:32" x14ac:dyDescent="0.25">
      <c r="A64">
        <v>2000</v>
      </c>
      <c r="B64" s="1">
        <f>'YE harvest'!Y5</f>
        <v>185.51258643517667</v>
      </c>
      <c r="C64" s="1">
        <f>'YE harvest'!Z5</f>
        <v>1484.5597015645485</v>
      </c>
      <c r="D64" s="1">
        <f>'YE harvest'!Y105</f>
        <v>26.781658829060397</v>
      </c>
      <c r="E64" s="1">
        <f>'YE harvest'!Z105</f>
        <v>102.71708070955837</v>
      </c>
      <c r="F64" s="1">
        <f>'YE harvest'!Y155</f>
        <v>138.85825198630636</v>
      </c>
      <c r="G64" s="1">
        <f>'YE harvest'!Z155</f>
        <v>2101.9946952595792</v>
      </c>
      <c r="H64" s="1">
        <f>'YE harvest'!Y30</f>
        <v>76.084625820580229</v>
      </c>
      <c r="I64" s="1">
        <f>'YE harvest'!Z30</f>
        <v>158.32148181871156</v>
      </c>
      <c r="J64" s="6">
        <f>'YE harvest'!Y55</f>
        <v>44.412820145441302</v>
      </c>
      <c r="K64" s="6">
        <f>'YE harvest'!Z55</f>
        <v>212.76073747508985</v>
      </c>
      <c r="L64" s="2">
        <f t="shared" si="24"/>
        <v>471.64994321656496</v>
      </c>
      <c r="M64" s="1">
        <f t="shared" si="25"/>
        <v>4060.353696827488</v>
      </c>
      <c r="N64">
        <f t="shared" si="26"/>
        <v>63.720904708168483</v>
      </c>
      <c r="O64" s="14">
        <f t="shared" si="27"/>
        <v>0.13510211466072433</v>
      </c>
      <c r="P64" s="14"/>
      <c r="Q64" s="101"/>
      <c r="R64">
        <v>2000</v>
      </c>
      <c r="S64" s="1">
        <f t="shared" si="28"/>
        <v>185.51258643517667</v>
      </c>
      <c r="T64" s="102">
        <f t="shared" si="29"/>
        <v>0.20769471866256348</v>
      </c>
      <c r="U64" s="1">
        <f t="shared" si="30"/>
        <v>26.781658829060397</v>
      </c>
      <c r="V64" s="102">
        <f t="shared" si="31"/>
        <v>0.37842852125466586</v>
      </c>
      <c r="W64" s="1">
        <f t="shared" si="32"/>
        <v>138.85825198630636</v>
      </c>
      <c r="X64" s="102">
        <f t="shared" si="33"/>
        <v>0.33017494486358817</v>
      </c>
      <c r="Y64" s="1">
        <f t="shared" si="34"/>
        <v>76.084625820580229</v>
      </c>
      <c r="Z64" s="102">
        <f t="shared" si="35"/>
        <v>0.16537620204032999</v>
      </c>
      <c r="AA64" s="1">
        <f t="shared" si="36"/>
        <v>44.412820145441302</v>
      </c>
      <c r="AB64" s="102">
        <f t="shared" si="37"/>
        <v>0.32842589525523591</v>
      </c>
      <c r="AC64" s="2">
        <f t="shared" si="38"/>
        <v>471.64994321656496</v>
      </c>
      <c r="AD64" s="102">
        <f t="shared" si="39"/>
        <v>0.13510211466072433</v>
      </c>
    </row>
    <row r="65" spans="1:30" x14ac:dyDescent="0.25">
      <c r="A65">
        <v>2001</v>
      </c>
      <c r="B65" s="1">
        <f>'YE harvest'!Y6</f>
        <v>60.580692802777314</v>
      </c>
      <c r="C65" s="1">
        <f>'YE harvest'!Z6</f>
        <v>180.26797571502806</v>
      </c>
      <c r="D65" s="1">
        <f>'YE harvest'!Y106</f>
        <v>40.064901394916333</v>
      </c>
      <c r="E65" s="1">
        <f>'YE harvest'!Z106</f>
        <v>243.19490319476176</v>
      </c>
      <c r="F65" s="1">
        <f>'YE harvest'!Y156</f>
        <v>118.41411195512632</v>
      </c>
      <c r="G65" s="1">
        <f>'YE harvest'!Z156</f>
        <v>1674.2025923377123</v>
      </c>
      <c r="H65" s="1">
        <f>'YE harvest'!Y31</f>
        <v>72.984243982754123</v>
      </c>
      <c r="I65" s="1">
        <f>'YE harvest'!Z31</f>
        <v>1230.8776776345571</v>
      </c>
      <c r="J65" s="6">
        <f>'YE harvest'!Y56</f>
        <v>14.273890890273385</v>
      </c>
      <c r="K65" s="6">
        <f>'YE harvest'!Z56</f>
        <v>21.485941854347697</v>
      </c>
      <c r="L65" s="2">
        <f t="shared" si="24"/>
        <v>306.31784102584749</v>
      </c>
      <c r="M65" s="1">
        <f t="shared" si="25"/>
        <v>3350.0290907364074</v>
      </c>
      <c r="N65">
        <f t="shared" si="26"/>
        <v>57.879435819092151</v>
      </c>
      <c r="O65" s="14">
        <f t="shared" si="27"/>
        <v>0.18895221912395305</v>
      </c>
      <c r="P65" s="14"/>
      <c r="Q65" s="101"/>
      <c r="R65">
        <v>2001</v>
      </c>
      <c r="S65" s="1">
        <f t="shared" si="28"/>
        <v>60.580692802777314</v>
      </c>
      <c r="T65" s="102">
        <f t="shared" si="29"/>
        <v>0.2216282184115792</v>
      </c>
      <c r="U65" s="1">
        <f t="shared" si="30"/>
        <v>40.064901394916333</v>
      </c>
      <c r="V65" s="102">
        <f t="shared" si="31"/>
        <v>0.38923613923949235</v>
      </c>
      <c r="W65" s="1">
        <f t="shared" si="32"/>
        <v>118.41411195512632</v>
      </c>
      <c r="X65" s="102">
        <f t="shared" si="33"/>
        <v>0.34554176135736531</v>
      </c>
      <c r="Y65" s="1">
        <f t="shared" si="34"/>
        <v>72.984243982754123</v>
      </c>
      <c r="Z65" s="102">
        <f t="shared" si="35"/>
        <v>0.48070466212077911</v>
      </c>
      <c r="AA65" s="1">
        <f t="shared" si="36"/>
        <v>14.273890890273385</v>
      </c>
      <c r="AB65" s="102">
        <f t="shared" si="37"/>
        <v>0.32473928143794217</v>
      </c>
      <c r="AC65" s="2">
        <f t="shared" si="38"/>
        <v>306.31784102584749</v>
      </c>
      <c r="AD65" s="102">
        <f t="shared" si="39"/>
        <v>0.18895221912395305</v>
      </c>
    </row>
    <row r="66" spans="1:30" x14ac:dyDescent="0.25">
      <c r="A66">
        <v>2002</v>
      </c>
      <c r="B66" s="1">
        <f>'YE harvest'!Y7</f>
        <v>51.244853238404033</v>
      </c>
      <c r="C66" s="1">
        <f>'YE harvest'!Z7</f>
        <v>104.11386244994367</v>
      </c>
      <c r="D66" s="1">
        <f>'YE harvest'!Y107</f>
        <v>30.344566862170478</v>
      </c>
      <c r="E66" s="1">
        <f>'YE harvest'!Z107</f>
        <v>136.37488913900648</v>
      </c>
      <c r="F66" s="1">
        <f>'YE harvest'!Y157</f>
        <v>226.27128144374532</v>
      </c>
      <c r="G66" s="1">
        <f>'YE harvest'!Z157</f>
        <v>3809.5658794937476</v>
      </c>
      <c r="H66" s="1">
        <f>'YE harvest'!Y32</f>
        <v>92.415216901603685</v>
      </c>
      <c r="I66" s="1">
        <f>'YE harvest'!Z32</f>
        <v>702.20603132295003</v>
      </c>
      <c r="J66" s="6">
        <f>'YE harvest'!Y57</f>
        <v>10.990059198180287</v>
      </c>
      <c r="K66" s="6">
        <f>'YE harvest'!Z57</f>
        <v>11.920663783212262</v>
      </c>
      <c r="L66" s="2">
        <f t="shared" si="24"/>
        <v>411.26597764410383</v>
      </c>
      <c r="M66" s="1">
        <f t="shared" si="25"/>
        <v>4764.1813261888601</v>
      </c>
      <c r="N66">
        <f t="shared" si="26"/>
        <v>69.023049238561313</v>
      </c>
      <c r="O66" s="14">
        <f t="shared" si="27"/>
        <v>0.16783068133657195</v>
      </c>
      <c r="P66" s="14"/>
      <c r="Q66" s="101"/>
      <c r="R66">
        <v>2002</v>
      </c>
      <c r="S66" s="1">
        <f t="shared" si="28"/>
        <v>51.244853238404033</v>
      </c>
      <c r="T66" s="102">
        <f t="shared" si="29"/>
        <v>0.19911502172647072</v>
      </c>
      <c r="U66" s="1">
        <f t="shared" si="30"/>
        <v>30.344566862170478</v>
      </c>
      <c r="V66" s="102">
        <f t="shared" si="31"/>
        <v>0.38484536690150728</v>
      </c>
      <c r="W66" s="1">
        <f t="shared" si="32"/>
        <v>226.27128144374532</v>
      </c>
      <c r="X66" s="102">
        <f t="shared" si="33"/>
        <v>0.27277735113259971</v>
      </c>
      <c r="Y66" s="1">
        <f t="shared" si="34"/>
        <v>92.415216901603685</v>
      </c>
      <c r="Z66" s="102">
        <f t="shared" si="35"/>
        <v>0.28674033647021663</v>
      </c>
      <c r="AA66" s="1">
        <f t="shared" si="36"/>
        <v>10.990059198180287</v>
      </c>
      <c r="AB66" s="102">
        <f t="shared" si="37"/>
        <v>0.31415949327939041</v>
      </c>
      <c r="AC66" s="2">
        <f t="shared" si="38"/>
        <v>411.26597764410383</v>
      </c>
      <c r="AD66" s="102">
        <f t="shared" si="39"/>
        <v>0.16783068133657195</v>
      </c>
    </row>
    <row r="67" spans="1:30" x14ac:dyDescent="0.25">
      <c r="A67">
        <v>2003</v>
      </c>
      <c r="B67" s="1">
        <f>'YE harvest'!Y8</f>
        <v>80.002362419040935</v>
      </c>
      <c r="C67" s="1">
        <f>'YE harvest'!Z8</f>
        <v>262.24550259838747</v>
      </c>
      <c r="D67" s="1">
        <f>'YE harvest'!Y108</f>
        <v>32.38437922173847</v>
      </c>
      <c r="E67" s="1">
        <f>'YE harvest'!Z108</f>
        <v>142.32382774817859</v>
      </c>
      <c r="F67" s="1">
        <f>'YE harvest'!Y158</f>
        <v>150.18116152892958</v>
      </c>
      <c r="G67" s="1">
        <f>'YE harvest'!Z158</f>
        <v>2429.3772363158068</v>
      </c>
      <c r="H67" s="1">
        <f>'YE harvest'!Y33</f>
        <v>162.57581529419934</v>
      </c>
      <c r="I67" s="1">
        <f>'YE harvest'!Z33</f>
        <v>1177.093038434271</v>
      </c>
      <c r="J67" s="6">
        <f>'YE harvest'!Y58</f>
        <v>32.900443678962198</v>
      </c>
      <c r="K67" s="6">
        <f>'YE harvest'!Z58</f>
        <v>103.87237776654132</v>
      </c>
      <c r="L67" s="2">
        <f t="shared" si="24"/>
        <v>458.0441621428705</v>
      </c>
      <c r="M67" s="1">
        <f t="shared" si="25"/>
        <v>4114.9119828631856</v>
      </c>
      <c r="N67">
        <f t="shared" si="26"/>
        <v>64.147579711655411</v>
      </c>
      <c r="O67" s="14">
        <f t="shared" si="27"/>
        <v>0.14004671386172338</v>
      </c>
      <c r="P67" s="14"/>
      <c r="Q67" s="101"/>
      <c r="R67">
        <v>2003</v>
      </c>
      <c r="S67" s="1">
        <f t="shared" si="28"/>
        <v>80.002362419040935</v>
      </c>
      <c r="T67" s="102">
        <f t="shared" si="29"/>
        <v>0.20241897103386045</v>
      </c>
      <c r="U67" s="1">
        <f t="shared" si="30"/>
        <v>32.38437922173847</v>
      </c>
      <c r="V67" s="102">
        <f t="shared" si="31"/>
        <v>0.36838609685629042</v>
      </c>
      <c r="W67" s="1">
        <f t="shared" si="32"/>
        <v>150.18116152892958</v>
      </c>
      <c r="X67" s="102">
        <f t="shared" si="33"/>
        <v>0.32819504504050095</v>
      </c>
      <c r="Y67" s="1">
        <f t="shared" si="34"/>
        <v>162.57581529419934</v>
      </c>
      <c r="Z67" s="102">
        <f t="shared" si="35"/>
        <v>0.21103255400852847</v>
      </c>
      <c r="AA67" s="1">
        <f t="shared" si="36"/>
        <v>32.900443678962198</v>
      </c>
      <c r="AB67" s="102">
        <f t="shared" si="37"/>
        <v>0.30977636687979893</v>
      </c>
      <c r="AC67" s="2">
        <f t="shared" si="38"/>
        <v>458.0441621428705</v>
      </c>
      <c r="AD67" s="102">
        <f t="shared" si="39"/>
        <v>0.14004671386172338</v>
      </c>
    </row>
    <row r="68" spans="1:30" x14ac:dyDescent="0.25">
      <c r="A68">
        <v>2004</v>
      </c>
      <c r="B68" s="1">
        <f>'YE harvest'!Y9</f>
        <v>111.15320301069673</v>
      </c>
      <c r="C68" s="1">
        <f>'YE harvest'!Z9</f>
        <v>413.20874269826231</v>
      </c>
      <c r="D68" s="1">
        <f>'YE harvest'!Y109</f>
        <v>36.859134292800775</v>
      </c>
      <c r="E68" s="1">
        <f>'YE harvest'!Z109</f>
        <v>190.58850163026563</v>
      </c>
      <c r="F68" s="1">
        <f>'YE harvest'!Y159</f>
        <v>224.9208761343499</v>
      </c>
      <c r="G68" s="1">
        <f>'YE harvest'!Z159</f>
        <v>4819.910667296549</v>
      </c>
      <c r="H68" s="1">
        <f>'YE harvest'!Y34</f>
        <v>107.76913261323861</v>
      </c>
      <c r="I68" s="1">
        <f>'YE harvest'!Z34</f>
        <v>616.50769988895627</v>
      </c>
      <c r="J68" s="6">
        <f>'YE harvest'!Y59</f>
        <v>35.436485218256145</v>
      </c>
      <c r="K68" s="6">
        <f>'YE harvest'!Z59</f>
        <v>118.12497325483913</v>
      </c>
      <c r="L68" s="2">
        <f t="shared" si="24"/>
        <v>516.13883126934218</v>
      </c>
      <c r="M68" s="1">
        <f t="shared" si="25"/>
        <v>6158.3405847688728</v>
      </c>
      <c r="N68">
        <f t="shared" si="26"/>
        <v>78.475095315449423</v>
      </c>
      <c r="O68" s="14">
        <f t="shared" si="27"/>
        <v>0.15204261055587567</v>
      </c>
      <c r="P68" s="14"/>
      <c r="Q68" s="101"/>
      <c r="R68">
        <v>2004</v>
      </c>
      <c r="S68" s="1">
        <f t="shared" si="28"/>
        <v>111.15320301069673</v>
      </c>
      <c r="T68" s="102">
        <f t="shared" si="29"/>
        <v>0.18287854971220763</v>
      </c>
      <c r="U68" s="1">
        <f t="shared" si="30"/>
        <v>36.859134292800775</v>
      </c>
      <c r="V68" s="102">
        <f t="shared" si="31"/>
        <v>0.37454432151578521</v>
      </c>
      <c r="W68" s="1">
        <f t="shared" si="32"/>
        <v>224.9208761343499</v>
      </c>
      <c r="X68" s="102">
        <f t="shared" si="33"/>
        <v>0.30866666383641056</v>
      </c>
      <c r="Y68" s="1">
        <f t="shared" si="34"/>
        <v>107.76913261323861</v>
      </c>
      <c r="Z68" s="102">
        <f t="shared" si="35"/>
        <v>0.23039596300976284</v>
      </c>
      <c r="AA68" s="1">
        <f t="shared" si="36"/>
        <v>35.436485218256145</v>
      </c>
      <c r="AB68" s="102">
        <f t="shared" si="37"/>
        <v>0.30670455216728076</v>
      </c>
      <c r="AC68" s="2">
        <f t="shared" si="38"/>
        <v>516.13883126934218</v>
      </c>
      <c r="AD68" s="102">
        <f t="shared" si="39"/>
        <v>0.15204261055587567</v>
      </c>
    </row>
    <row r="69" spans="1:30" x14ac:dyDescent="0.25">
      <c r="A69">
        <v>2005</v>
      </c>
      <c r="B69" s="1">
        <f>'YE harvest'!Y10</f>
        <v>197.81040450336081</v>
      </c>
      <c r="C69" s="1">
        <f>'YE harvest'!Z10</f>
        <v>1590.3212506282725</v>
      </c>
      <c r="D69" s="1">
        <f>'YE harvest'!Y110</f>
        <v>102.74219224671764</v>
      </c>
      <c r="E69" s="1">
        <f>'YE harvest'!Z110</f>
        <v>1546.6602018130729</v>
      </c>
      <c r="F69" s="1">
        <f>'YE harvest'!Y160</f>
        <v>185.61142015058118</v>
      </c>
      <c r="G69" s="1">
        <f>'YE harvest'!Z160</f>
        <v>3675.7901994302206</v>
      </c>
      <c r="H69" s="1">
        <f>'YE harvest'!Y35</f>
        <v>158.07393313847487</v>
      </c>
      <c r="I69" s="1">
        <f>'YE harvest'!Z35</f>
        <v>1488.5358611374547</v>
      </c>
      <c r="J69" s="6">
        <f>'YE harvest'!Y60</f>
        <v>121.44640885927363</v>
      </c>
      <c r="K69" s="6">
        <f>'YE harvest'!Z60</f>
        <v>1520.1346226559651</v>
      </c>
      <c r="L69" s="2">
        <f t="shared" si="24"/>
        <v>765.68435889840816</v>
      </c>
      <c r="M69" s="1">
        <f t="shared" si="25"/>
        <v>9821.4421356649855</v>
      </c>
      <c r="N69">
        <f t="shared" si="26"/>
        <v>99.103189331448789</v>
      </c>
      <c r="O69" s="14">
        <f t="shared" si="27"/>
        <v>0.1294308655775975</v>
      </c>
      <c r="P69" s="14"/>
      <c r="Q69" s="101"/>
      <c r="R69">
        <v>2005</v>
      </c>
      <c r="S69" s="1">
        <f t="shared" si="28"/>
        <v>197.81040450336081</v>
      </c>
      <c r="T69" s="102">
        <f t="shared" si="29"/>
        <v>0.20160128691037968</v>
      </c>
      <c r="U69" s="1">
        <f t="shared" si="30"/>
        <v>102.74219224671764</v>
      </c>
      <c r="V69" s="102">
        <f t="shared" si="31"/>
        <v>0.38277946146344338</v>
      </c>
      <c r="W69" s="1">
        <f t="shared" si="32"/>
        <v>185.61142015058118</v>
      </c>
      <c r="X69" s="102">
        <f t="shared" si="33"/>
        <v>0.3266409756493957</v>
      </c>
      <c r="Y69" s="1">
        <f t="shared" si="34"/>
        <v>158.07393313847487</v>
      </c>
      <c r="Z69" s="102">
        <f t="shared" si="35"/>
        <v>0.24407280459952863</v>
      </c>
      <c r="AA69" s="1">
        <f t="shared" si="36"/>
        <v>121.44640885927363</v>
      </c>
      <c r="AB69" s="102">
        <f t="shared" si="37"/>
        <v>0.32103793110360396</v>
      </c>
      <c r="AC69" s="2">
        <f t="shared" si="38"/>
        <v>765.68435889840816</v>
      </c>
      <c r="AD69" s="102">
        <f t="shared" si="39"/>
        <v>0.1294308655775975</v>
      </c>
    </row>
    <row r="70" spans="1:30" x14ac:dyDescent="0.25">
      <c r="A70">
        <v>2006</v>
      </c>
      <c r="B70" s="1">
        <f>'YE harvest'!Y11</f>
        <v>164.16207536693142</v>
      </c>
      <c r="C70" s="1">
        <f>'YE harvest'!Z11</f>
        <v>345.65802895078275</v>
      </c>
      <c r="D70" s="1">
        <f>'YE harvest'!Y111</f>
        <v>128.98884900196541</v>
      </c>
      <c r="E70" s="1">
        <f>'YE harvest'!Z111</f>
        <v>41.107328029192757</v>
      </c>
      <c r="F70" s="1">
        <f>'YE harvest'!Y161</f>
        <v>206.60973084590142</v>
      </c>
      <c r="G70" s="1">
        <f>'YE harvest'!Z161</f>
        <v>3871.5520934268152</v>
      </c>
      <c r="H70" s="1">
        <f>'YE harvest'!Y36</f>
        <v>152.36294057876552</v>
      </c>
      <c r="I70" s="1">
        <f>'YE harvest'!Z36</f>
        <v>477.53036518592478</v>
      </c>
      <c r="J70" s="6">
        <f>'YE harvest'!Y61</f>
        <v>78.908391708739089</v>
      </c>
      <c r="K70" s="6">
        <f>'YE harvest'!Z61</f>
        <v>45.334601976817844</v>
      </c>
      <c r="L70" s="2">
        <f t="shared" si="24"/>
        <v>731.03198750230285</v>
      </c>
      <c r="M70" s="1">
        <f t="shared" si="25"/>
        <v>4781.1824175695328</v>
      </c>
      <c r="N70">
        <f t="shared" si="26"/>
        <v>69.146094738383695</v>
      </c>
      <c r="O70" s="14">
        <f t="shared" si="27"/>
        <v>9.4586961884709428E-2</v>
      </c>
      <c r="P70" s="14"/>
      <c r="Q70" s="101"/>
      <c r="R70">
        <v>2006</v>
      </c>
      <c r="S70" s="1">
        <f t="shared" si="28"/>
        <v>164.16207536693142</v>
      </c>
      <c r="T70" s="102">
        <f t="shared" si="29"/>
        <v>0.11325320226981697</v>
      </c>
      <c r="U70" s="1">
        <f t="shared" si="30"/>
        <v>128.98884900196541</v>
      </c>
      <c r="V70" s="102">
        <f t="shared" si="31"/>
        <v>4.970584450089318E-2</v>
      </c>
      <c r="W70" s="1">
        <f t="shared" si="32"/>
        <v>206.60973084590142</v>
      </c>
      <c r="X70" s="102">
        <f t="shared" si="33"/>
        <v>0.30115618136643679</v>
      </c>
      <c r="Y70" s="1">
        <f t="shared" si="34"/>
        <v>152.36294057876552</v>
      </c>
      <c r="Z70" s="102">
        <f t="shared" si="35"/>
        <v>0.14342377541730239</v>
      </c>
      <c r="AA70" s="1">
        <f t="shared" si="36"/>
        <v>78.908391708739089</v>
      </c>
      <c r="AB70" s="102">
        <f t="shared" si="37"/>
        <v>8.5328028573338294E-2</v>
      </c>
      <c r="AC70" s="2">
        <f t="shared" si="38"/>
        <v>731.03198750230285</v>
      </c>
      <c r="AD70" s="102">
        <f t="shared" si="39"/>
        <v>9.4586961884709428E-2</v>
      </c>
    </row>
    <row r="71" spans="1:30" x14ac:dyDescent="0.25">
      <c r="A71">
        <v>2007</v>
      </c>
      <c r="B71" s="1">
        <f>'YE harvest'!Y12</f>
        <v>300.81756055451393</v>
      </c>
      <c r="C71" s="1">
        <f>'YE harvest'!Z12</f>
        <v>2500.7134830813907</v>
      </c>
      <c r="D71" s="1">
        <f>'YE harvest'!Y112</f>
        <v>124.04761436401157</v>
      </c>
      <c r="E71" s="1">
        <f>'YE harvest'!Z112</f>
        <v>216.7349213817551</v>
      </c>
      <c r="F71" s="1">
        <f>'YE harvest'!Y162</f>
        <v>202.5406207977955</v>
      </c>
      <c r="G71" s="1">
        <f>'YE harvest'!Z162</f>
        <v>2166.0250438085168</v>
      </c>
      <c r="H71" s="1">
        <f>'YE harvest'!Y37</f>
        <v>318.69882937865572</v>
      </c>
      <c r="I71" s="1">
        <f>'YE harvest'!Z37</f>
        <v>2379.0185125665166</v>
      </c>
      <c r="J71" s="6">
        <f>'YE harvest'!Y62</f>
        <v>194.54070521990917</v>
      </c>
      <c r="K71" s="6">
        <f>'YE harvest'!Z62</f>
        <v>650.7712019917019</v>
      </c>
      <c r="L71" s="2">
        <f t="shared" si="24"/>
        <v>1140.645330314886</v>
      </c>
      <c r="M71" s="1">
        <f t="shared" si="25"/>
        <v>7913.2631628298805</v>
      </c>
      <c r="N71">
        <f t="shared" si="26"/>
        <v>88.956524003750729</v>
      </c>
      <c r="O71" s="14">
        <f t="shared" si="27"/>
        <v>7.7987891274839516E-2</v>
      </c>
      <c r="P71" s="14"/>
      <c r="Q71" s="101"/>
      <c r="R71">
        <v>2007</v>
      </c>
      <c r="S71" s="1">
        <f t="shared" si="28"/>
        <v>300.81756055451393</v>
      </c>
      <c r="T71" s="102">
        <f t="shared" si="29"/>
        <v>0.16623741722274279</v>
      </c>
      <c r="U71" s="1">
        <f t="shared" si="30"/>
        <v>124.04761436401157</v>
      </c>
      <c r="V71" s="102">
        <f t="shared" si="31"/>
        <v>0.11867958794841854</v>
      </c>
      <c r="W71" s="1">
        <f t="shared" si="32"/>
        <v>202.5406207977955</v>
      </c>
      <c r="X71" s="102">
        <f t="shared" si="33"/>
        <v>0.22978390203325683</v>
      </c>
      <c r="Y71" s="1">
        <f t="shared" si="34"/>
        <v>318.69882937865572</v>
      </c>
      <c r="Z71" s="102">
        <f t="shared" si="35"/>
        <v>0.15304475219734728</v>
      </c>
      <c r="AA71" s="1">
        <f t="shared" si="36"/>
        <v>194.54070521990917</v>
      </c>
      <c r="AB71" s="102">
        <f t="shared" si="37"/>
        <v>0.13113048794088261</v>
      </c>
      <c r="AC71" s="2">
        <f t="shared" si="38"/>
        <v>1140.645330314886</v>
      </c>
      <c r="AD71" s="102">
        <f t="shared" si="39"/>
        <v>7.7987891274839516E-2</v>
      </c>
    </row>
    <row r="72" spans="1:30" x14ac:dyDescent="0.25">
      <c r="A72">
        <v>2008</v>
      </c>
      <c r="B72" s="1">
        <f>'YE harvest'!Y13</f>
        <v>598.94890943752091</v>
      </c>
      <c r="C72" s="1">
        <f>'YE harvest'!Z13</f>
        <v>2879.9550300508226</v>
      </c>
      <c r="D72" s="1">
        <f>'YE harvest'!Y113</f>
        <v>150.65384567515963</v>
      </c>
      <c r="E72" s="1">
        <f>'YE harvest'!Z113</f>
        <v>95.525811771794892</v>
      </c>
      <c r="F72" s="1">
        <f>'YE harvest'!Y163</f>
        <v>332.99806682351112</v>
      </c>
      <c r="G72" s="1">
        <f>'YE harvest'!Z163</f>
        <v>4224.7536482656014</v>
      </c>
      <c r="H72" s="1">
        <f>'YE harvest'!Y38</f>
        <v>266.76401211967914</v>
      </c>
      <c r="I72" s="1">
        <f>'YE harvest'!Z38</f>
        <v>1257.5590191041642</v>
      </c>
      <c r="J72" s="6">
        <f>'YE harvest'!Y63</f>
        <v>95.952087890677149</v>
      </c>
      <c r="K72" s="6">
        <f>'YE harvest'!Z63</f>
        <v>630.52373148818424</v>
      </c>
      <c r="L72" s="2">
        <f t="shared" si="24"/>
        <v>1445.3169219465481</v>
      </c>
      <c r="M72" s="1">
        <f t="shared" si="25"/>
        <v>9088.3172406805679</v>
      </c>
      <c r="N72">
        <f t="shared" si="26"/>
        <v>95.332666178391165</v>
      </c>
      <c r="O72" s="14">
        <f t="shared" si="27"/>
        <v>6.5959696956981201E-2</v>
      </c>
      <c r="P72" s="14"/>
      <c r="Q72" s="101"/>
      <c r="R72">
        <v>2008</v>
      </c>
      <c r="S72" s="1">
        <f t="shared" si="28"/>
        <v>598.94890943752091</v>
      </c>
      <c r="T72" s="102">
        <f t="shared" si="29"/>
        <v>8.9598981866405206E-2</v>
      </c>
      <c r="U72" s="1">
        <f t="shared" si="30"/>
        <v>150.65384567515963</v>
      </c>
      <c r="V72" s="102">
        <f t="shared" si="31"/>
        <v>6.4875414596648348E-2</v>
      </c>
      <c r="W72" s="1">
        <f t="shared" si="32"/>
        <v>332.99806682351112</v>
      </c>
      <c r="X72" s="102">
        <f t="shared" si="33"/>
        <v>0.19519063752848448</v>
      </c>
      <c r="Y72" s="1">
        <f t="shared" si="34"/>
        <v>266.76401211967914</v>
      </c>
      <c r="Z72" s="102">
        <f t="shared" si="35"/>
        <v>0.13293426772551203</v>
      </c>
      <c r="AA72" s="1">
        <f t="shared" si="36"/>
        <v>95.952087890677149</v>
      </c>
      <c r="AB72" s="102">
        <f t="shared" si="37"/>
        <v>0.26169552077092734</v>
      </c>
      <c r="AC72" s="2">
        <f t="shared" si="38"/>
        <v>1445.3169219465481</v>
      </c>
      <c r="AD72" s="102">
        <f t="shared" si="39"/>
        <v>6.5959696956981201E-2</v>
      </c>
    </row>
    <row r="73" spans="1:30" x14ac:dyDescent="0.25">
      <c r="A73">
        <v>2009</v>
      </c>
      <c r="B73" s="1">
        <f>'YE harvest'!Y14</f>
        <v>592.77069146568965</v>
      </c>
      <c r="C73" s="1">
        <f>'YE harvest'!Z14</f>
        <v>5720.4687873191842</v>
      </c>
      <c r="D73" s="1">
        <f>'YE harvest'!Y114</f>
        <v>40.584694794533341</v>
      </c>
      <c r="E73" s="1">
        <f>'YE harvest'!Z114</f>
        <v>94.289778056030769</v>
      </c>
      <c r="F73" s="1">
        <f>'YE harvest'!Y164</f>
        <v>700.5611384826675</v>
      </c>
      <c r="G73" s="1">
        <f>'YE harvest'!Z164</f>
        <v>55981.630317164556</v>
      </c>
      <c r="H73" s="1">
        <f>'YE harvest'!Y39</f>
        <v>335.21041673017288</v>
      </c>
      <c r="I73" s="1">
        <f>'YE harvest'!Z39</f>
        <v>3005.6599143692019</v>
      </c>
      <c r="J73" s="6">
        <f>'YE harvest'!Y64</f>
        <v>102.48777981544113</v>
      </c>
      <c r="K73" s="6">
        <f>'YE harvest'!Z64</f>
        <v>323.97730458876782</v>
      </c>
      <c r="L73" s="2">
        <f t="shared" si="24"/>
        <v>1771.6147212885044</v>
      </c>
      <c r="M73" s="1">
        <f t="shared" si="25"/>
        <v>65126.026101497744</v>
      </c>
      <c r="N73">
        <f t="shared" si="26"/>
        <v>255.19801351401179</v>
      </c>
      <c r="O73" s="14">
        <f t="shared" si="27"/>
        <v>0.14404825747237243</v>
      </c>
      <c r="P73" s="14"/>
      <c r="Q73" s="101"/>
      <c r="R73">
        <v>2009</v>
      </c>
      <c r="S73" s="1">
        <f t="shared" si="28"/>
        <v>592.77069146568965</v>
      </c>
      <c r="T73" s="102">
        <f t="shared" si="29"/>
        <v>0.12759365774596795</v>
      </c>
      <c r="U73" s="1">
        <f t="shared" si="30"/>
        <v>40.584694794533341</v>
      </c>
      <c r="V73" s="102">
        <f t="shared" si="31"/>
        <v>0.23925995813530201</v>
      </c>
      <c r="W73" s="1">
        <f t="shared" si="32"/>
        <v>700.5611384826675</v>
      </c>
      <c r="X73" s="102">
        <f t="shared" si="33"/>
        <v>0.3377355124407026</v>
      </c>
      <c r="Y73" s="1">
        <f t="shared" si="34"/>
        <v>335.21041673017288</v>
      </c>
      <c r="Z73" s="102">
        <f t="shared" si="35"/>
        <v>0.16355070242620673</v>
      </c>
      <c r="AA73" s="1">
        <f t="shared" si="36"/>
        <v>102.48777981544113</v>
      </c>
      <c r="AB73" s="102">
        <f t="shared" si="37"/>
        <v>0.17562454366055064</v>
      </c>
      <c r="AC73" s="2">
        <f t="shared" si="38"/>
        <v>1771.6147212885044</v>
      </c>
      <c r="AD73" s="102">
        <f t="shared" si="39"/>
        <v>0.14404825747237243</v>
      </c>
    </row>
    <row r="74" spans="1:30" x14ac:dyDescent="0.25">
      <c r="A74">
        <v>2010</v>
      </c>
      <c r="B74" s="1">
        <f>'YE harvest'!Y15</f>
        <v>450.14422974328227</v>
      </c>
      <c r="C74" s="1">
        <f>'YE harvest'!Z15</f>
        <v>3713.8262158506841</v>
      </c>
      <c r="D74" s="1">
        <f>'YE harvest'!Y115</f>
        <v>85.77870000001424</v>
      </c>
      <c r="E74" s="1">
        <f>'YE harvest'!Z115</f>
        <v>116.76230370236001</v>
      </c>
      <c r="F74" s="1">
        <f>'YE harvest'!Y165</f>
        <v>480.06666277847205</v>
      </c>
      <c r="G74" s="1">
        <f>'YE harvest'!Z165</f>
        <v>30273.313480697943</v>
      </c>
      <c r="H74" s="1">
        <f>'YE harvest'!Y40</f>
        <v>376.02779209323899</v>
      </c>
      <c r="I74" s="1">
        <f>'YE harvest'!Z40</f>
        <v>1409.0727894705553</v>
      </c>
      <c r="J74" s="6">
        <f>'YE harvest'!Y65</f>
        <v>101.05942000141246</v>
      </c>
      <c r="K74" s="6">
        <f>'YE harvest'!Z65</f>
        <v>204.79355493968481</v>
      </c>
      <c r="L74" s="2">
        <f t="shared" si="24"/>
        <v>1493.0768046164201</v>
      </c>
      <c r="M74" s="1">
        <f t="shared" si="25"/>
        <v>35717.768344661228</v>
      </c>
      <c r="N74">
        <f t="shared" si="26"/>
        <v>188.99145045387959</v>
      </c>
      <c r="O74" s="14">
        <f t="shared" si="27"/>
        <v>0.12657851884748325</v>
      </c>
      <c r="P74" s="14"/>
      <c r="Q74" s="101"/>
      <c r="R74">
        <v>2010</v>
      </c>
      <c r="S74" s="1">
        <f t="shared" si="28"/>
        <v>450.14422974328227</v>
      </c>
      <c r="T74" s="102">
        <f t="shared" si="29"/>
        <v>0.13538143131781208</v>
      </c>
      <c r="U74" s="1">
        <f t="shared" si="30"/>
        <v>85.77870000001424</v>
      </c>
      <c r="V74" s="102">
        <f t="shared" si="31"/>
        <v>0.12597137430307553</v>
      </c>
      <c r="W74" s="1">
        <f t="shared" si="32"/>
        <v>480.06666277847205</v>
      </c>
      <c r="X74" s="102">
        <f t="shared" si="33"/>
        <v>0.36243358149194188</v>
      </c>
      <c r="Y74" s="1">
        <f t="shared" si="34"/>
        <v>376.02779209323899</v>
      </c>
      <c r="Z74" s="102">
        <f t="shared" si="35"/>
        <v>9.9826712582781349E-2</v>
      </c>
      <c r="AA74" s="1">
        <f t="shared" si="36"/>
        <v>101.05942000141246</v>
      </c>
      <c r="AB74" s="102">
        <f t="shared" si="37"/>
        <v>0.14160589752926175</v>
      </c>
      <c r="AC74" s="2">
        <f t="shared" si="38"/>
        <v>1493.0768046164201</v>
      </c>
      <c r="AD74" s="102">
        <f t="shared" si="39"/>
        <v>0.12657851884748325</v>
      </c>
    </row>
    <row r="75" spans="1:30" x14ac:dyDescent="0.25">
      <c r="A75">
        <v>2011</v>
      </c>
      <c r="B75" s="1">
        <f>'YE harvest'!Y16</f>
        <v>490.29143759365786</v>
      </c>
      <c r="C75" s="1">
        <f>'YE harvest'!Z16</f>
        <v>3626.992120985869</v>
      </c>
      <c r="D75" s="1">
        <f>'YE harvest'!Y116</f>
        <v>40.720252344816501</v>
      </c>
      <c r="E75" s="1">
        <f>'YE harvest'!Z116</f>
        <v>2.2781794303817104</v>
      </c>
      <c r="F75" s="1">
        <f>'YE harvest'!Y166</f>
        <v>393.54321341162193</v>
      </c>
      <c r="G75" s="1">
        <f>'YE harvest'!Z166</f>
        <v>23378.682879442895</v>
      </c>
      <c r="H75" s="1">
        <f>'YE harvest'!Y41</f>
        <v>214.9189508261432</v>
      </c>
      <c r="I75" s="1">
        <f>'YE harvest'!Z41</f>
        <v>1411.0834996879978</v>
      </c>
      <c r="J75" s="6">
        <f>'YE harvest'!Y66</f>
        <v>95.055865121492559</v>
      </c>
      <c r="K75" s="6">
        <f>'YE harvest'!Z66</f>
        <v>187.16347517294969</v>
      </c>
      <c r="L75" s="2">
        <f t="shared" si="24"/>
        <v>1234.5297192977321</v>
      </c>
      <c r="M75" s="1">
        <f t="shared" si="25"/>
        <v>28606.200154720093</v>
      </c>
      <c r="N75">
        <f t="shared" si="26"/>
        <v>169.13367540120475</v>
      </c>
      <c r="O75" s="14">
        <f t="shared" si="27"/>
        <v>0.1370025142022642</v>
      </c>
      <c r="P75" s="14"/>
      <c r="Q75" s="101"/>
      <c r="R75">
        <v>2011</v>
      </c>
      <c r="S75" s="1">
        <f t="shared" si="28"/>
        <v>490.29143759365786</v>
      </c>
      <c r="T75" s="102">
        <f t="shared" si="29"/>
        <v>0.12283411389273141</v>
      </c>
      <c r="U75" s="1">
        <f t="shared" si="30"/>
        <v>40.720252344816501</v>
      </c>
      <c r="V75" s="102">
        <f t="shared" si="31"/>
        <v>3.7066664102165678E-2</v>
      </c>
      <c r="W75" s="1">
        <f t="shared" si="32"/>
        <v>393.54321341162193</v>
      </c>
      <c r="X75" s="102">
        <f t="shared" si="33"/>
        <v>0.38852376850312809</v>
      </c>
      <c r="Y75" s="1">
        <f t="shared" si="34"/>
        <v>214.9189508261432</v>
      </c>
      <c r="Z75" s="102">
        <f t="shared" si="35"/>
        <v>0.17478398826525318</v>
      </c>
      <c r="AA75" s="1">
        <f t="shared" si="36"/>
        <v>95.055865121492559</v>
      </c>
      <c r="AB75" s="102">
        <f t="shared" si="37"/>
        <v>0.14392347334104891</v>
      </c>
      <c r="AC75" s="2">
        <f t="shared" si="38"/>
        <v>1234.5297192977321</v>
      </c>
      <c r="AD75" s="102">
        <f t="shared" si="39"/>
        <v>0.1370025142022642</v>
      </c>
    </row>
    <row r="76" spans="1:30" x14ac:dyDescent="0.25">
      <c r="A76">
        <v>2012</v>
      </c>
      <c r="B76" s="1">
        <f>'YE harvest'!Y17</f>
        <v>548.14941607853302</v>
      </c>
      <c r="C76" s="1">
        <f>'YE harvest'!Z17</f>
        <v>5049.9970473953726</v>
      </c>
      <c r="D76" s="1">
        <f>'YE harvest'!Y117</f>
        <v>85.239501225192413</v>
      </c>
      <c r="E76" s="1">
        <f>'YE harvest'!Z117</f>
        <v>50.383562393795458</v>
      </c>
      <c r="F76" s="1">
        <f>'YE harvest'!Y167</f>
        <v>269.55528331037937</v>
      </c>
      <c r="G76" s="1">
        <f>'YE harvest'!Z167</f>
        <v>2243.9741271427929</v>
      </c>
      <c r="H76" s="1">
        <f>'YE harvest'!Y42</f>
        <v>516.81539192910782</v>
      </c>
      <c r="I76" s="1">
        <f>'YE harvest'!Z42</f>
        <v>11873.791345745005</v>
      </c>
      <c r="J76" s="6">
        <f>'YE harvest'!Y67</f>
        <v>172.87252247283112</v>
      </c>
      <c r="K76" s="6">
        <f>'YE harvest'!Z67</f>
        <v>1853.9557415005461</v>
      </c>
      <c r="L76" s="2">
        <f t="shared" si="24"/>
        <v>1592.6321150160438</v>
      </c>
      <c r="M76" s="1">
        <f t="shared" si="25"/>
        <v>21072.101824177509</v>
      </c>
      <c r="N76">
        <f t="shared" si="26"/>
        <v>145.16232921862857</v>
      </c>
      <c r="O76" s="14">
        <f t="shared" si="27"/>
        <v>9.1146177356323271E-2</v>
      </c>
      <c r="P76" s="14"/>
      <c r="Q76" s="101"/>
      <c r="R76">
        <v>2012</v>
      </c>
      <c r="S76" s="1">
        <f t="shared" si="28"/>
        <v>548.14941607853302</v>
      </c>
      <c r="T76" s="102">
        <f t="shared" si="29"/>
        <v>0.12964226387704769</v>
      </c>
      <c r="U76" s="1">
        <f t="shared" si="30"/>
        <v>85.239501225192413</v>
      </c>
      <c r="V76" s="102">
        <f t="shared" si="31"/>
        <v>8.327287056529431E-2</v>
      </c>
      <c r="W76" s="1">
        <f t="shared" si="32"/>
        <v>269.55528331037937</v>
      </c>
      <c r="X76" s="102">
        <f t="shared" si="33"/>
        <v>0.17573613641901478</v>
      </c>
      <c r="Y76" s="1">
        <f t="shared" si="34"/>
        <v>516.81539192910782</v>
      </c>
      <c r="Z76" s="102">
        <f t="shared" si="35"/>
        <v>0.21084303885493938</v>
      </c>
      <c r="AA76" s="1">
        <f t="shared" si="36"/>
        <v>172.87252247283112</v>
      </c>
      <c r="AB76" s="102">
        <f t="shared" si="37"/>
        <v>0.24907131408131217</v>
      </c>
      <c r="AC76" s="2">
        <f t="shared" si="38"/>
        <v>1592.6321150160438</v>
      </c>
      <c r="AD76" s="102">
        <f t="shared" si="39"/>
        <v>9.1146177356323271E-2</v>
      </c>
    </row>
    <row r="77" spans="1:30" x14ac:dyDescent="0.25">
      <c r="A77">
        <v>2013</v>
      </c>
      <c r="B77" s="1">
        <f>'YE harvest'!Y18</f>
        <v>472.27551768749771</v>
      </c>
      <c r="C77" s="1">
        <f>'YE harvest'!Z18</f>
        <v>2367.9414026591917</v>
      </c>
      <c r="D77" s="1">
        <f>'YE harvest'!Y118</f>
        <v>65.75934732127142</v>
      </c>
      <c r="E77" s="1">
        <f>'YE harvest'!Z118</f>
        <v>117.94236136635942</v>
      </c>
      <c r="F77" s="1">
        <f>'YE harvest'!Y168</f>
        <v>678.51521660221351</v>
      </c>
      <c r="G77" s="1">
        <f>'YE harvest'!Z168</f>
        <v>21693.20941446751</v>
      </c>
      <c r="H77" s="1">
        <f>'YE harvest'!Y43</f>
        <v>343.97932495834067</v>
      </c>
      <c r="I77" s="1">
        <f>'YE harvest'!Z43</f>
        <v>1932.5604060046498</v>
      </c>
      <c r="J77" s="6">
        <f>'YE harvest'!Y68</f>
        <v>136.38388693901092</v>
      </c>
      <c r="K77" s="6">
        <f>'YE harvest'!Z68</f>
        <v>281.77130000845227</v>
      </c>
      <c r="L77" s="2">
        <f t="shared" si="24"/>
        <v>1696.9132935083342</v>
      </c>
      <c r="M77" s="1">
        <f t="shared" si="25"/>
        <v>26393.424884506163</v>
      </c>
      <c r="N77">
        <f t="shared" si="26"/>
        <v>162.4605333134979</v>
      </c>
      <c r="O77" s="14">
        <f t="shared" si="27"/>
        <v>9.5738853561347273E-2</v>
      </c>
      <c r="P77" s="14"/>
      <c r="Q77" s="101"/>
      <c r="R77">
        <v>2013</v>
      </c>
      <c r="S77" s="1">
        <f t="shared" si="28"/>
        <v>472.27551768749771</v>
      </c>
      <c r="T77" s="102">
        <f t="shared" si="29"/>
        <v>0.1030362496725737</v>
      </c>
      <c r="U77" s="1">
        <f t="shared" si="30"/>
        <v>65.75934732127142</v>
      </c>
      <c r="V77" s="102">
        <f t="shared" si="31"/>
        <v>0.16514955784048629</v>
      </c>
      <c r="W77" s="1">
        <f t="shared" si="32"/>
        <v>678.51521660221351</v>
      </c>
      <c r="X77" s="102">
        <f t="shared" si="33"/>
        <v>0.21707125274438513</v>
      </c>
      <c r="Y77" s="1">
        <f t="shared" si="34"/>
        <v>343.97932495834067</v>
      </c>
      <c r="Z77" s="102">
        <f t="shared" si="35"/>
        <v>0.1278009843580532</v>
      </c>
      <c r="AA77" s="1">
        <f t="shared" si="36"/>
        <v>136.38388693901092</v>
      </c>
      <c r="AB77" s="102">
        <f t="shared" si="37"/>
        <v>0.12307938405462768</v>
      </c>
      <c r="AC77" s="2">
        <f t="shared" si="38"/>
        <v>1696.9132935083342</v>
      </c>
      <c r="AD77" s="102">
        <f t="shared" si="39"/>
        <v>9.5738853561347273E-2</v>
      </c>
    </row>
    <row r="78" spans="1:30" x14ac:dyDescent="0.25">
      <c r="A78">
        <v>2014</v>
      </c>
      <c r="B78" s="1">
        <f>'YE harvest'!Y19</f>
        <v>586.38693225250506</v>
      </c>
      <c r="C78" s="1">
        <f>'YE harvest'!Z19</f>
        <v>5472.529479734726</v>
      </c>
      <c r="D78" s="1">
        <f>'YE harvest'!Y119</f>
        <v>139.38643501548367</v>
      </c>
      <c r="E78" s="1">
        <f>'YE harvest'!Z119</f>
        <v>43.570255955736883</v>
      </c>
      <c r="F78" s="1">
        <f>'YE harvest'!Y169</f>
        <v>821.44502977841535</v>
      </c>
      <c r="G78" s="1">
        <f>'YE harvest'!Z169</f>
        <v>26446.705206316394</v>
      </c>
      <c r="H78" s="1">
        <f>'YE harvest'!Y44</f>
        <v>534.43586055747915</v>
      </c>
      <c r="I78" s="1">
        <f>'YE harvest'!Z44</f>
        <v>6914.4909330054379</v>
      </c>
      <c r="J78" s="6">
        <f>'YE harvest'!Y69</f>
        <v>73.510222119773431</v>
      </c>
      <c r="K78" s="6">
        <f>'YE harvest'!Z69</f>
        <v>282.02950892241017</v>
      </c>
      <c r="L78" s="2">
        <f t="shared" si="24"/>
        <v>2155.1644797236568</v>
      </c>
      <c r="M78" s="1">
        <f t="shared" si="25"/>
        <v>39159.325383934702</v>
      </c>
      <c r="N78">
        <f t="shared" si="26"/>
        <v>197.88715315536453</v>
      </c>
      <c r="O78" s="14">
        <f t="shared" si="27"/>
        <v>9.1819977090907862E-2</v>
      </c>
      <c r="P78" s="14"/>
      <c r="Q78" s="101"/>
      <c r="R78">
        <v>2014</v>
      </c>
      <c r="S78" s="1">
        <f t="shared" si="28"/>
        <v>586.38693225250506</v>
      </c>
      <c r="T78" s="102">
        <f t="shared" si="29"/>
        <v>0.12615654059345316</v>
      </c>
      <c r="U78" s="1">
        <f t="shared" si="30"/>
        <v>139.38643501548367</v>
      </c>
      <c r="V78" s="102">
        <f t="shared" si="31"/>
        <v>4.73559490913356E-2</v>
      </c>
      <c r="W78" s="1">
        <f t="shared" si="32"/>
        <v>821.44502977841535</v>
      </c>
      <c r="X78" s="102">
        <f t="shared" si="33"/>
        <v>0.19797360020836172</v>
      </c>
      <c r="Y78" s="1">
        <f t="shared" si="34"/>
        <v>534.43586055747915</v>
      </c>
      <c r="Z78" s="102">
        <f t="shared" si="35"/>
        <v>0.15559101509561951</v>
      </c>
      <c r="AA78" s="1">
        <f t="shared" si="36"/>
        <v>73.510222119773431</v>
      </c>
      <c r="AB78" s="102">
        <f t="shared" si="37"/>
        <v>0.22845440718134388</v>
      </c>
      <c r="AC78" s="2">
        <f t="shared" si="38"/>
        <v>2155.1644797236568</v>
      </c>
      <c r="AD78" s="102">
        <f t="shared" si="39"/>
        <v>9.1819977090907862E-2</v>
      </c>
    </row>
    <row r="79" spans="1:30" x14ac:dyDescent="0.25">
      <c r="A79">
        <v>2015</v>
      </c>
      <c r="B79" s="1">
        <f>'YE harvest'!Y20</f>
        <v>635.4123339683174</v>
      </c>
      <c r="C79" s="1">
        <f>'YE harvest'!Z20</f>
        <v>18520.430873481801</v>
      </c>
      <c r="D79" s="1">
        <f>'YE harvest'!Y120</f>
        <v>180.16166945732982</v>
      </c>
      <c r="E79" s="1">
        <f>'YE harvest'!Z120</f>
        <v>624.05831325491226</v>
      </c>
      <c r="F79" s="1">
        <f>'YE harvest'!Y170</f>
        <v>705.95065724130154</v>
      </c>
      <c r="G79" s="1">
        <f>'YE harvest'!Z170</f>
        <v>16335.37659089209</v>
      </c>
      <c r="H79" s="1">
        <f>'YE harvest'!Y45</f>
        <v>434.45960855329838</v>
      </c>
      <c r="I79" s="1">
        <f>'YE harvest'!Z45</f>
        <v>17739.031454523018</v>
      </c>
      <c r="J79" s="6">
        <f>'YE harvest'!Y70</f>
        <v>99.407143418364853</v>
      </c>
      <c r="K79" s="6">
        <f>'YE harvest'!Z70</f>
        <v>804.89152505610718</v>
      </c>
      <c r="L79" s="2">
        <f t="shared" si="24"/>
        <v>2055.3914126386121</v>
      </c>
      <c r="M79" s="1">
        <f t="shared" si="25"/>
        <v>54023.78875720792</v>
      </c>
      <c r="N79">
        <f t="shared" si="26"/>
        <v>232.43018039232322</v>
      </c>
      <c r="O79" s="14">
        <f t="shared" si="27"/>
        <v>0.11308317187816826</v>
      </c>
      <c r="P79" s="14"/>
      <c r="Q79" s="101"/>
      <c r="R79">
        <v>2015</v>
      </c>
      <c r="S79" s="1">
        <f t="shared" si="28"/>
        <v>635.4123339683174</v>
      </c>
      <c r="T79" s="102">
        <f t="shared" si="29"/>
        <v>0.21417555573315306</v>
      </c>
      <c r="U79" s="1">
        <f t="shared" si="30"/>
        <v>180.16166945732982</v>
      </c>
      <c r="V79" s="102">
        <f t="shared" si="31"/>
        <v>0.13865967850322364</v>
      </c>
      <c r="W79" s="1">
        <f t="shared" si="32"/>
        <v>705.95065724130154</v>
      </c>
      <c r="X79" s="102">
        <f t="shared" si="33"/>
        <v>0.18104653968124154</v>
      </c>
      <c r="Y79" s="1">
        <f t="shared" si="34"/>
        <v>434.45960855329838</v>
      </c>
      <c r="Z79" s="102">
        <f t="shared" si="35"/>
        <v>0.30656004089609956</v>
      </c>
      <c r="AA79" s="1">
        <f t="shared" si="36"/>
        <v>99.407143418364853</v>
      </c>
      <c r="AB79" s="102">
        <f t="shared" si="37"/>
        <v>0.28539810378329761</v>
      </c>
      <c r="AC79" s="2">
        <f t="shared" si="38"/>
        <v>2055.3914126386121</v>
      </c>
      <c r="AD79" s="102">
        <f t="shared" si="39"/>
        <v>0.11308317187816826</v>
      </c>
    </row>
    <row r="80" spans="1:30" x14ac:dyDescent="0.25">
      <c r="A80">
        <v>2016</v>
      </c>
      <c r="B80" s="1">
        <f>'YE harvest'!Y21</f>
        <v>601.73484546498344</v>
      </c>
      <c r="C80" s="1">
        <f>'YE harvest'!Z21</f>
        <v>1140.5971142898507</v>
      </c>
      <c r="D80" s="1">
        <f>'YE harvest'!Y121</f>
        <v>112.9793368003873</v>
      </c>
      <c r="E80" s="1">
        <f>'YE harvest'!Z121</f>
        <v>134.79285212339573</v>
      </c>
      <c r="F80" s="1">
        <f>'YE harvest'!Y171</f>
        <v>646.05259874518742</v>
      </c>
      <c r="G80" s="1">
        <f>'YE harvest'!Z171</f>
        <v>14076.389687652931</v>
      </c>
      <c r="H80" s="1">
        <f>'YE harvest'!Y46</f>
        <v>635.70916800340854</v>
      </c>
      <c r="I80" s="1">
        <f>'YE harvest'!Z46</f>
        <v>741.88482001593763</v>
      </c>
      <c r="J80" s="6">
        <f>'YE harvest'!Y71</f>
        <v>98.523864388401734</v>
      </c>
      <c r="K80" s="6">
        <f>'YE harvest'!Z71</f>
        <v>62.911517449797486</v>
      </c>
      <c r="L80" s="2">
        <f t="shared" si="24"/>
        <v>2094.9998134023685</v>
      </c>
      <c r="M80" s="1">
        <f t="shared" si="25"/>
        <v>16156.575991531912</v>
      </c>
      <c r="N80">
        <f t="shared" si="26"/>
        <v>127.10852053081223</v>
      </c>
      <c r="O80" s="14">
        <f t="shared" si="27"/>
        <v>6.0672330239677968E-2</v>
      </c>
      <c r="P80" s="14"/>
      <c r="Q80" s="101"/>
      <c r="R80">
        <v>2016</v>
      </c>
      <c r="S80" s="1">
        <f t="shared" si="28"/>
        <v>601.73484546498344</v>
      </c>
      <c r="T80" s="102">
        <f t="shared" si="29"/>
        <v>5.6125596894875091E-2</v>
      </c>
      <c r="U80" s="1">
        <f t="shared" si="30"/>
        <v>112.9793368003873</v>
      </c>
      <c r="V80" s="102">
        <f t="shared" si="31"/>
        <v>0.10276244063687461</v>
      </c>
      <c r="W80" s="1">
        <f t="shared" si="32"/>
        <v>646.05259874518742</v>
      </c>
      <c r="X80" s="102">
        <f t="shared" si="33"/>
        <v>0.18364443096133601</v>
      </c>
      <c r="Y80" s="1">
        <f t="shared" si="34"/>
        <v>635.70916800340854</v>
      </c>
      <c r="Z80" s="102">
        <f t="shared" si="35"/>
        <v>4.2845949118725232E-2</v>
      </c>
      <c r="AA80" s="1">
        <f t="shared" si="36"/>
        <v>98.523864388401734</v>
      </c>
      <c r="AB80" s="102">
        <f t="shared" si="37"/>
        <v>8.0505146110595407E-2</v>
      </c>
      <c r="AC80" s="2">
        <f t="shared" si="38"/>
        <v>2094.9998134023685</v>
      </c>
      <c r="AD80" s="102">
        <f t="shared" si="39"/>
        <v>6.0672330239677968E-2</v>
      </c>
    </row>
    <row r="81" spans="1:30" x14ac:dyDescent="0.25">
      <c r="A81">
        <v>2017</v>
      </c>
      <c r="B81" s="1">
        <f>'YE harvest'!Y22</f>
        <v>482.39791917747402</v>
      </c>
      <c r="C81" s="1">
        <f>'YE harvest'!Z22</f>
        <v>1585.4692269858333</v>
      </c>
      <c r="D81" s="1">
        <f>'YE harvest'!Y122</f>
        <v>82.255122100063872</v>
      </c>
      <c r="E81" s="1">
        <f>'YE harvest'!Z122</f>
        <v>1226.281371008653</v>
      </c>
      <c r="F81" s="1">
        <f>'YE harvest'!Y172</f>
        <v>244.33240969726234</v>
      </c>
      <c r="G81" s="1">
        <f>'YE harvest'!Z172</f>
        <v>1052.6106588720668</v>
      </c>
      <c r="H81" s="1">
        <f>'YE harvest'!Y47</f>
        <v>654.31425172921308</v>
      </c>
      <c r="I81" s="1">
        <f>'YE harvest'!Z47</f>
        <v>8921.1154122354037</v>
      </c>
      <c r="J81" s="6">
        <f>'YE harvest'!Y72</f>
        <v>76.551866125887287</v>
      </c>
      <c r="K81" s="6">
        <f>'YE harvest'!Z72</f>
        <v>288.15910702702689</v>
      </c>
      <c r="L81" s="2">
        <f t="shared" si="24"/>
        <v>1539.8515688299005</v>
      </c>
      <c r="M81" s="1">
        <f t="shared" si="25"/>
        <v>13073.635776128982</v>
      </c>
      <c r="N81">
        <f t="shared" si="26"/>
        <v>114.34000077019844</v>
      </c>
      <c r="O81" s="14">
        <f t="shared" si="27"/>
        <v>7.4253910626647546E-2</v>
      </c>
      <c r="P81" s="14"/>
      <c r="Q81" s="101"/>
      <c r="R81">
        <v>2017</v>
      </c>
      <c r="S81" s="1">
        <f t="shared" si="28"/>
        <v>482.39791917747402</v>
      </c>
      <c r="T81" s="102">
        <f t="shared" si="29"/>
        <v>8.2541713970345862E-2</v>
      </c>
      <c r="U81" s="1">
        <f t="shared" si="30"/>
        <v>82.255122100063872</v>
      </c>
      <c r="V81" s="102">
        <f t="shared" si="31"/>
        <v>0.42572790145653333</v>
      </c>
      <c r="W81" s="1">
        <f t="shared" si="32"/>
        <v>244.33240969726234</v>
      </c>
      <c r="X81" s="102">
        <f t="shared" si="33"/>
        <v>0.13278615745138839</v>
      </c>
      <c r="Y81" s="1">
        <f t="shared" si="34"/>
        <v>654.31425172921308</v>
      </c>
      <c r="Z81" s="102">
        <f t="shared" si="35"/>
        <v>0.14435213084936635</v>
      </c>
      <c r="AA81" s="1">
        <f t="shared" si="36"/>
        <v>76.551866125887287</v>
      </c>
      <c r="AB81" s="102">
        <f t="shared" si="37"/>
        <v>0.22174834783307953</v>
      </c>
      <c r="AC81" s="2">
        <f t="shared" si="38"/>
        <v>1539.8515688299005</v>
      </c>
      <c r="AD81" s="102">
        <f t="shared" si="39"/>
        <v>7.4253910626647546E-2</v>
      </c>
    </row>
    <row r="82" spans="1:30" x14ac:dyDescent="0.25">
      <c r="A82">
        <v>2018</v>
      </c>
      <c r="B82" s="1">
        <f>'YE harvest'!Y23</f>
        <v>633.76689971813164</v>
      </c>
      <c r="C82" s="1">
        <f>'YE harvest'!Z23</f>
        <v>8285.8177939355955</v>
      </c>
      <c r="D82" s="1">
        <f>'YE harvest'!Y123</f>
        <v>112.10464572857293</v>
      </c>
      <c r="E82" s="1">
        <f>'YE harvest'!Z123</f>
        <v>65.414670737944761</v>
      </c>
      <c r="F82" s="1">
        <f>'YE harvest'!Y173</f>
        <v>383.39690436954675</v>
      </c>
      <c r="G82" s="1">
        <f>'YE harvest'!Z173</f>
        <v>7034.7485691329366</v>
      </c>
      <c r="H82" s="1">
        <f>'YE harvest'!Y48</f>
        <v>651.27882351697247</v>
      </c>
      <c r="I82" s="1">
        <f>'YE harvest'!Z48</f>
        <v>4623.031651313654</v>
      </c>
      <c r="J82" s="6">
        <f>'YE harvest'!Y73</f>
        <v>82.99776642451782</v>
      </c>
      <c r="K82" s="6">
        <f>'YE harvest'!Z73</f>
        <v>67.264890545458258</v>
      </c>
      <c r="L82" s="2">
        <f t="shared" si="24"/>
        <v>1863.5450397577415</v>
      </c>
      <c r="M82" s="1">
        <f t="shared" si="25"/>
        <v>20076.27757566559</v>
      </c>
      <c r="N82">
        <f t="shared" si="26"/>
        <v>141.69078154793837</v>
      </c>
      <c r="O82" s="14">
        <f t="shared" si="27"/>
        <v>7.6032925700769749E-2</v>
      </c>
      <c r="P82" s="14"/>
      <c r="Q82" s="101"/>
      <c r="R82">
        <v>2018</v>
      </c>
      <c r="S82" s="1">
        <f t="shared" si="28"/>
        <v>633.76689971813164</v>
      </c>
      <c r="T82" s="102">
        <f t="shared" si="29"/>
        <v>0.14362767696871387</v>
      </c>
      <c r="U82" s="1">
        <f t="shared" si="30"/>
        <v>112.10464572857293</v>
      </c>
      <c r="V82" s="102">
        <f t="shared" si="31"/>
        <v>7.2146284376753522E-2</v>
      </c>
      <c r="W82" s="1">
        <f t="shared" si="32"/>
        <v>383.39690436954675</v>
      </c>
      <c r="X82" s="102">
        <f t="shared" si="33"/>
        <v>0.21876391551863666</v>
      </c>
      <c r="Y82" s="1">
        <f t="shared" si="34"/>
        <v>651.27882351697247</v>
      </c>
      <c r="Z82" s="102">
        <f t="shared" si="35"/>
        <v>0.10439903304254299</v>
      </c>
      <c r="AA82" s="1">
        <f t="shared" si="36"/>
        <v>82.99776642451782</v>
      </c>
      <c r="AB82" s="102">
        <f t="shared" si="37"/>
        <v>9.8816123964206928E-2</v>
      </c>
      <c r="AC82" s="2">
        <f t="shared" si="38"/>
        <v>1863.5450397577415</v>
      </c>
      <c r="AD82" s="102">
        <f t="shared" si="39"/>
        <v>7.6032925700769749E-2</v>
      </c>
    </row>
    <row r="83" spans="1:30" x14ac:dyDescent="0.25">
      <c r="A83">
        <v>2019</v>
      </c>
      <c r="B83" s="1">
        <f>'YE harvest'!Y24</f>
        <v>1261.1232986445648</v>
      </c>
      <c r="C83" s="1">
        <f>'YE harvest'!Z24</f>
        <v>69767.241257265472</v>
      </c>
      <c r="D83" s="1">
        <f>'YE harvest'!Y124</f>
        <v>169.24313984614315</v>
      </c>
      <c r="E83" s="1">
        <f>'YE harvest'!Z124</f>
        <v>2619.1125607600306</v>
      </c>
      <c r="F83" s="1">
        <f>'YE harvest'!Y174</f>
        <v>663.38725270685723</v>
      </c>
      <c r="G83" s="1">
        <f>'YE harvest'!Z174</f>
        <v>22346.924648873526</v>
      </c>
      <c r="H83" s="1">
        <f>'YE harvest'!Y49</f>
        <v>1768.1197355614568</v>
      </c>
      <c r="I83" s="1">
        <f>'YE harvest'!Z49</f>
        <v>116823.13436799873</v>
      </c>
      <c r="J83" s="6">
        <f>'YE harvest'!Y74</f>
        <v>146.59540104739534</v>
      </c>
      <c r="K83" s="6">
        <f>'YE harvest'!Z74</f>
        <v>454.25290719354166</v>
      </c>
      <c r="L83" s="2">
        <f t="shared" si="24"/>
        <v>4008.4688278064173</v>
      </c>
      <c r="M83" s="1">
        <f t="shared" si="25"/>
        <v>212010.66574209128</v>
      </c>
      <c r="N83">
        <f t="shared" si="26"/>
        <v>460.44615943896338</v>
      </c>
      <c r="O83" s="14">
        <f t="shared" si="27"/>
        <v>0.11486833981217127</v>
      </c>
      <c r="P83" s="14"/>
      <c r="Q83" s="101"/>
      <c r="R83">
        <v>2019</v>
      </c>
      <c r="S83" s="1">
        <f t="shared" si="28"/>
        <v>1261.1232986445648</v>
      </c>
      <c r="T83" s="102">
        <f t="shared" si="29"/>
        <v>0.20944414590197005</v>
      </c>
      <c r="U83" s="1">
        <f t="shared" si="30"/>
        <v>169.24313984614315</v>
      </c>
      <c r="V83" s="102">
        <f t="shared" si="31"/>
        <v>0.30238901322976136</v>
      </c>
      <c r="W83" s="1">
        <f t="shared" si="32"/>
        <v>663.38725270685723</v>
      </c>
      <c r="X83" s="102">
        <f t="shared" si="33"/>
        <v>0.2253418005857819</v>
      </c>
      <c r="Y83" s="1">
        <f t="shared" si="34"/>
        <v>1768.1197355614568</v>
      </c>
      <c r="Z83" s="102">
        <f t="shared" si="35"/>
        <v>0.19330930319631909</v>
      </c>
      <c r="AA83" s="1">
        <f t="shared" si="36"/>
        <v>146.59540104739534</v>
      </c>
      <c r="AB83" s="102">
        <f t="shared" si="37"/>
        <v>0.1453879830844661</v>
      </c>
      <c r="AC83" s="2">
        <f t="shared" si="38"/>
        <v>4008.4688278064173</v>
      </c>
      <c r="AD83" s="102">
        <f t="shared" si="39"/>
        <v>0.11486833981217127</v>
      </c>
    </row>
    <row r="84" spans="1:30" x14ac:dyDescent="0.25">
      <c r="A84">
        <v>2020</v>
      </c>
      <c r="B84" s="1">
        <f>'YE harvest'!Y25</f>
        <v>817.02697354395707</v>
      </c>
      <c r="C84" s="1">
        <f>'YE harvest'!Z25</f>
        <v>10737.467488475704</v>
      </c>
      <c r="D84" s="1">
        <f>'YE harvest'!Y125</f>
        <v>55.207010747610298</v>
      </c>
      <c r="E84" s="1">
        <f>'YE harvest'!Z125</f>
        <v>44.598211775402362</v>
      </c>
      <c r="F84" s="1">
        <f>'YE harvest'!Y175</f>
        <v>628.92367293109135</v>
      </c>
      <c r="G84" s="1">
        <f>'YE harvest'!Z175</f>
        <v>31678.191955471877</v>
      </c>
      <c r="H84" s="1">
        <f>'YE harvest'!Y50</f>
        <v>575.26387719406046</v>
      </c>
      <c r="I84" s="1">
        <f>'YE harvest'!Z50</f>
        <v>4170.7563206303239</v>
      </c>
      <c r="J84" s="6">
        <f>'YE harvest'!Y75</f>
        <v>52.736870167442206</v>
      </c>
      <c r="K84" s="6">
        <f>'YE harvest'!Z75</f>
        <v>16.011487746195328</v>
      </c>
      <c r="L84" s="2">
        <f t="shared" ref="L84:L85" si="40">J84+H84+F84+D84+B84</f>
        <v>2129.1584045841614</v>
      </c>
      <c r="M84" s="1">
        <f t="shared" ref="M84:M85" si="41">SUM(E84,G84,I84,K84,C84)</f>
        <v>46647.025464099504</v>
      </c>
      <c r="N84">
        <f t="shared" ref="N84:N85" si="42">SQRT(M84)</f>
        <v>215.97922461222862</v>
      </c>
      <c r="O84" s="14">
        <f t="shared" ref="O84:O85" si="43">N84/L84</f>
        <v>0.1014387770056079</v>
      </c>
      <c r="P84" s="14"/>
      <c r="Q84" s="101"/>
      <c r="R84">
        <v>2020</v>
      </c>
      <c r="S84" s="1">
        <f t="shared" si="28"/>
        <v>817.02697354395707</v>
      </c>
      <c r="T84" s="102">
        <f t="shared" si="29"/>
        <v>0.12682782253197442</v>
      </c>
      <c r="U84" s="1">
        <f t="shared" si="30"/>
        <v>55.207010747610298</v>
      </c>
      <c r="V84" s="102">
        <f t="shared" si="31"/>
        <v>0.12096632598456704</v>
      </c>
      <c r="W84" s="1">
        <f t="shared" si="32"/>
        <v>628.92367293109135</v>
      </c>
      <c r="X84" s="102">
        <f t="shared" si="33"/>
        <v>0.282997273247722</v>
      </c>
      <c r="Y84" s="1">
        <f t="shared" si="34"/>
        <v>575.26387719406046</v>
      </c>
      <c r="Z84" s="102">
        <f t="shared" si="35"/>
        <v>0.11226394625331197</v>
      </c>
      <c r="AA84" s="1">
        <f t="shared" si="36"/>
        <v>52.736870167442206</v>
      </c>
      <c r="AB84" s="102">
        <f t="shared" si="37"/>
        <v>7.5875487072166695E-2</v>
      </c>
      <c r="AC84" s="2">
        <f t="shared" si="38"/>
        <v>2129.1584045841614</v>
      </c>
      <c r="AD84" s="102">
        <f t="shared" si="39"/>
        <v>0.1014387770056079</v>
      </c>
    </row>
    <row r="85" spans="1:30" x14ac:dyDescent="0.25">
      <c r="A85">
        <v>2021</v>
      </c>
      <c r="B85" s="1">
        <f>'YE harvest'!Y26</f>
        <v>984.53341510599842</v>
      </c>
      <c r="C85" s="1">
        <f>'YE harvest'!Z26</f>
        <v>6366.7779673621681</v>
      </c>
      <c r="D85" s="1">
        <f>'YE harvest'!Y126</f>
        <v>180.25314710128936</v>
      </c>
      <c r="E85" s="1">
        <f>'YE harvest'!Z126</f>
        <v>106.63686495410487</v>
      </c>
      <c r="F85" s="1">
        <f>'YE harvest'!Y176</f>
        <v>454.93503492756952</v>
      </c>
      <c r="G85" s="1">
        <f>'YE harvest'!Z176</f>
        <v>1151.5865955353629</v>
      </c>
      <c r="H85" s="1">
        <f>'YE harvest'!Y51</f>
        <v>944.16196864297046</v>
      </c>
      <c r="I85" s="1">
        <f>'YE harvest'!Z51</f>
        <v>7972.3790573301676</v>
      </c>
      <c r="J85" s="6">
        <f>'YE harvest'!Y76</f>
        <v>191.58704060848393</v>
      </c>
      <c r="K85" s="6">
        <f>'YE harvest'!Z76</f>
        <v>244.25152572166647</v>
      </c>
      <c r="L85" s="2">
        <f t="shared" si="40"/>
        <v>2755.4706063863118</v>
      </c>
      <c r="M85" s="1">
        <f t="shared" si="41"/>
        <v>15841.632010903471</v>
      </c>
      <c r="N85">
        <f t="shared" si="42"/>
        <v>125.86354520234789</v>
      </c>
      <c r="O85" s="14">
        <f t="shared" si="43"/>
        <v>4.5677694732303036E-2</v>
      </c>
      <c r="P85" s="14"/>
      <c r="Q85" s="101"/>
      <c r="R85">
        <v>2021</v>
      </c>
      <c r="S85" s="1">
        <f t="shared" si="28"/>
        <v>984.53341510599842</v>
      </c>
      <c r="T85" s="102">
        <f t="shared" si="29"/>
        <v>8.1045590643484794E-2</v>
      </c>
      <c r="U85" s="1">
        <f t="shared" si="30"/>
        <v>180.25314710128936</v>
      </c>
      <c r="V85" s="102">
        <f t="shared" si="31"/>
        <v>5.7288945496690266E-2</v>
      </c>
      <c r="W85" s="1">
        <f t="shared" si="32"/>
        <v>454.93503492756952</v>
      </c>
      <c r="X85" s="102">
        <f t="shared" si="33"/>
        <v>7.4593144783787285E-2</v>
      </c>
      <c r="Y85" s="1">
        <f t="shared" si="34"/>
        <v>944.16196864297046</v>
      </c>
      <c r="Z85" s="102">
        <f t="shared" si="35"/>
        <v>9.4568710449327589E-2</v>
      </c>
      <c r="AA85" s="1">
        <f t="shared" si="36"/>
        <v>191.58704060848393</v>
      </c>
      <c r="AB85" s="102">
        <f t="shared" si="37"/>
        <v>8.1574141813223006E-2</v>
      </c>
      <c r="AC85" s="2">
        <f t="shared" si="38"/>
        <v>2755.4706063863118</v>
      </c>
      <c r="AD85" s="102">
        <f t="shared" si="39"/>
        <v>4.5677694732303036E-2</v>
      </c>
    </row>
    <row r="86" spans="1:30" x14ac:dyDescent="0.25">
      <c r="A86">
        <v>2022</v>
      </c>
      <c r="B86" s="1">
        <f>'YE harvest'!Y27</f>
        <v>1106.6017212971951</v>
      </c>
      <c r="C86" s="1">
        <f>'YE harvest'!Z27</f>
        <v>42350.171933844977</v>
      </c>
      <c r="D86" s="1">
        <f>'YE harvest'!Y127</f>
        <v>122.637741155461</v>
      </c>
      <c r="E86" s="1">
        <f>'YE harvest'!Z127</f>
        <v>253.49292817801154</v>
      </c>
      <c r="F86" s="1">
        <f>'YE harvest'!Y177</f>
        <v>424.7517290836642</v>
      </c>
      <c r="G86" s="1">
        <f>'YE harvest'!Z177</f>
        <v>2120.8204783369356</v>
      </c>
      <c r="H86" s="1">
        <f>'YE harvest'!Y52</f>
        <v>1766.4266900930984</v>
      </c>
      <c r="I86" s="1">
        <f>'YE harvest'!Z52</f>
        <v>121199.70119368267</v>
      </c>
      <c r="J86" s="6">
        <f>'YE harvest'!Y77</f>
        <v>248.90228212663393</v>
      </c>
      <c r="K86" s="6">
        <f>'YE harvest'!Z77</f>
        <v>946.54848288893857</v>
      </c>
      <c r="L86" s="2">
        <f t="shared" ref="L86" si="44">J86+H86+F86+D86+B86</f>
        <v>3669.3201637560524</v>
      </c>
      <c r="M86" s="1">
        <f t="shared" ref="M86" si="45">SUM(E86,G86,I86,K86,C86)</f>
        <v>166870.73501693155</v>
      </c>
      <c r="N86">
        <f t="shared" ref="N86" si="46">SQRT(M86)</f>
        <v>408.49814567135007</v>
      </c>
      <c r="O86" s="14">
        <f t="shared" ref="O86" si="47">N86/L86</f>
        <v>0.11132801920811299</v>
      </c>
      <c r="P86" s="14"/>
      <c r="Q86" s="101"/>
      <c r="R86">
        <v>2022</v>
      </c>
      <c r="S86" s="1">
        <f t="shared" si="28"/>
        <v>1106.6017212971951</v>
      </c>
      <c r="T86" s="102">
        <f t="shared" si="29"/>
        <v>0.18596715516542858</v>
      </c>
      <c r="U86" s="1">
        <f t="shared" si="30"/>
        <v>122.637741155461</v>
      </c>
      <c r="V86" s="102">
        <f t="shared" si="31"/>
        <v>0.12982513453896111</v>
      </c>
      <c r="W86" s="1">
        <f t="shared" si="32"/>
        <v>424.7517290836642</v>
      </c>
      <c r="X86" s="102">
        <f t="shared" si="33"/>
        <v>0.10842184632354739</v>
      </c>
      <c r="Y86" s="1">
        <f t="shared" si="34"/>
        <v>1766.4266900930984</v>
      </c>
      <c r="Z86" s="102">
        <f t="shared" si="35"/>
        <v>0.19708571916030723</v>
      </c>
      <c r="AA86" s="1">
        <f t="shared" si="36"/>
        <v>248.90228212663393</v>
      </c>
      <c r="AB86" s="102">
        <f t="shared" si="37"/>
        <v>0.12360685407145622</v>
      </c>
      <c r="AC86" s="2">
        <f t="shared" si="38"/>
        <v>3669.3201637560524</v>
      </c>
      <c r="AD86" s="102">
        <f t="shared" si="39"/>
        <v>0.11132801920811299</v>
      </c>
    </row>
  </sheetData>
  <mergeCells count="32">
    <mergeCell ref="AC31:AD31"/>
    <mergeCell ref="S60:T60"/>
    <mergeCell ref="U60:V60"/>
    <mergeCell ref="W60:X60"/>
    <mergeCell ref="Y60:Z60"/>
    <mergeCell ref="AA60:AB60"/>
    <mergeCell ref="AC60:AD60"/>
    <mergeCell ref="S31:T31"/>
    <mergeCell ref="U31:V31"/>
    <mergeCell ref="W31:X31"/>
    <mergeCell ref="Y31:Z31"/>
    <mergeCell ref="AA31:AB31"/>
    <mergeCell ref="A1:J1"/>
    <mergeCell ref="A30:J30"/>
    <mergeCell ref="A59:J59"/>
    <mergeCell ref="B2:C2"/>
    <mergeCell ref="D2:E2"/>
    <mergeCell ref="F2:G2"/>
    <mergeCell ref="H2:I2"/>
    <mergeCell ref="J2:K2"/>
    <mergeCell ref="B31:C31"/>
    <mergeCell ref="D31:E31"/>
    <mergeCell ref="F31:G31"/>
    <mergeCell ref="H31:I31"/>
    <mergeCell ref="J31:K31"/>
    <mergeCell ref="L31:O31"/>
    <mergeCell ref="L60:O60"/>
    <mergeCell ref="B60:C60"/>
    <mergeCell ref="D60:E60"/>
    <mergeCell ref="F60:G60"/>
    <mergeCell ref="H60:I60"/>
    <mergeCell ref="J60:K6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38E6-4FC4-451D-A1EF-55FC29FFCC3A}">
  <sheetPr>
    <tabColor rgb="FFFF0000"/>
  </sheetPr>
  <dimension ref="A1:Z85"/>
  <sheetViews>
    <sheetView topLeftCell="C54" workbookViewId="0">
      <selection activeCell="Q61" sqref="Q61:Z85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1" bestFit="1" customWidth="1"/>
    <col min="7" max="7" width="12" bestFit="1" customWidth="1"/>
    <col min="9" max="9" width="10.5703125" bestFit="1" customWidth="1"/>
    <col min="11" max="11" width="13.5703125" bestFit="1" customWidth="1"/>
    <col min="12" max="14" width="9.85546875" customWidth="1"/>
    <col min="15" max="15" width="9.140625" style="99"/>
    <col min="16" max="25" width="9.85546875" customWidth="1"/>
  </cols>
  <sheetData>
    <row r="1" spans="1:15" ht="21" x14ac:dyDescent="0.35">
      <c r="A1" s="109" t="s">
        <v>94</v>
      </c>
      <c r="B1" s="109"/>
      <c r="C1" s="109"/>
      <c r="D1" s="109"/>
      <c r="E1" s="109"/>
      <c r="F1" s="109"/>
      <c r="G1" s="109"/>
      <c r="H1" s="109"/>
      <c r="I1" s="9"/>
      <c r="O1" s="98" t="s">
        <v>174</v>
      </c>
    </row>
    <row r="2" spans="1:15" x14ac:dyDescent="0.25">
      <c r="A2" t="s">
        <v>34</v>
      </c>
      <c r="B2" s="109" t="s">
        <v>47</v>
      </c>
      <c r="C2" s="109"/>
      <c r="D2" s="109" t="s">
        <v>49</v>
      </c>
      <c r="E2" s="109"/>
      <c r="F2" s="109" t="s">
        <v>51</v>
      </c>
      <c r="G2" s="109"/>
      <c r="H2" s="109" t="s">
        <v>52</v>
      </c>
      <c r="I2" s="109"/>
    </row>
    <row r="3" spans="1:15" x14ac:dyDescent="0.25">
      <c r="B3" s="9" t="s">
        <v>138</v>
      </c>
      <c r="C3" s="9" t="s">
        <v>139</v>
      </c>
      <c r="D3" s="9" t="s">
        <v>138</v>
      </c>
      <c r="E3" s="9" t="s">
        <v>139</v>
      </c>
      <c r="F3" s="9" t="s">
        <v>138</v>
      </c>
      <c r="G3" s="9" t="s">
        <v>139</v>
      </c>
      <c r="H3" s="9" t="s">
        <v>138</v>
      </c>
      <c r="I3" s="9" t="s">
        <v>139</v>
      </c>
    </row>
    <row r="4" spans="1:15" x14ac:dyDescent="0.25">
      <c r="A4">
        <v>1998</v>
      </c>
      <c r="B4" s="1">
        <f>'rockfish harvests'!K77</f>
        <v>1686.4758951640881</v>
      </c>
      <c r="C4" s="1">
        <f>'rockfish harvests'!L77</f>
        <v>44240.136597187789</v>
      </c>
      <c r="D4" s="1">
        <f>'rockfish harvests'!K127</f>
        <v>7725.220955913016</v>
      </c>
      <c r="E4" s="1">
        <f>'rockfish harvests'!L127</f>
        <v>380846.86521831615</v>
      </c>
      <c r="F4" s="1">
        <f>'rockfish harvests'!K177</f>
        <v>13589.355080614794</v>
      </c>
      <c r="G4" s="1">
        <f>'rockfish harvests'!L177</f>
        <v>8755809.3695013113</v>
      </c>
      <c r="H4" s="1">
        <f>'rockfish harvests'!K202</f>
        <v>8562.2039985303945</v>
      </c>
      <c r="I4" s="1">
        <f>'rockfish harvests'!L202</f>
        <v>494154.9077878145</v>
      </c>
    </row>
    <row r="5" spans="1:15" x14ac:dyDescent="0.25">
      <c r="A5">
        <v>1999</v>
      </c>
      <c r="B5" s="1">
        <f>'rockfish harvests'!K78</f>
        <v>1545.6534612620567</v>
      </c>
      <c r="C5" s="1">
        <f>'rockfish harvests'!L78</f>
        <v>37160.4054962316</v>
      </c>
      <c r="D5" s="1">
        <f>'rockfish harvests'!K128</f>
        <v>13863.251999816044</v>
      </c>
      <c r="E5" s="1">
        <f>'rockfish harvests'!L128</f>
        <v>1226475.2843498222</v>
      </c>
      <c r="F5" s="1">
        <f>'rockfish harvests'!K178</f>
        <v>16054.003882202349</v>
      </c>
      <c r="G5" s="1">
        <f>'rockfish harvests'!L178</f>
        <v>12219834.714956973</v>
      </c>
      <c r="H5" s="1">
        <f>'rockfish harvests'!K203</f>
        <v>5547.1393554151227</v>
      </c>
      <c r="I5" s="1">
        <f>'rockfish harvests'!L203</f>
        <v>207410.20653889881</v>
      </c>
    </row>
    <row r="6" spans="1:15" x14ac:dyDescent="0.25">
      <c r="A6">
        <v>2000</v>
      </c>
      <c r="B6" s="1">
        <f>'rockfish harvests'!K79</f>
        <v>2375.318162202941</v>
      </c>
      <c r="C6" s="1">
        <f>'rockfish harvests'!L79</f>
        <v>87760.635979344952</v>
      </c>
      <c r="D6" s="1">
        <f>'rockfish harvests'!K129</f>
        <v>19588.793010089361</v>
      </c>
      <c r="E6" s="1">
        <f>'rockfish harvests'!L129</f>
        <v>2448747.0158551079</v>
      </c>
      <c r="F6" s="1">
        <f>'rockfish harvests'!K179</f>
        <v>21378.072072644733</v>
      </c>
      <c r="G6" s="1">
        <f>'rockfish harvests'!L179</f>
        <v>21668840.765019432</v>
      </c>
      <c r="H6" s="1">
        <f>'rockfish harvests'!K204</f>
        <v>11161.897301144405</v>
      </c>
      <c r="I6" s="1">
        <f>'rockfish harvests'!L204</f>
        <v>839784.81191828009</v>
      </c>
    </row>
    <row r="7" spans="1:15" x14ac:dyDescent="0.25">
      <c r="A7">
        <v>2001</v>
      </c>
      <c r="B7" s="1">
        <f>'rockfish harvests'!K80</f>
        <v>1294.5483984006028</v>
      </c>
      <c r="C7" s="1">
        <f>'rockfish harvests'!L80</f>
        <v>26067.102901764931</v>
      </c>
      <c r="D7" s="1">
        <f>'rockfish harvests'!K130</f>
        <v>31246.120047450848</v>
      </c>
      <c r="E7" s="1">
        <f>'rockfish harvests'!L130</f>
        <v>6230469.2850139625</v>
      </c>
      <c r="F7" s="1">
        <f>'rockfish harvests'!K180</f>
        <v>25023.476144256918</v>
      </c>
      <c r="G7" s="1">
        <f>'rockfish harvests'!L180</f>
        <v>29688884.747428846</v>
      </c>
      <c r="H7" s="1">
        <f>'rockfish harvests'!K205</f>
        <v>13565.979681778168</v>
      </c>
      <c r="I7" s="1">
        <f>'rockfish harvests'!L205</f>
        <v>1240492.9366742759</v>
      </c>
    </row>
    <row r="8" spans="1:15" x14ac:dyDescent="0.25">
      <c r="A8">
        <v>2002</v>
      </c>
      <c r="B8" s="1">
        <f>'rockfish harvests'!K81</f>
        <v>4034.6475640847098</v>
      </c>
      <c r="C8" s="1">
        <f>'rockfish harvests'!L81</f>
        <v>253202.15113746023</v>
      </c>
      <c r="D8" s="1">
        <f>'rockfish harvests'!K131</f>
        <v>25882.255081157207</v>
      </c>
      <c r="E8" s="1">
        <f>'rockfish harvests'!L131</f>
        <v>4274967.2451758217</v>
      </c>
      <c r="F8" s="1">
        <f>'rockfish harvests'!K181</f>
        <v>26310.926167597027</v>
      </c>
      <c r="G8" s="1">
        <f>'rockfish harvests'!L181</f>
        <v>32822440.987651471</v>
      </c>
      <c r="H8" s="1">
        <f>'rockfish harvests'!K206</f>
        <v>10889.007990233691</v>
      </c>
      <c r="I8" s="1">
        <f>'rockfish harvests'!L206</f>
        <v>799224.16063675296</v>
      </c>
    </row>
    <row r="9" spans="1:15" x14ac:dyDescent="0.25">
      <c r="A9">
        <v>2003</v>
      </c>
      <c r="B9" s="1">
        <f>'rockfish harvests'!K82</f>
        <v>7843.6399027601401</v>
      </c>
      <c r="C9" s="1">
        <f>'rockfish harvests'!L82</f>
        <v>956954.91493500082</v>
      </c>
      <c r="D9" s="1">
        <f>'rockfish harvests'!K132</f>
        <v>25436.885407165704</v>
      </c>
      <c r="E9" s="1">
        <f>'rockfish harvests'!L132</f>
        <v>4129109.8070434225</v>
      </c>
      <c r="F9" s="1">
        <f>'rockfish harvests'!K182</f>
        <v>42436.059885343027</v>
      </c>
      <c r="G9" s="1">
        <f>'rockfish harvests'!L182</f>
        <v>85382469.486194402</v>
      </c>
      <c r="H9" s="1">
        <f>'rockfish harvests'!K207</f>
        <v>11707.675922965831</v>
      </c>
      <c r="I9" s="1">
        <f>'rockfish harvests'!L207</f>
        <v>923917.84611739591</v>
      </c>
    </row>
    <row r="10" spans="1:15" x14ac:dyDescent="0.25">
      <c r="A10">
        <v>2004</v>
      </c>
      <c r="B10" s="1">
        <f>'rockfish harvests'!K83</f>
        <v>8035.3620115665199</v>
      </c>
      <c r="C10" s="1">
        <f>'rockfish harvests'!L83</f>
        <v>1004308.3600935558</v>
      </c>
      <c r="D10" s="1">
        <f>'rockfish harvests'!K133</f>
        <v>29044.67867231835</v>
      </c>
      <c r="E10" s="1">
        <f>'rockfish harvests'!L133</f>
        <v>5383462.8158731172</v>
      </c>
      <c r="F10" s="1">
        <f>'rockfish harvests'!K183</f>
        <v>36667.430222752817</v>
      </c>
      <c r="G10" s="1">
        <f>'rockfish harvests'!L183</f>
        <v>63746970.869564563</v>
      </c>
      <c r="H10" s="1">
        <f>'rockfish harvests'!K208</f>
        <v>14750.512487102991</v>
      </c>
      <c r="I10" s="1">
        <f>'rockfish harvests'!L208</f>
        <v>1466581.4594766509</v>
      </c>
    </row>
    <row r="11" spans="1:15" x14ac:dyDescent="0.25">
      <c r="A11">
        <v>2005</v>
      </c>
      <c r="B11" s="1">
        <f>'rockfish harvests'!K84</f>
        <v>6133.4108259740224</v>
      </c>
      <c r="C11" s="1">
        <f>'rockfish harvests'!L84</f>
        <v>585140.68220468122</v>
      </c>
      <c r="D11" s="1">
        <f>'rockfish harvests'!K134</f>
        <v>34063.307414813207</v>
      </c>
      <c r="E11" s="1">
        <f>'rockfish harvests'!L134</f>
        <v>7404610.0706118569</v>
      </c>
      <c r="F11" s="1">
        <f>'rockfish harvests'!K184</f>
        <v>38872.455124606044</v>
      </c>
      <c r="G11" s="1">
        <f>'rockfish harvests'!L184</f>
        <v>71644448.857817397</v>
      </c>
      <c r="H11" s="1">
        <f>'rockfish harvests'!K209</f>
        <v>11669.036728500598</v>
      </c>
      <c r="I11" s="1">
        <f>'rockfish harvests'!L209</f>
        <v>917829.44196419709</v>
      </c>
    </row>
    <row r="12" spans="1:15" x14ac:dyDescent="0.25">
      <c r="A12">
        <v>2006</v>
      </c>
      <c r="B12" s="1">
        <f>'rockfish harvests'!K85</f>
        <v>4178.8633096470312</v>
      </c>
      <c r="C12" s="1">
        <f>'rockfish harvests'!L85</f>
        <v>271626.73547213408</v>
      </c>
      <c r="D12" s="1">
        <f>'rockfish harvests'!K135</f>
        <v>29887.593088866026</v>
      </c>
      <c r="E12" s="1">
        <f>'rockfish harvests'!L135</f>
        <v>5700467.1719220383</v>
      </c>
      <c r="F12" s="1">
        <f>'rockfish harvests'!K185</f>
        <v>26951.094687489898</v>
      </c>
      <c r="G12" s="1">
        <f>'rockfish harvests'!L185</f>
        <v>34439070.708155498</v>
      </c>
      <c r="H12" s="1">
        <f>'rockfish harvests'!K210</f>
        <v>11023.037696034971</v>
      </c>
      <c r="I12" s="1">
        <f>'rockfish harvests'!L210</f>
        <v>819020.09295315738</v>
      </c>
    </row>
    <row r="13" spans="1:15" x14ac:dyDescent="0.25">
      <c r="A13">
        <v>2007</v>
      </c>
      <c r="B13" s="1">
        <f>'rockfish harvests'!K86</f>
        <v>4341.7422693409471</v>
      </c>
      <c r="C13" s="1">
        <f>'rockfish harvests'!L86</f>
        <v>293213.70268298819</v>
      </c>
      <c r="D13" s="1">
        <f>'rockfish harvests'!K136</f>
        <v>35660.959030574668</v>
      </c>
      <c r="E13" s="1">
        <f>'rockfish harvests'!L136</f>
        <v>8115487.2982604261</v>
      </c>
      <c r="F13" s="1">
        <f>'rockfish harvests'!K186</f>
        <v>44114.724004173229</v>
      </c>
      <c r="G13" s="1">
        <f>'rockfish harvests'!L186</f>
        <v>92271108.350786552</v>
      </c>
      <c r="H13" s="1">
        <f>'rockfish harvests'!K211</f>
        <v>14728.777940216298</v>
      </c>
      <c r="I13" s="1">
        <f>'rockfish harvests'!L211</f>
        <v>1462262.6943327789</v>
      </c>
    </row>
    <row r="14" spans="1:15" x14ac:dyDescent="0.25">
      <c r="A14">
        <v>2008</v>
      </c>
      <c r="B14" s="1">
        <f>'rockfish harvests'!K87</f>
        <v>3669.8665606035438</v>
      </c>
      <c r="C14" s="1">
        <f>'rockfish harvests'!L87</f>
        <v>209486.83209859589</v>
      </c>
      <c r="D14" s="1">
        <f>'rockfish harvests'!K137</f>
        <v>38253.967031833927</v>
      </c>
      <c r="E14" s="1">
        <f>'rockfish harvests'!L137</f>
        <v>9338594.6288435515</v>
      </c>
      <c r="F14" s="1">
        <f>'rockfish harvests'!K187</f>
        <v>33864.914702332913</v>
      </c>
      <c r="G14" s="1">
        <f>'rockfish harvests'!L187</f>
        <v>54374913.17494791</v>
      </c>
      <c r="H14" s="1">
        <f>'rockfish harvests'!K212</f>
        <v>16164.46550956514</v>
      </c>
      <c r="I14" s="1">
        <f>'rockfish harvests'!L212</f>
        <v>1761224.3005580062</v>
      </c>
    </row>
    <row r="15" spans="1:15" x14ac:dyDescent="0.25">
      <c r="A15">
        <v>2009</v>
      </c>
      <c r="B15" s="1">
        <f>'rockfish harvests'!K88</f>
        <v>4950.841712362987</v>
      </c>
      <c r="C15" s="1">
        <f>'rockfish harvests'!L88</f>
        <v>381253.87419826118</v>
      </c>
      <c r="D15" s="1">
        <f>'rockfish harvests'!K138</f>
        <v>32743.638213019593</v>
      </c>
      <c r="E15" s="1">
        <f>'rockfish harvests'!L138</f>
        <v>6841989.9451254793</v>
      </c>
      <c r="F15" s="1">
        <f>'rockfish harvests'!K188</f>
        <v>29152.563097565941</v>
      </c>
      <c r="G15" s="1">
        <f>'rockfish harvests'!L188</f>
        <v>40295086.4991799</v>
      </c>
      <c r="H15" s="1">
        <f>'rockfish harvests'!K213</f>
        <v>16571.384526277132</v>
      </c>
      <c r="I15" s="1">
        <f>'rockfish harvests'!L213</f>
        <v>1851013.392635928</v>
      </c>
    </row>
    <row r="16" spans="1:15" x14ac:dyDescent="0.25">
      <c r="A16">
        <v>2010</v>
      </c>
      <c r="B16" s="1">
        <f>'rockfish harvests'!K89</f>
        <v>7502.6120809010035</v>
      </c>
      <c r="C16" s="1">
        <f>'rockfish harvests'!L89</f>
        <v>875550.43256812927</v>
      </c>
      <c r="D16" s="1">
        <f>'rockfish harvests'!K139</f>
        <v>40392.638184457552</v>
      </c>
      <c r="E16" s="1">
        <f>'rockfish harvests'!L139</f>
        <v>10411972.30311189</v>
      </c>
      <c r="F16" s="1">
        <f>'rockfish harvests'!K189</f>
        <v>42354.260574467829</v>
      </c>
      <c r="G16" s="1">
        <f>'rockfish harvests'!L189</f>
        <v>85053622.000279784</v>
      </c>
      <c r="H16" s="1">
        <f>'rockfish harvests'!K214</f>
        <v>15743.056794928683</v>
      </c>
      <c r="I16" s="1">
        <f>'rockfish harvests'!L214</f>
        <v>1670590.8394394808</v>
      </c>
    </row>
    <row r="17" spans="1:26" x14ac:dyDescent="0.25">
      <c r="A17">
        <v>2011</v>
      </c>
      <c r="B17" s="1">
        <f>'rockfish harvests'!K90</f>
        <v>5241.2886731391591</v>
      </c>
      <c r="C17" s="1">
        <f>'rockfish harvests'!L90</f>
        <v>347241.00971171423</v>
      </c>
      <c r="D17" s="1">
        <f>'rockfish harvests'!K140</f>
        <v>52204.405010282295</v>
      </c>
      <c r="E17" s="1">
        <f>'rockfish harvests'!L140</f>
        <v>8183614.275682712</v>
      </c>
      <c r="F17" s="1">
        <f>'rockfish harvests'!K190</f>
        <v>69966.987281399051</v>
      </c>
      <c r="G17" s="1">
        <f>'rockfish harvests'!L190</f>
        <v>100066036.13433234</v>
      </c>
      <c r="H17" s="1">
        <f>'rockfish harvests'!K215</f>
        <v>19283.2731282159</v>
      </c>
      <c r="I17" s="1">
        <f>'rockfish harvests'!L215</f>
        <v>1342172.6209808656</v>
      </c>
    </row>
    <row r="18" spans="1:26" x14ac:dyDescent="0.25">
      <c r="A18">
        <v>2012</v>
      </c>
      <c r="B18" s="1">
        <f>'rockfish harvests'!K91</f>
        <v>10016.941208053691</v>
      </c>
      <c r="C18" s="1">
        <f>'rockfish harvests'!L91</f>
        <v>1729256.1604569755</v>
      </c>
      <c r="D18" s="1">
        <f>'rockfish harvests'!K141</f>
        <v>41019.802237331009</v>
      </c>
      <c r="E18" s="1">
        <f>'rockfish harvests'!L141</f>
        <v>2524598.6215632036</v>
      </c>
      <c r="F18" s="1">
        <f>'rockfish harvests'!K191</f>
        <v>44697.154090427939</v>
      </c>
      <c r="G18" s="1">
        <f>'rockfish harvests'!L191</f>
        <v>29413124.019685954</v>
      </c>
      <c r="H18" s="1">
        <f>'rockfish harvests'!K216</f>
        <v>18570.043180260451</v>
      </c>
      <c r="I18" s="1">
        <f>'rockfish harvests'!L216</f>
        <v>375586.44375818601</v>
      </c>
    </row>
    <row r="19" spans="1:26" x14ac:dyDescent="0.25">
      <c r="A19">
        <v>2013</v>
      </c>
      <c r="B19" s="1">
        <f>'rockfish harvests'!K92</f>
        <v>8290.4354718850645</v>
      </c>
      <c r="C19" s="1">
        <f>'rockfish harvests'!L92</f>
        <v>863231.70507392555</v>
      </c>
      <c r="D19" s="1">
        <f>'rockfish harvests'!K142</f>
        <v>47715.239835728957</v>
      </c>
      <c r="E19" s="1">
        <f>'rockfish harvests'!L142</f>
        <v>3987660.0085104108</v>
      </c>
      <c r="F19" s="1">
        <f>'rockfish harvests'!K192</f>
        <v>60456.943133398883</v>
      </c>
      <c r="G19" s="1">
        <f>'rockfish harvests'!L192</f>
        <v>49601334.787597425</v>
      </c>
      <c r="H19" s="1">
        <f>'rockfish harvests'!K217</f>
        <v>26703.764504283965</v>
      </c>
      <c r="I19" s="1">
        <f>'rockfish harvests'!L217</f>
        <v>4343369.567205376</v>
      </c>
    </row>
    <row r="20" spans="1:26" x14ac:dyDescent="0.25">
      <c r="A20">
        <v>2014</v>
      </c>
      <c r="B20" s="1">
        <f>'rockfish harvests'!K93</f>
        <v>8175.6502099319532</v>
      </c>
      <c r="C20" s="1">
        <f>'rockfish harvests'!L93</f>
        <v>609818.57296968682</v>
      </c>
      <c r="D20" s="1">
        <f>'rockfish harvests'!K143</f>
        <v>58769.197040285006</v>
      </c>
      <c r="E20" s="1">
        <f>'rockfish harvests'!L143</f>
        <v>6732768.2681420343</v>
      </c>
      <c r="F20" s="1">
        <f>'rockfish harvests'!K193</f>
        <v>52866.469599823133</v>
      </c>
      <c r="G20" s="1">
        <f>'rockfish harvests'!L193</f>
        <v>47097436.38695576</v>
      </c>
      <c r="H20" s="1">
        <f>'rockfish harvests'!K218</f>
        <v>28665.725644832062</v>
      </c>
      <c r="I20" s="1">
        <f>'rockfish harvests'!L218</f>
        <v>3862984.9469756186</v>
      </c>
    </row>
    <row r="21" spans="1:26" x14ac:dyDescent="0.25">
      <c r="A21">
        <v>2015</v>
      </c>
      <c r="B21" s="1">
        <f>'rockfish harvests'!K94</f>
        <v>10323.375737407352</v>
      </c>
      <c r="C21" s="1">
        <f>'rockfish harvests'!L94</f>
        <v>811336.58070905623</v>
      </c>
      <c r="D21" s="1">
        <f>'rockfish harvests'!K144</f>
        <v>69974.13981323161</v>
      </c>
      <c r="E21" s="1">
        <f>'rockfish harvests'!L144</f>
        <v>7216831.4803412473</v>
      </c>
      <c r="F21" s="1">
        <f>'rockfish harvests'!K194</f>
        <v>72203.446754112942</v>
      </c>
      <c r="G21" s="1">
        <f>'rockfish harvests'!L194</f>
        <v>59819505.590102598</v>
      </c>
      <c r="H21" s="1">
        <f>'rockfish harvests'!K219</f>
        <v>27128.963774691143</v>
      </c>
      <c r="I21" s="1">
        <f>'rockfish harvests'!L219</f>
        <v>501421.42786728247</v>
      </c>
    </row>
    <row r="22" spans="1:26" x14ac:dyDescent="0.25">
      <c r="A22">
        <v>2016</v>
      </c>
      <c r="B22" s="1">
        <f>'rockfish harvests'!K95</f>
        <v>16446.030487166056</v>
      </c>
      <c r="C22" s="1">
        <f>'rockfish harvests'!L95</f>
        <v>1298638.7245062976</v>
      </c>
      <c r="D22" s="1">
        <f>'rockfish harvests'!K145</f>
        <v>78648.041703490948</v>
      </c>
      <c r="E22" s="1">
        <f>'rockfish harvests'!L145</f>
        <v>6461271.9983784193</v>
      </c>
      <c r="F22" s="1">
        <f>'rockfish harvests'!K195</f>
        <v>93718.548631333717</v>
      </c>
      <c r="G22" s="1">
        <f>'rockfish harvests'!L195</f>
        <v>114245520.83381788</v>
      </c>
      <c r="H22" s="1">
        <f>'rockfish harvests'!K220</f>
        <v>33077.736072598942</v>
      </c>
      <c r="I22" s="1">
        <f>'rockfish harvests'!L220</f>
        <v>690520.60458105023</v>
      </c>
    </row>
    <row r="23" spans="1:26" x14ac:dyDescent="0.25">
      <c r="A23">
        <v>2017</v>
      </c>
      <c r="B23" s="1">
        <f>'rockfish harvests'!K96</f>
        <v>11698.49026093348</v>
      </c>
      <c r="C23" s="1">
        <f>'rockfish harvests'!L96</f>
        <v>525119.78521776723</v>
      </c>
      <c r="D23" s="1">
        <f>'rockfish harvests'!K146</f>
        <v>53863.511532831981</v>
      </c>
      <c r="E23" s="1">
        <f>'rockfish harvests'!L146</f>
        <v>3824430.6766507281</v>
      </c>
      <c r="F23" s="1">
        <f>'rockfish harvests'!K196</f>
        <v>49815.774784613517</v>
      </c>
      <c r="G23" s="1">
        <f>'rockfish harvests'!L196</f>
        <v>29331655.3806163</v>
      </c>
      <c r="H23" s="1">
        <f>'rockfish harvests'!K221</f>
        <v>35955.862161643308</v>
      </c>
      <c r="I23" s="1">
        <f>'rockfish harvests'!L221</f>
        <v>5936209.9806912215</v>
      </c>
    </row>
    <row r="24" spans="1:26" x14ac:dyDescent="0.25">
      <c r="A24">
        <v>2018</v>
      </c>
      <c r="B24" s="1">
        <f>'rockfish harvests'!K97</f>
        <v>23038.600289296046</v>
      </c>
      <c r="C24" s="1">
        <f>'rockfish harvests'!L97</f>
        <v>5460886.0967642423</v>
      </c>
      <c r="D24" s="1">
        <f>'rockfish harvests'!K147</f>
        <v>68922.337515014005</v>
      </c>
      <c r="E24" s="1">
        <f>'rockfish harvests'!L147</f>
        <v>5909265.1225642972</v>
      </c>
      <c r="F24" s="1">
        <f>'rockfish harvests'!K197</f>
        <v>34346.009039310491</v>
      </c>
      <c r="G24" s="1">
        <f>'rockfish harvests'!L197</f>
        <v>18423976.825865198</v>
      </c>
      <c r="H24" s="1">
        <f>'rockfish harvests'!K222</f>
        <v>31869.744857420323</v>
      </c>
      <c r="I24" s="1">
        <f>'rockfish harvests'!L222</f>
        <v>2237274.0611776323</v>
      </c>
    </row>
    <row r="25" spans="1:26" x14ac:dyDescent="0.25">
      <c r="A25">
        <v>2019</v>
      </c>
      <c r="B25" s="1">
        <f>'rockfish harvests'!K98</f>
        <v>27626.493536535585</v>
      </c>
      <c r="C25" s="1">
        <f>'rockfish harvests'!L98</f>
        <v>7400162.779370754</v>
      </c>
      <c r="D25" s="1">
        <f>'rockfish harvests'!K148</f>
        <v>94829.472570734768</v>
      </c>
      <c r="E25" s="1">
        <f>'rockfish harvests'!L148</f>
        <v>14426596.252648354</v>
      </c>
      <c r="F25" s="1">
        <f>'rockfish harvests'!K198</f>
        <v>47084.722103820983</v>
      </c>
      <c r="G25" s="1">
        <f>'rockfish harvests'!L198</f>
        <v>26016565.548853625</v>
      </c>
      <c r="H25" s="1">
        <f>'rockfish harvests'!K223</f>
        <v>40677.352030319438</v>
      </c>
      <c r="I25" s="1">
        <f>'rockfish harvests'!L223</f>
        <v>5326815.9562128652</v>
      </c>
    </row>
    <row r="26" spans="1:26" x14ac:dyDescent="0.25">
      <c r="A26">
        <v>2020</v>
      </c>
      <c r="B26" s="1">
        <f>'rockfish harvests'!K99</f>
        <v>20124.813008130081</v>
      </c>
      <c r="C26" s="1">
        <f>'rockfish harvests'!L99</f>
        <v>6856537.925024569</v>
      </c>
      <c r="D26" s="1">
        <f>'rockfish harvests'!K149</f>
        <v>57769.767557261875</v>
      </c>
      <c r="E26" s="1">
        <f>'rockfish harvests'!L149</f>
        <v>3787465.8304927479</v>
      </c>
      <c r="F26" s="1">
        <f>'rockfish harvests'!K199</f>
        <v>27606.884326200114</v>
      </c>
      <c r="G26" s="1">
        <f>'rockfish harvests'!L199</f>
        <v>9865637.9851696268</v>
      </c>
      <c r="H26" s="1">
        <f>'rockfish harvests'!K224</f>
        <v>35825.101942397858</v>
      </c>
      <c r="I26" s="1">
        <f>'rockfish harvests'!L224</f>
        <v>3018032.5104616564</v>
      </c>
    </row>
    <row r="27" spans="1:26" x14ac:dyDescent="0.25">
      <c r="A27">
        <v>2021</v>
      </c>
      <c r="B27" s="1">
        <f>'rockfish harvests'!K100</f>
        <v>21394.269439133204</v>
      </c>
      <c r="C27" s="1">
        <f>'rockfish harvests'!L100</f>
        <v>3061133.8312190818</v>
      </c>
      <c r="D27" s="1">
        <f>'rockfish harvests'!K150</f>
        <v>107690.02548250904</v>
      </c>
      <c r="E27" s="1">
        <f>'rockfish harvests'!L150</f>
        <v>11012636.577756885</v>
      </c>
      <c r="F27" s="1">
        <f>'rockfish harvests'!K200</f>
        <v>43560.114727976325</v>
      </c>
      <c r="G27" s="1">
        <f>'rockfish harvests'!L200</f>
        <v>21799295.268585149</v>
      </c>
      <c r="H27" s="1">
        <f>'rockfish harvests'!K225</f>
        <v>46778.881695504591</v>
      </c>
      <c r="I27" s="1">
        <f>'rockfish harvests'!L225</f>
        <v>4846611.7748930994</v>
      </c>
    </row>
    <row r="29" spans="1:26" x14ac:dyDescent="0.25">
      <c r="A29" s="109" t="s">
        <v>95</v>
      </c>
      <c r="B29" s="109"/>
      <c r="C29" s="109"/>
      <c r="D29" s="109"/>
      <c r="E29" s="109"/>
      <c r="F29" s="109"/>
      <c r="G29" s="109"/>
      <c r="H29" s="109"/>
      <c r="I29" s="9"/>
    </row>
    <row r="30" spans="1:26" x14ac:dyDescent="0.25">
      <c r="A30" t="s">
        <v>34</v>
      </c>
      <c r="B30" s="109" t="s">
        <v>47</v>
      </c>
      <c r="C30" s="109"/>
      <c r="D30" s="109" t="s">
        <v>49</v>
      </c>
      <c r="E30" s="109"/>
      <c r="F30" s="109" t="s">
        <v>51</v>
      </c>
      <c r="G30" s="109"/>
      <c r="H30" s="109" t="s">
        <v>52</v>
      </c>
      <c r="I30" s="109"/>
      <c r="J30" s="109" t="s">
        <v>153</v>
      </c>
      <c r="K30" s="109"/>
      <c r="L30" s="109"/>
      <c r="M30" s="109"/>
      <c r="N30" s="9"/>
      <c r="O30" s="100"/>
      <c r="P30" t="s">
        <v>34</v>
      </c>
      <c r="Q30" s="109" t="s">
        <v>47</v>
      </c>
      <c r="R30" s="109"/>
      <c r="S30" s="109" t="s">
        <v>49</v>
      </c>
      <c r="T30" s="109"/>
      <c r="U30" s="109" t="s">
        <v>51</v>
      </c>
      <c r="V30" s="109"/>
      <c r="W30" s="109" t="s">
        <v>52</v>
      </c>
      <c r="X30" s="109"/>
      <c r="Y30" s="109" t="s">
        <v>153</v>
      </c>
      <c r="Z30" s="109"/>
    </row>
    <row r="31" spans="1:26" x14ac:dyDescent="0.25">
      <c r="B31" s="9" t="s">
        <v>138</v>
      </c>
      <c r="C31" s="9" t="s">
        <v>139</v>
      </c>
      <c r="D31" s="9" t="s">
        <v>138</v>
      </c>
      <c r="E31" s="9" t="s">
        <v>139</v>
      </c>
      <c r="F31" s="9" t="s">
        <v>138</v>
      </c>
      <c r="G31" s="9" t="s">
        <v>139</v>
      </c>
      <c r="H31" s="9" t="s">
        <v>138</v>
      </c>
      <c r="I31" s="9" t="s">
        <v>139</v>
      </c>
      <c r="J31" s="9" t="s">
        <v>138</v>
      </c>
      <c r="K31" s="9" t="s">
        <v>154</v>
      </c>
      <c r="L31" s="9" t="s">
        <v>155</v>
      </c>
      <c r="M31" s="9" t="s">
        <v>156</v>
      </c>
      <c r="N31" s="9"/>
      <c r="O31" s="100"/>
      <c r="Q31" s="9" t="s">
        <v>138</v>
      </c>
      <c r="R31" s="9" t="s">
        <v>175</v>
      </c>
      <c r="S31" s="9" t="s">
        <v>138</v>
      </c>
      <c r="T31" s="9" t="s">
        <v>175</v>
      </c>
      <c r="U31" s="9" t="s">
        <v>138</v>
      </c>
      <c r="V31" s="9" t="s">
        <v>175</v>
      </c>
      <c r="W31" s="9" t="s">
        <v>138</v>
      </c>
      <c r="X31" s="9" t="s">
        <v>175</v>
      </c>
      <c r="Y31" s="9" t="s">
        <v>138</v>
      </c>
      <c r="Z31" s="9" t="s">
        <v>175</v>
      </c>
    </row>
    <row r="32" spans="1:26" x14ac:dyDescent="0.25">
      <c r="A32">
        <v>1998</v>
      </c>
      <c r="B32" s="1">
        <f>'BRF harvest'!V78</f>
        <v>578.53455141688505</v>
      </c>
      <c r="C32" s="1">
        <f>'BRF harvest'!W78</f>
        <v>24453.235304111226</v>
      </c>
      <c r="D32" s="1">
        <f>'BRF harvest'!V128</f>
        <v>5466.6655263115563</v>
      </c>
      <c r="E32" s="1">
        <f>'BRF harvest'!W128</f>
        <v>250668.40236122318</v>
      </c>
      <c r="F32" s="1">
        <f>'BRF harvest'!V178</f>
        <v>5782.7947797130391</v>
      </c>
      <c r="G32" s="1">
        <f>'BRF harvest'!W178</f>
        <v>4724262.1030070558</v>
      </c>
      <c r="H32" s="1">
        <f>'BRF harvest'!V203</f>
        <v>6210.8484296374581</v>
      </c>
      <c r="I32" s="1">
        <f>'BRF harvest'!W203</f>
        <v>282876.687392978</v>
      </c>
      <c r="J32" s="2">
        <f>H32+F32+D32+B32</f>
        <v>18038.843287078937</v>
      </c>
      <c r="K32" s="1">
        <f>SUM(C32,E32,G32,I32)</f>
        <v>5282260.428065368</v>
      </c>
      <c r="L32">
        <f>SQRT(K32)</f>
        <v>2298.316868507336</v>
      </c>
      <c r="M32" s="14">
        <f>L32/J32</f>
        <v>0.1274093261929716</v>
      </c>
      <c r="N32" s="14"/>
      <c r="O32" s="101"/>
      <c r="P32">
        <v>1998</v>
      </c>
      <c r="Q32" s="1">
        <f t="shared" ref="Q32:Q56" si="0">B32</f>
        <v>578.53455141688505</v>
      </c>
      <c r="R32" s="102">
        <f t="shared" ref="R32:R56" si="1">SQRT(C32)/Q32</f>
        <v>0.27029552919129962</v>
      </c>
      <c r="S32" s="1">
        <f t="shared" ref="S32:S56" si="2">D32</f>
        <v>5466.6655263115563</v>
      </c>
      <c r="T32" s="102">
        <f t="shared" ref="T32:T56" si="3">SQRT(E32)/S32</f>
        <v>9.1585620848025823E-2</v>
      </c>
      <c r="U32" s="1">
        <f t="shared" ref="U32:U56" si="4">F32</f>
        <v>5782.7947797130391</v>
      </c>
      <c r="V32" s="102">
        <f t="shared" ref="V32:V56" si="5">SQRT(G32)/U32</f>
        <v>0.37586268502775905</v>
      </c>
      <c r="W32" s="1">
        <f t="shared" ref="W32:W56" si="6">H32</f>
        <v>6210.8484296374581</v>
      </c>
      <c r="X32" s="102">
        <f t="shared" ref="X32:X56" si="7">SQRT(I32)/W32</f>
        <v>8.563427948799085E-2</v>
      </c>
      <c r="Y32" s="2">
        <f>W32+U32+S32+Q32</f>
        <v>18038.843287078937</v>
      </c>
      <c r="Z32" s="102">
        <f>M32</f>
        <v>0.1274093261929716</v>
      </c>
    </row>
    <row r="33" spans="1:26" x14ac:dyDescent="0.25">
      <c r="A33">
        <v>1999</v>
      </c>
      <c r="B33" s="1">
        <f>'BRF harvest'!V79</f>
        <v>751.39027159133684</v>
      </c>
      <c r="C33" s="1">
        <f>'BRF harvest'!W79</f>
        <v>26767.254665377077</v>
      </c>
      <c r="D33" s="1">
        <f>'BRF harvest'!V129</f>
        <v>10242.860908993258</v>
      </c>
      <c r="E33" s="1">
        <f>'BRF harvest'!W129</f>
        <v>461961.44771590695</v>
      </c>
      <c r="F33" s="1">
        <f>'BRF harvest'!V179</f>
        <v>7706.5327486835577</v>
      </c>
      <c r="G33" s="1">
        <f>'BRF harvest'!W179</f>
        <v>2698581.9920792156</v>
      </c>
      <c r="H33" s="1">
        <f>'BRF harvest'!V204</f>
        <v>3885.9375357170275</v>
      </c>
      <c r="I33" s="1">
        <f>'BRF harvest'!W204</f>
        <v>112516.97997231169</v>
      </c>
      <c r="J33" s="2">
        <f t="shared" ref="J33:J52" si="8">H33+F33+D33+B33</f>
        <v>22586.721464985178</v>
      </c>
      <c r="K33" s="1">
        <f t="shared" ref="K33:K53" si="9">SUM(C33,E33,G33,I33)</f>
        <v>3299827.6744328113</v>
      </c>
      <c r="L33">
        <f t="shared" ref="L33:L53" si="10">SQRT(K33)</f>
        <v>1816.542780787948</v>
      </c>
      <c r="M33" s="14">
        <f t="shared" ref="M33:M53" si="11">L33/J33</f>
        <v>8.0425252669096933E-2</v>
      </c>
      <c r="N33" s="14"/>
      <c r="O33" s="101"/>
      <c r="P33">
        <v>1999</v>
      </c>
      <c r="Q33" s="1">
        <f t="shared" si="0"/>
        <v>751.39027159133684</v>
      </c>
      <c r="R33" s="102">
        <f t="shared" si="1"/>
        <v>0.21773906193806575</v>
      </c>
      <c r="S33" s="1">
        <f t="shared" si="2"/>
        <v>10242.860908993258</v>
      </c>
      <c r="T33" s="102">
        <f t="shared" si="3"/>
        <v>6.6356212842219015E-2</v>
      </c>
      <c r="U33" s="1">
        <f t="shared" si="4"/>
        <v>7706.5327486835577</v>
      </c>
      <c r="V33" s="102">
        <f t="shared" si="5"/>
        <v>0.2131615063932589</v>
      </c>
      <c r="W33" s="1">
        <f t="shared" si="6"/>
        <v>3885.9375357170275</v>
      </c>
      <c r="X33" s="102">
        <f t="shared" si="7"/>
        <v>8.6320355084210723E-2</v>
      </c>
      <c r="Y33" s="2">
        <f t="shared" ref="Y33:Y56" si="12">W33+U33+S33+Q33</f>
        <v>22586.721464985178</v>
      </c>
      <c r="Z33" s="102">
        <f t="shared" ref="Z33:Z56" si="13">M33</f>
        <v>8.0425252669096933E-2</v>
      </c>
    </row>
    <row r="34" spans="1:26" x14ac:dyDescent="0.25">
      <c r="A34">
        <v>2000</v>
      </c>
      <c r="B34" s="1">
        <f>'BRF harvest'!V80</f>
        <v>901.41361690864096</v>
      </c>
      <c r="C34" s="1">
        <f>'BRF harvest'!W80</f>
        <v>55350.357838362754</v>
      </c>
      <c r="D34" s="1">
        <f>'BRF harvest'!V130</f>
        <v>14224.29644185862</v>
      </c>
      <c r="E34" s="1">
        <f>'BRF harvest'!W130</f>
        <v>1530660.9185257195</v>
      </c>
      <c r="F34" s="1">
        <f>'BRF harvest'!V180</f>
        <v>12191.407787586344</v>
      </c>
      <c r="G34" s="1">
        <f>'BRF harvest'!W180</f>
        <v>9182584.2055575103</v>
      </c>
      <c r="H34" s="1">
        <f>'BRF harvest'!V205</f>
        <v>8257.8405477728738</v>
      </c>
      <c r="I34" s="1">
        <f>'BRF harvest'!W205</f>
        <v>465268.51345418044</v>
      </c>
      <c r="J34" s="2">
        <f t="shared" si="8"/>
        <v>35574.958394126479</v>
      </c>
      <c r="K34" s="1">
        <f t="shared" si="9"/>
        <v>11233863.995375773</v>
      </c>
      <c r="L34">
        <f t="shared" si="10"/>
        <v>3351.6956895541357</v>
      </c>
      <c r="M34" s="14">
        <f t="shared" si="11"/>
        <v>9.4215027672597637E-2</v>
      </c>
      <c r="N34" s="14"/>
      <c r="O34" s="101"/>
      <c r="P34">
        <v>2000</v>
      </c>
      <c r="Q34" s="1">
        <f t="shared" si="0"/>
        <v>901.41361690864096</v>
      </c>
      <c r="R34" s="102">
        <f t="shared" si="1"/>
        <v>0.26099735260712276</v>
      </c>
      <c r="S34" s="1">
        <f t="shared" si="2"/>
        <v>14224.29644185862</v>
      </c>
      <c r="T34" s="102">
        <f t="shared" si="3"/>
        <v>8.697785682241474E-2</v>
      </c>
      <c r="U34" s="1">
        <f t="shared" si="4"/>
        <v>12191.407787586344</v>
      </c>
      <c r="V34" s="102">
        <f t="shared" si="5"/>
        <v>0.24855848986118695</v>
      </c>
      <c r="W34" s="1">
        <f t="shared" si="6"/>
        <v>8257.8405477728738</v>
      </c>
      <c r="X34" s="102">
        <f t="shared" si="7"/>
        <v>8.2601006413950684E-2</v>
      </c>
      <c r="Y34" s="2">
        <f t="shared" si="12"/>
        <v>35574.958394126479</v>
      </c>
      <c r="Z34" s="102">
        <f t="shared" si="13"/>
        <v>9.4215027672597637E-2</v>
      </c>
    </row>
    <row r="35" spans="1:26" x14ac:dyDescent="0.25">
      <c r="A35">
        <v>2001</v>
      </c>
      <c r="B35" s="1">
        <f>'BRF harvest'!V81</f>
        <v>575.45358630962255</v>
      </c>
      <c r="C35" s="1">
        <f>'BRF harvest'!W81</f>
        <v>15747.601645942177</v>
      </c>
      <c r="D35" s="1">
        <f>'BRF harvest'!V131</f>
        <v>24400.137754369596</v>
      </c>
      <c r="E35" s="1">
        <f>'BRF harvest'!W131</f>
        <v>3655849.6909952732</v>
      </c>
      <c r="F35" s="1">
        <f>'BRF harvest'!V181</f>
        <v>4739.1301098851554</v>
      </c>
      <c r="G35" s="1">
        <f>'BRF harvest'!W181</f>
        <v>221009.83513456935</v>
      </c>
      <c r="H35" s="1">
        <f>'BRF harvest'!V206</f>
        <v>8998.1267014057557</v>
      </c>
      <c r="I35" s="1">
        <f>'BRF harvest'!W206</f>
        <v>570849.81655789411</v>
      </c>
      <c r="J35" s="2">
        <f t="shared" si="8"/>
        <v>38712.848151970131</v>
      </c>
      <c r="K35" s="1">
        <f t="shared" si="9"/>
        <v>4463456.944333679</v>
      </c>
      <c r="L35">
        <f t="shared" si="10"/>
        <v>2112.6895049518466</v>
      </c>
      <c r="M35" s="14">
        <f t="shared" si="11"/>
        <v>5.4573342076468481E-2</v>
      </c>
      <c r="N35" s="14"/>
      <c r="O35" s="101"/>
      <c r="P35">
        <v>2001</v>
      </c>
      <c r="Q35" s="1">
        <f t="shared" si="0"/>
        <v>575.45358630962255</v>
      </c>
      <c r="R35" s="102">
        <f t="shared" si="1"/>
        <v>0.21807049487657432</v>
      </c>
      <c r="S35" s="1">
        <f t="shared" si="2"/>
        <v>24400.137754369596</v>
      </c>
      <c r="T35" s="102">
        <f t="shared" si="3"/>
        <v>7.8361346067254298E-2</v>
      </c>
      <c r="U35" s="1">
        <f t="shared" si="4"/>
        <v>4739.1301098851554</v>
      </c>
      <c r="V35" s="102">
        <f t="shared" si="5"/>
        <v>9.9198971217613355E-2</v>
      </c>
      <c r="W35" s="1">
        <f t="shared" si="6"/>
        <v>8998.1267014057557</v>
      </c>
      <c r="X35" s="102">
        <f t="shared" si="7"/>
        <v>8.3967037111983972E-2</v>
      </c>
      <c r="Y35" s="2">
        <f t="shared" si="12"/>
        <v>38712.848151970131</v>
      </c>
      <c r="Z35" s="102">
        <f t="shared" si="13"/>
        <v>5.4573342076468481E-2</v>
      </c>
    </row>
    <row r="36" spans="1:26" x14ac:dyDescent="0.25">
      <c r="A36">
        <v>2002</v>
      </c>
      <c r="B36" s="1">
        <f>'BRF harvest'!V82</f>
        <v>1542.1107425049988</v>
      </c>
      <c r="C36" s="1">
        <f>'BRF harvest'!W82</f>
        <v>161315.84575089146</v>
      </c>
      <c r="D36" s="1">
        <f>'BRF harvest'!V132</f>
        <v>19832.929397123138</v>
      </c>
      <c r="E36" s="1">
        <f>'BRF harvest'!W132</f>
        <v>2600208.1375268362</v>
      </c>
      <c r="F36" s="1">
        <f>'BRF harvest'!V182</f>
        <v>9001.1135507301042</v>
      </c>
      <c r="G36" s="1">
        <f>'BRF harvest'!W182</f>
        <v>2649484.0063165394</v>
      </c>
      <c r="H36" s="1">
        <f>'BRF harvest'!V207</f>
        <v>7467.0971839415743</v>
      </c>
      <c r="I36" s="1">
        <f>'BRF harvest'!W207</f>
        <v>445637.46533528995</v>
      </c>
      <c r="J36" s="2">
        <f t="shared" si="8"/>
        <v>37843.250874299818</v>
      </c>
      <c r="K36" s="1">
        <f t="shared" si="9"/>
        <v>5856645.4549295576</v>
      </c>
      <c r="L36">
        <f t="shared" si="10"/>
        <v>2420.0507132970492</v>
      </c>
      <c r="M36" s="14">
        <f t="shared" si="11"/>
        <v>6.3949334620735737E-2</v>
      </c>
      <c r="N36" s="14"/>
      <c r="O36" s="101"/>
      <c r="P36">
        <v>2002</v>
      </c>
      <c r="Q36" s="1">
        <f t="shared" si="0"/>
        <v>1542.1107425049988</v>
      </c>
      <c r="R36" s="102">
        <f t="shared" si="1"/>
        <v>0.26044915466481461</v>
      </c>
      <c r="S36" s="1">
        <f t="shared" si="2"/>
        <v>19832.929397123138</v>
      </c>
      <c r="T36" s="102">
        <f t="shared" si="3"/>
        <v>8.1304988122896521E-2</v>
      </c>
      <c r="U36" s="1">
        <f t="shared" si="4"/>
        <v>9001.1135507301042</v>
      </c>
      <c r="V36" s="102">
        <f t="shared" si="5"/>
        <v>0.1808357995397428</v>
      </c>
      <c r="W36" s="1">
        <f t="shared" si="6"/>
        <v>7467.0971839415743</v>
      </c>
      <c r="X36" s="102">
        <f t="shared" si="7"/>
        <v>8.9400313969500433E-2</v>
      </c>
      <c r="Y36" s="2">
        <f t="shared" si="12"/>
        <v>37843.250874299818</v>
      </c>
      <c r="Z36" s="102">
        <f t="shared" si="13"/>
        <v>6.3949334620735737E-2</v>
      </c>
    </row>
    <row r="37" spans="1:26" x14ac:dyDescent="0.25">
      <c r="A37">
        <v>2003</v>
      </c>
      <c r="B37" s="1">
        <f>'BRF harvest'!V83</f>
        <v>3814.0819528108018</v>
      </c>
      <c r="C37" s="1">
        <f>'BRF harvest'!W83</f>
        <v>447251.40630785812</v>
      </c>
      <c r="D37" s="1">
        <f>'BRF harvest'!V133</f>
        <v>18852.364102736181</v>
      </c>
      <c r="E37" s="1">
        <f>'BRF harvest'!W133</f>
        <v>2713225.1356024672</v>
      </c>
      <c r="F37" s="1">
        <f>'BRF harvest'!V183</f>
        <v>25435.09213030486</v>
      </c>
      <c r="G37" s="1">
        <f>'BRF harvest'!W183</f>
        <v>29045808.49462099</v>
      </c>
      <c r="H37" s="1">
        <f>'BRF harvest'!V208</f>
        <v>8752.0048103287118</v>
      </c>
      <c r="I37" s="1">
        <f>'BRF harvest'!W208</f>
        <v>743552.10540119198</v>
      </c>
      <c r="J37" s="2">
        <f t="shared" si="8"/>
        <v>56853.542996180557</v>
      </c>
      <c r="K37" s="1">
        <f t="shared" si="9"/>
        <v>32949837.141932506</v>
      </c>
      <c r="L37">
        <f t="shared" si="10"/>
        <v>5740.1948696827794</v>
      </c>
      <c r="M37" s="14">
        <f t="shared" si="11"/>
        <v>0.10096459371174824</v>
      </c>
      <c r="N37" s="14"/>
      <c r="O37" s="101"/>
      <c r="P37">
        <v>2003</v>
      </c>
      <c r="Q37" s="1">
        <f t="shared" si="0"/>
        <v>3814.0819528108018</v>
      </c>
      <c r="R37" s="102">
        <f t="shared" si="1"/>
        <v>0.17534195196272795</v>
      </c>
      <c r="S37" s="1">
        <f t="shared" si="2"/>
        <v>18852.364102736181</v>
      </c>
      <c r="T37" s="102">
        <f t="shared" si="3"/>
        <v>8.7372969684266347E-2</v>
      </c>
      <c r="U37" s="1">
        <f t="shared" si="4"/>
        <v>25435.09213030486</v>
      </c>
      <c r="V37" s="102">
        <f t="shared" si="5"/>
        <v>0.21188900410514425</v>
      </c>
      <c r="W37" s="1">
        <f t="shared" si="6"/>
        <v>8752.0048103287118</v>
      </c>
      <c r="X37" s="102">
        <f t="shared" si="7"/>
        <v>9.852538852879475E-2</v>
      </c>
      <c r="Y37" s="2">
        <f t="shared" si="12"/>
        <v>56853.542996180557</v>
      </c>
      <c r="Z37" s="102">
        <f t="shared" si="13"/>
        <v>0.10096459371174824</v>
      </c>
    </row>
    <row r="38" spans="1:26" x14ac:dyDescent="0.25">
      <c r="A38">
        <v>2004</v>
      </c>
      <c r="B38" s="1">
        <f>'BRF harvest'!V84</f>
        <v>3185.9049884220885</v>
      </c>
      <c r="C38" s="1">
        <f>'BRF harvest'!W84</f>
        <v>674849.84762323322</v>
      </c>
      <c r="D38" s="1">
        <f>'BRF harvest'!V134</f>
        <v>21306.208786153475</v>
      </c>
      <c r="E38" s="1">
        <f>'BRF harvest'!W134</f>
        <v>2868823.7169691208</v>
      </c>
      <c r="F38" s="1">
        <f>'BRF harvest'!V184</f>
        <v>18585.405126219623</v>
      </c>
      <c r="G38" s="1">
        <f>'BRF harvest'!W184</f>
        <v>14241938.52712664</v>
      </c>
      <c r="H38" s="1">
        <f>'BRF harvest'!V209</f>
        <v>10314.910298495874</v>
      </c>
      <c r="I38" s="1">
        <f>'BRF harvest'!W209</f>
        <v>761302.91640415858</v>
      </c>
      <c r="J38" s="2">
        <f t="shared" si="8"/>
        <v>53392.429199291058</v>
      </c>
      <c r="K38" s="1">
        <f t="shared" si="9"/>
        <v>18546915.008123152</v>
      </c>
      <c r="L38">
        <f t="shared" si="10"/>
        <v>4306.612939204445</v>
      </c>
      <c r="M38" s="14">
        <f t="shared" si="11"/>
        <v>8.0659617923164811E-2</v>
      </c>
      <c r="N38" s="14"/>
      <c r="O38" s="101"/>
      <c r="P38">
        <v>2004</v>
      </c>
      <c r="Q38" s="1">
        <f t="shared" si="0"/>
        <v>3185.9049884220885</v>
      </c>
      <c r="R38" s="102">
        <f t="shared" si="1"/>
        <v>0.25785215012195734</v>
      </c>
      <c r="S38" s="1">
        <f t="shared" si="2"/>
        <v>21306.208786153475</v>
      </c>
      <c r="T38" s="102">
        <f t="shared" si="3"/>
        <v>7.9496087129843379E-2</v>
      </c>
      <c r="U38" s="1">
        <f t="shared" si="4"/>
        <v>18585.405126219623</v>
      </c>
      <c r="V38" s="102">
        <f t="shared" si="5"/>
        <v>0.20305445443792022</v>
      </c>
      <c r="W38" s="1">
        <f t="shared" si="6"/>
        <v>10314.910298495874</v>
      </c>
      <c r="X38" s="102">
        <f t="shared" si="7"/>
        <v>8.4588883205549206E-2</v>
      </c>
      <c r="Y38" s="2">
        <f t="shared" si="12"/>
        <v>53392.429199291058</v>
      </c>
      <c r="Z38" s="102">
        <f t="shared" si="13"/>
        <v>8.0659617923164811E-2</v>
      </c>
    </row>
    <row r="39" spans="1:26" x14ac:dyDescent="0.25">
      <c r="A39">
        <v>2005</v>
      </c>
      <c r="B39" s="1">
        <f>'BRF harvest'!V85</f>
        <v>2621.0288637325798</v>
      </c>
      <c r="C39" s="1">
        <f>'BRF harvest'!W85</f>
        <v>270272.55217448488</v>
      </c>
      <c r="D39" s="1">
        <f>'BRF harvest'!V135</f>
        <v>24400.436306365173</v>
      </c>
      <c r="E39" s="1">
        <f>'BRF harvest'!W135</f>
        <v>3387619.1336628995</v>
      </c>
      <c r="F39" s="1">
        <f>'BRF harvest'!V185</f>
        <v>8129.0396975295071</v>
      </c>
      <c r="G39" s="1">
        <f>'BRF harvest'!W185</f>
        <v>35970.649891432389</v>
      </c>
      <c r="H39" s="1">
        <f>'BRF harvest'!V210</f>
        <v>8700.3739169732762</v>
      </c>
      <c r="I39" s="1">
        <f>'BRF harvest'!W210</f>
        <v>706967.65139611915</v>
      </c>
      <c r="J39" s="2">
        <f t="shared" si="8"/>
        <v>43850.878784600536</v>
      </c>
      <c r="K39" s="1">
        <f t="shared" si="9"/>
        <v>4400829.9871249357</v>
      </c>
      <c r="L39">
        <f t="shared" si="10"/>
        <v>2097.8155274296487</v>
      </c>
      <c r="M39" s="14">
        <f t="shared" si="11"/>
        <v>4.7839760241392366E-2</v>
      </c>
      <c r="N39" s="14"/>
      <c r="O39" s="101"/>
      <c r="P39">
        <v>2005</v>
      </c>
      <c r="Q39" s="1">
        <f t="shared" si="0"/>
        <v>2621.0288637325798</v>
      </c>
      <c r="R39" s="102">
        <f t="shared" si="1"/>
        <v>0.19834861292990491</v>
      </c>
      <c r="S39" s="1">
        <f t="shared" si="2"/>
        <v>24400.436306365173</v>
      </c>
      <c r="T39" s="102">
        <f t="shared" si="3"/>
        <v>7.5430970689805033E-2</v>
      </c>
      <c r="U39" s="1">
        <f t="shared" si="4"/>
        <v>8129.0396975295071</v>
      </c>
      <c r="V39" s="102">
        <f t="shared" si="5"/>
        <v>2.3331082953103394E-2</v>
      </c>
      <c r="W39" s="1">
        <f t="shared" si="6"/>
        <v>8700.3739169732762</v>
      </c>
      <c r="X39" s="102">
        <f t="shared" si="7"/>
        <v>9.6641097513674251E-2</v>
      </c>
      <c r="Y39" s="2">
        <f t="shared" si="12"/>
        <v>43850.878784600536</v>
      </c>
      <c r="Z39" s="102">
        <f t="shared" si="13"/>
        <v>4.7839760241392366E-2</v>
      </c>
    </row>
    <row r="40" spans="1:26" x14ac:dyDescent="0.25">
      <c r="A40">
        <v>2006</v>
      </c>
      <c r="B40" s="1">
        <f>'BRF harvest'!V86</f>
        <v>1625.5843539926127</v>
      </c>
      <c r="C40" s="1">
        <f>'BRF harvest'!W86</f>
        <v>177480.96602179724</v>
      </c>
      <c r="D40" s="1">
        <f>'BRF harvest'!V136</f>
        <v>20495.339205870332</v>
      </c>
      <c r="E40" s="1">
        <f>'BRF harvest'!W136</f>
        <v>2152794.1560844234</v>
      </c>
      <c r="F40" s="1">
        <f>'BRF harvest'!V186</f>
        <v>13912.932844945317</v>
      </c>
      <c r="G40" s="1">
        <f>'BRF harvest'!W186</f>
        <v>8822334.0177374613</v>
      </c>
      <c r="H40" s="1">
        <f>'BRF harvest'!V211</f>
        <v>7293.5996667101936</v>
      </c>
      <c r="I40" s="1">
        <f>'BRF harvest'!W211</f>
        <v>445407.26034270978</v>
      </c>
      <c r="J40" s="2">
        <f t="shared" si="8"/>
        <v>43327.456071518456</v>
      </c>
      <c r="K40" s="1">
        <f t="shared" si="9"/>
        <v>11598016.400186392</v>
      </c>
      <c r="L40">
        <f t="shared" si="10"/>
        <v>3405.5860582558166</v>
      </c>
      <c r="M40" s="14">
        <f t="shared" si="11"/>
        <v>7.8601108097239469E-2</v>
      </c>
      <c r="N40" s="14"/>
      <c r="O40" s="101"/>
      <c r="P40">
        <v>2006</v>
      </c>
      <c r="Q40" s="1">
        <f t="shared" si="0"/>
        <v>1625.5843539926127</v>
      </c>
      <c r="R40" s="102">
        <f t="shared" si="1"/>
        <v>0.25915905123118965</v>
      </c>
      <c r="S40" s="1">
        <f t="shared" si="2"/>
        <v>20495.339205870332</v>
      </c>
      <c r="T40" s="102">
        <f t="shared" si="3"/>
        <v>7.1588974696870006E-2</v>
      </c>
      <c r="U40" s="1">
        <f t="shared" si="4"/>
        <v>13912.932844945317</v>
      </c>
      <c r="V40" s="102">
        <f t="shared" si="5"/>
        <v>0.21348779875665155</v>
      </c>
      <c r="W40" s="1">
        <f t="shared" si="6"/>
        <v>7293.5996667101936</v>
      </c>
      <c r="X40" s="102">
        <f t="shared" si="7"/>
        <v>9.1503293082468865E-2</v>
      </c>
      <c r="Y40" s="2">
        <f t="shared" si="12"/>
        <v>43327.456071518456</v>
      </c>
      <c r="Z40" s="102">
        <f t="shared" si="13"/>
        <v>7.8601108097239469E-2</v>
      </c>
    </row>
    <row r="41" spans="1:26" x14ac:dyDescent="0.25">
      <c r="A41">
        <v>2007</v>
      </c>
      <c r="B41" s="1">
        <f>'BRF harvest'!V87</f>
        <v>1700.3805316267767</v>
      </c>
      <c r="C41" s="1">
        <f>'BRF harvest'!W87</f>
        <v>193480.39680984299</v>
      </c>
      <c r="D41" s="1">
        <f>'BRF harvest'!V137</f>
        <v>27234.791138684028</v>
      </c>
      <c r="E41" s="1">
        <f>'BRF harvest'!W137</f>
        <v>4060296.2560700756</v>
      </c>
      <c r="F41" s="1">
        <f>'BRF harvest'!V187</f>
        <v>28589.142924192056</v>
      </c>
      <c r="G41" s="1">
        <f>'BRF harvest'!W187</f>
        <v>37587815.978151619</v>
      </c>
      <c r="H41" s="1">
        <f>'BRF harvest'!V212</f>
        <v>9945.281928068971</v>
      </c>
      <c r="I41" s="1">
        <f>'BRF harvest'!W212</f>
        <v>790501.6373367242</v>
      </c>
      <c r="J41" s="2">
        <f t="shared" si="8"/>
        <v>67469.596522571839</v>
      </c>
      <c r="K41" s="1">
        <f t="shared" si="9"/>
        <v>42632094.268368259</v>
      </c>
      <c r="L41">
        <f t="shared" si="10"/>
        <v>6529.3257131474347</v>
      </c>
      <c r="M41" s="14">
        <f t="shared" si="11"/>
        <v>9.6774340587068131E-2</v>
      </c>
      <c r="N41" s="14"/>
      <c r="O41" s="101"/>
      <c r="P41">
        <v>2007</v>
      </c>
      <c r="Q41" s="1">
        <f t="shared" si="0"/>
        <v>1700.3805316267767</v>
      </c>
      <c r="R41" s="102">
        <f t="shared" si="1"/>
        <v>0.25868566365282386</v>
      </c>
      <c r="S41" s="1">
        <f t="shared" si="2"/>
        <v>27234.791138684028</v>
      </c>
      <c r="T41" s="102">
        <f t="shared" si="3"/>
        <v>7.3986896799339869E-2</v>
      </c>
      <c r="U41" s="1">
        <f t="shared" si="4"/>
        <v>28589.142924192056</v>
      </c>
      <c r="V41" s="102">
        <f t="shared" si="5"/>
        <v>0.21444820241814824</v>
      </c>
      <c r="W41" s="1">
        <f t="shared" si="6"/>
        <v>9945.281928068971</v>
      </c>
      <c r="X41" s="102">
        <f t="shared" si="7"/>
        <v>8.9399334923680088E-2</v>
      </c>
      <c r="Y41" s="2">
        <f t="shared" si="12"/>
        <v>67469.596522571839</v>
      </c>
      <c r="Z41" s="102">
        <f t="shared" si="13"/>
        <v>9.6774340587068131E-2</v>
      </c>
    </row>
    <row r="42" spans="1:26" x14ac:dyDescent="0.25">
      <c r="A42">
        <v>2008</v>
      </c>
      <c r="B42" s="1">
        <f>'BRF harvest'!V88</f>
        <v>1440.1733811779754</v>
      </c>
      <c r="C42" s="1">
        <f>'BRF harvest'!W88</f>
        <v>138644.69301740036</v>
      </c>
      <c r="D42" s="1">
        <f>'BRF harvest'!V138</f>
        <v>28695.453459364187</v>
      </c>
      <c r="E42" s="1">
        <f>'BRF harvest'!W138</f>
        <v>4678851.8176966486</v>
      </c>
      <c r="F42" s="1">
        <f>'BRF harvest'!V188</f>
        <v>19587.431284498049</v>
      </c>
      <c r="G42" s="1">
        <f>'BRF harvest'!W188</f>
        <v>17975027.334141091</v>
      </c>
      <c r="H42" s="1">
        <f>'BRF harvest'!V213</f>
        <v>11067.568207848319</v>
      </c>
      <c r="I42" s="1">
        <f>'BRF harvest'!W213</f>
        <v>966148.72245283937</v>
      </c>
      <c r="J42" s="2">
        <f t="shared" si="8"/>
        <v>60790.626332888532</v>
      </c>
      <c r="K42" s="1">
        <f t="shared" si="9"/>
        <v>23758672.567307979</v>
      </c>
      <c r="L42">
        <f t="shared" si="10"/>
        <v>4874.2868778220245</v>
      </c>
      <c r="M42" s="14">
        <f t="shared" si="11"/>
        <v>8.0181553832502153E-2</v>
      </c>
      <c r="N42" s="14"/>
      <c r="O42" s="101"/>
      <c r="P42">
        <v>2008</v>
      </c>
      <c r="Q42" s="1">
        <f t="shared" si="0"/>
        <v>1440.1733811779754</v>
      </c>
      <c r="R42" s="102">
        <f t="shared" si="1"/>
        <v>0.25854541810097242</v>
      </c>
      <c r="S42" s="1">
        <f t="shared" si="2"/>
        <v>28695.453459364187</v>
      </c>
      <c r="T42" s="102">
        <f t="shared" si="3"/>
        <v>7.5380072955955113E-2</v>
      </c>
      <c r="U42" s="1">
        <f t="shared" si="4"/>
        <v>19587.431284498049</v>
      </c>
      <c r="V42" s="102">
        <f t="shared" si="5"/>
        <v>0.21644985231386588</v>
      </c>
      <c r="W42" s="1">
        <f t="shared" si="6"/>
        <v>11067.568207848319</v>
      </c>
      <c r="X42" s="102">
        <f t="shared" si="7"/>
        <v>8.8811618523375657E-2</v>
      </c>
      <c r="Y42" s="2">
        <f t="shared" si="12"/>
        <v>60790.626332888532</v>
      </c>
      <c r="Z42" s="102">
        <f t="shared" si="13"/>
        <v>8.0181553832502153E-2</v>
      </c>
    </row>
    <row r="43" spans="1:26" x14ac:dyDescent="0.25">
      <c r="A43">
        <v>2009</v>
      </c>
      <c r="B43" s="1">
        <f>'BRF harvest'!V89</f>
        <v>1792.3410035812167</v>
      </c>
      <c r="C43" s="1">
        <f>'BRF harvest'!W89</f>
        <v>84436.737284791219</v>
      </c>
      <c r="D43" s="1">
        <f>'BRF harvest'!V139</f>
        <v>22601.944564891164</v>
      </c>
      <c r="E43" s="1">
        <f>'BRF harvest'!W139</f>
        <v>3214226.1669402872</v>
      </c>
      <c r="F43" s="1">
        <f>'BRF harvest'!V189</f>
        <v>12253.156390852704</v>
      </c>
      <c r="G43" s="1">
        <f>'BRF harvest'!W189</f>
        <v>4842169.5473328112</v>
      </c>
      <c r="H43" s="1">
        <f>'BRF harvest'!V214</f>
        <v>10351.784157265687</v>
      </c>
      <c r="I43" s="1">
        <f>'BRF harvest'!W214</f>
        <v>829240.48419957771</v>
      </c>
      <c r="J43" s="2">
        <f t="shared" si="8"/>
        <v>46999.226116590777</v>
      </c>
      <c r="K43" s="1">
        <f t="shared" si="9"/>
        <v>8970072.9357574675</v>
      </c>
      <c r="L43">
        <f t="shared" si="10"/>
        <v>2995.0080026199375</v>
      </c>
      <c r="M43" s="14">
        <f t="shared" si="11"/>
        <v>6.3724623788277576E-2</v>
      </c>
      <c r="N43" s="14"/>
      <c r="O43" s="101"/>
      <c r="P43">
        <v>2009</v>
      </c>
      <c r="Q43" s="1">
        <f t="shared" si="0"/>
        <v>1792.3410035812167</v>
      </c>
      <c r="R43" s="102">
        <f t="shared" si="1"/>
        <v>0.16212316793615666</v>
      </c>
      <c r="S43" s="1">
        <f t="shared" si="2"/>
        <v>22601.944564891164</v>
      </c>
      <c r="T43" s="102">
        <f t="shared" si="3"/>
        <v>7.9321772594220435E-2</v>
      </c>
      <c r="U43" s="1">
        <f t="shared" si="4"/>
        <v>12253.156390852704</v>
      </c>
      <c r="V43" s="102">
        <f t="shared" si="5"/>
        <v>0.17958581066820306</v>
      </c>
      <c r="W43" s="1">
        <f t="shared" si="6"/>
        <v>10351.784157265687</v>
      </c>
      <c r="X43" s="102">
        <f t="shared" si="7"/>
        <v>8.7968065236623927E-2</v>
      </c>
      <c r="Y43" s="2">
        <f t="shared" si="12"/>
        <v>46999.226116590777</v>
      </c>
      <c r="Z43" s="102">
        <f t="shared" si="13"/>
        <v>6.3724623788277576E-2</v>
      </c>
    </row>
    <row r="44" spans="1:26" x14ac:dyDescent="0.25">
      <c r="A44">
        <v>2010</v>
      </c>
      <c r="B44" s="1">
        <f>'BRF harvest'!V90</f>
        <v>1634.3614113184426</v>
      </c>
      <c r="C44" s="1">
        <f>'BRF harvest'!W90</f>
        <v>68071.740164952556</v>
      </c>
      <c r="D44" s="1">
        <f>'BRF harvest'!V140</f>
        <v>26879.228808182947</v>
      </c>
      <c r="E44" s="1">
        <f>'BRF harvest'!W140</f>
        <v>4890288.263957982</v>
      </c>
      <c r="F44" s="1">
        <f>'BRF harvest'!V190</f>
        <v>24433.26566697465</v>
      </c>
      <c r="G44" s="1">
        <f>'BRF harvest'!W190</f>
        <v>28284518.376538873</v>
      </c>
      <c r="H44" s="1">
        <f>'BRF harvest'!V215</f>
        <v>9550.0066139790742</v>
      </c>
      <c r="I44" s="1">
        <f>'BRF harvest'!W215</f>
        <v>869983.46759515791</v>
      </c>
      <c r="J44" s="2">
        <f t="shared" si="8"/>
        <v>62496.862500455114</v>
      </c>
      <c r="K44" s="1">
        <f t="shared" si="9"/>
        <v>34112861.848256968</v>
      </c>
      <c r="L44">
        <f t="shared" si="10"/>
        <v>5840.6217004919063</v>
      </c>
      <c r="M44" s="14">
        <f t="shared" si="11"/>
        <v>9.3454638630049214E-2</v>
      </c>
      <c r="N44" s="14"/>
      <c r="O44" s="101"/>
      <c r="P44">
        <v>2010</v>
      </c>
      <c r="Q44" s="1">
        <f t="shared" si="0"/>
        <v>1634.3614113184426</v>
      </c>
      <c r="R44" s="102">
        <f t="shared" si="1"/>
        <v>0.15963765029391322</v>
      </c>
      <c r="S44" s="1">
        <f t="shared" si="2"/>
        <v>26879.228808182947</v>
      </c>
      <c r="T44" s="102">
        <f t="shared" si="3"/>
        <v>8.2271691360793611E-2</v>
      </c>
      <c r="U44" s="1">
        <f t="shared" si="4"/>
        <v>24433.26566697465</v>
      </c>
      <c r="V44" s="102">
        <f t="shared" si="5"/>
        <v>0.21766714295347156</v>
      </c>
      <c r="W44" s="1">
        <f t="shared" si="6"/>
        <v>9550.0066139790742</v>
      </c>
      <c r="X44" s="102">
        <f t="shared" si="7"/>
        <v>9.7667894973207783E-2</v>
      </c>
      <c r="Y44" s="2">
        <f t="shared" si="12"/>
        <v>62496.862500455114</v>
      </c>
      <c r="Z44" s="102">
        <f t="shared" si="13"/>
        <v>9.3454638630049214E-2</v>
      </c>
    </row>
    <row r="45" spans="1:26" x14ac:dyDescent="0.25">
      <c r="A45">
        <v>2011</v>
      </c>
      <c r="B45" s="1">
        <f>'BRF harvest'!V91</f>
        <v>1656.0989067905161</v>
      </c>
      <c r="C45" s="1">
        <f>'BRF harvest'!W91</f>
        <v>66640.676097032541</v>
      </c>
      <c r="D45" s="1">
        <f>'BRF harvest'!V141</f>
        <v>30410.518880792781</v>
      </c>
      <c r="E45" s="1">
        <f>'BRF harvest'!W141</f>
        <v>2443608.5751609989</v>
      </c>
      <c r="F45" s="1">
        <f>'BRF harvest'!V191</f>
        <v>41153.662942912924</v>
      </c>
      <c r="G45" s="1">
        <f>'BRF harvest'!W191</f>
        <v>36616382.516837232</v>
      </c>
      <c r="H45" s="1">
        <f>'BRF harvest'!V216</f>
        <v>13511.389229897632</v>
      </c>
      <c r="I45" s="1">
        <f>'BRF harvest'!W216</f>
        <v>932602.52078973455</v>
      </c>
      <c r="J45" s="2">
        <f t="shared" si="8"/>
        <v>86731.669960393847</v>
      </c>
      <c r="K45" s="1">
        <f t="shared" si="9"/>
        <v>40059234.288884997</v>
      </c>
      <c r="L45">
        <f t="shared" si="10"/>
        <v>6329.2364696608547</v>
      </c>
      <c r="M45" s="14">
        <f t="shared" si="11"/>
        <v>7.2974917611422802E-2</v>
      </c>
      <c r="N45" s="14"/>
      <c r="O45" s="101"/>
      <c r="P45">
        <v>2011</v>
      </c>
      <c r="Q45" s="1">
        <f t="shared" si="0"/>
        <v>1656.0989067905161</v>
      </c>
      <c r="R45" s="102">
        <f t="shared" si="1"/>
        <v>0.1558774981739281</v>
      </c>
      <c r="S45" s="1">
        <f t="shared" si="2"/>
        <v>30410.518880792781</v>
      </c>
      <c r="T45" s="102">
        <f t="shared" si="3"/>
        <v>5.1403417064940095E-2</v>
      </c>
      <c r="U45" s="1">
        <f t="shared" si="4"/>
        <v>41153.662942912924</v>
      </c>
      <c r="V45" s="102">
        <f t="shared" si="5"/>
        <v>0.14703787643563718</v>
      </c>
      <c r="W45" s="1">
        <f t="shared" si="6"/>
        <v>13511.389229897632</v>
      </c>
      <c r="X45" s="102">
        <f t="shared" si="7"/>
        <v>7.1474032843959021E-2</v>
      </c>
      <c r="Y45" s="2">
        <f t="shared" si="12"/>
        <v>86731.669960393847</v>
      </c>
      <c r="Z45" s="102">
        <f t="shared" si="13"/>
        <v>7.2974917611422802E-2</v>
      </c>
    </row>
    <row r="46" spans="1:26" x14ac:dyDescent="0.25">
      <c r="A46">
        <v>2012</v>
      </c>
      <c r="B46" s="1">
        <f>'BRF harvest'!V92</f>
        <v>1745.7990518365464</v>
      </c>
      <c r="C46" s="1">
        <f>'BRF harvest'!W92</f>
        <v>91525.786006783164</v>
      </c>
      <c r="D46" s="1">
        <f>'BRF harvest'!V142</f>
        <v>27781.014813581882</v>
      </c>
      <c r="E46" s="1">
        <f>'BRF harvest'!W142</f>
        <v>1125737.7674890745</v>
      </c>
      <c r="F46" s="1">
        <f>'BRF harvest'!V192</f>
        <v>17987.532233085069</v>
      </c>
      <c r="G46" s="1">
        <f>'BRF harvest'!W192</f>
        <v>3588408.2342044082</v>
      </c>
      <c r="H46" s="1">
        <f>'BRF harvest'!V217</f>
        <v>10965.405775255005</v>
      </c>
      <c r="I46" s="1">
        <f>'BRF harvest'!W217</f>
        <v>229171.8900722758</v>
      </c>
      <c r="J46" s="2">
        <f t="shared" si="8"/>
        <v>58479.751873758505</v>
      </c>
      <c r="K46" s="1">
        <f t="shared" si="9"/>
        <v>5034843.6777725415</v>
      </c>
      <c r="L46">
        <f t="shared" si="10"/>
        <v>2243.8457339515435</v>
      </c>
      <c r="M46" s="14">
        <f t="shared" si="11"/>
        <v>3.8369617894333435E-2</v>
      </c>
      <c r="N46" s="14"/>
      <c r="O46" s="101"/>
      <c r="P46">
        <v>2012</v>
      </c>
      <c r="Q46" s="1">
        <f t="shared" si="0"/>
        <v>1745.7990518365464</v>
      </c>
      <c r="R46" s="102">
        <f t="shared" si="1"/>
        <v>0.17329158752764343</v>
      </c>
      <c r="S46" s="1">
        <f t="shared" si="2"/>
        <v>27781.014813581882</v>
      </c>
      <c r="T46" s="102">
        <f t="shared" si="3"/>
        <v>3.8191833841517864E-2</v>
      </c>
      <c r="U46" s="1">
        <f t="shared" si="4"/>
        <v>17987.532233085069</v>
      </c>
      <c r="V46" s="102">
        <f t="shared" si="5"/>
        <v>0.10531235803240649</v>
      </c>
      <c r="W46" s="1">
        <f t="shared" si="6"/>
        <v>10965.405775255005</v>
      </c>
      <c r="X46" s="102">
        <f t="shared" si="7"/>
        <v>4.3657208800845865E-2</v>
      </c>
      <c r="Y46" s="2">
        <f t="shared" si="12"/>
        <v>58479.751873758505</v>
      </c>
      <c r="Z46" s="102">
        <f t="shared" si="13"/>
        <v>3.8369617894333435E-2</v>
      </c>
    </row>
    <row r="47" spans="1:26" x14ac:dyDescent="0.25">
      <c r="A47">
        <v>2013</v>
      </c>
      <c r="B47" s="1">
        <f>'BRF harvest'!V93</f>
        <v>3000.9497101971401</v>
      </c>
      <c r="C47" s="1">
        <f>'BRF harvest'!W93</f>
        <v>209757.52596013609</v>
      </c>
      <c r="D47" s="1">
        <f>'BRF harvest'!V143</f>
        <v>34083.147174723796</v>
      </c>
      <c r="E47" s="1">
        <f>'BRF harvest'!W143</f>
        <v>2630051.9685659176</v>
      </c>
      <c r="F47" s="1">
        <f>'BRF harvest'!V193</f>
        <v>21249.481628977708</v>
      </c>
      <c r="G47" s="1">
        <f>'BRF harvest'!W193</f>
        <v>4393521.7590847649</v>
      </c>
      <c r="H47" s="1">
        <f>'BRF harvest'!V218</f>
        <v>14211.254064056518</v>
      </c>
      <c r="I47" s="1">
        <f>'BRF harvest'!W218</f>
        <v>1653279.6399382409</v>
      </c>
      <c r="J47" s="2">
        <f t="shared" si="8"/>
        <v>72544.832577955152</v>
      </c>
      <c r="K47" s="1">
        <f t="shared" si="9"/>
        <v>8886610.8935490586</v>
      </c>
      <c r="L47">
        <f t="shared" si="10"/>
        <v>2981.0419140879349</v>
      </c>
      <c r="M47" s="14">
        <f t="shared" si="11"/>
        <v>4.1092408765084264E-2</v>
      </c>
      <c r="N47" s="14"/>
      <c r="O47" s="101"/>
      <c r="P47">
        <v>2013</v>
      </c>
      <c r="Q47" s="1">
        <f t="shared" si="0"/>
        <v>3000.9497101971401</v>
      </c>
      <c r="R47" s="102">
        <f t="shared" si="1"/>
        <v>0.15261599708256016</v>
      </c>
      <c r="S47" s="1">
        <f t="shared" si="2"/>
        <v>34083.147174723796</v>
      </c>
      <c r="T47" s="102">
        <f t="shared" si="3"/>
        <v>4.7581976166259067E-2</v>
      </c>
      <c r="U47" s="1">
        <f t="shared" si="4"/>
        <v>21249.481628977708</v>
      </c>
      <c r="V47" s="102">
        <f t="shared" si="5"/>
        <v>9.8641132712880941E-2</v>
      </c>
      <c r="W47" s="1">
        <f t="shared" si="6"/>
        <v>14211.254064056518</v>
      </c>
      <c r="X47" s="102">
        <f t="shared" si="7"/>
        <v>9.0477533963867221E-2</v>
      </c>
      <c r="Y47" s="2">
        <f t="shared" si="12"/>
        <v>72544.832577955152</v>
      </c>
      <c r="Z47" s="102">
        <f t="shared" si="13"/>
        <v>4.1092408765084264E-2</v>
      </c>
    </row>
    <row r="48" spans="1:26" x14ac:dyDescent="0.25">
      <c r="A48">
        <v>2014</v>
      </c>
      <c r="B48" s="1">
        <f>'BRF harvest'!V94</f>
        <v>3207.5013932866418</v>
      </c>
      <c r="C48" s="1">
        <f>'BRF harvest'!W94</f>
        <v>151359.40990005975</v>
      </c>
      <c r="D48" s="1">
        <f>'BRF harvest'!V144</f>
        <v>41651.075389744306</v>
      </c>
      <c r="E48" s="1">
        <f>'BRF harvest'!W144</f>
        <v>3459513.7769977432</v>
      </c>
      <c r="F48" s="1">
        <f>'BRF harvest'!V194</f>
        <v>14155.101665283793</v>
      </c>
      <c r="G48" s="1">
        <f>'BRF harvest'!W194</f>
        <v>1458951.0308204428</v>
      </c>
      <c r="H48" s="1">
        <f>'BRF harvest'!V219</f>
        <v>17414.864695871405</v>
      </c>
      <c r="I48" s="1">
        <f>'BRF harvest'!W219</f>
        <v>2227495.0700307852</v>
      </c>
      <c r="J48" s="2">
        <f t="shared" si="8"/>
        <v>76428.543144186144</v>
      </c>
      <c r="K48" s="1">
        <f t="shared" si="9"/>
        <v>7297319.2877490306</v>
      </c>
      <c r="L48">
        <f t="shared" si="10"/>
        <v>2701.3550836106369</v>
      </c>
      <c r="M48" s="14">
        <f t="shared" si="11"/>
        <v>3.5344845949953539E-2</v>
      </c>
      <c r="N48" s="14"/>
      <c r="O48" s="101"/>
      <c r="P48">
        <v>2014</v>
      </c>
      <c r="Q48" s="1">
        <f t="shared" si="0"/>
        <v>3207.5013932866418</v>
      </c>
      <c r="R48" s="102">
        <f t="shared" si="1"/>
        <v>0.12129359249329343</v>
      </c>
      <c r="S48" s="1">
        <f t="shared" si="2"/>
        <v>41651.075389744306</v>
      </c>
      <c r="T48" s="102">
        <f t="shared" si="3"/>
        <v>4.4656153634082353E-2</v>
      </c>
      <c r="U48" s="1">
        <f t="shared" si="4"/>
        <v>14155.101665283793</v>
      </c>
      <c r="V48" s="102">
        <f t="shared" si="5"/>
        <v>8.533110403527934E-2</v>
      </c>
      <c r="W48" s="1">
        <f t="shared" si="6"/>
        <v>17414.864695871405</v>
      </c>
      <c r="X48" s="102">
        <f t="shared" si="7"/>
        <v>8.570146998678739E-2</v>
      </c>
      <c r="Y48" s="2">
        <f t="shared" si="12"/>
        <v>76428.543144186144</v>
      </c>
      <c r="Z48" s="102">
        <f t="shared" si="13"/>
        <v>3.5344845949953539E-2</v>
      </c>
    </row>
    <row r="49" spans="1:26" x14ac:dyDescent="0.25">
      <c r="A49">
        <v>2015</v>
      </c>
      <c r="B49" s="1">
        <f>'BRF harvest'!V95</f>
        <v>4097.416587712285</v>
      </c>
      <c r="C49" s="1">
        <f>'BRF harvest'!W95</f>
        <v>301232.21543219639</v>
      </c>
      <c r="D49" s="1">
        <f>'BRF harvest'!V145</f>
        <v>50441.674194269071</v>
      </c>
      <c r="E49" s="1">
        <f>'BRF harvest'!W145</f>
        <v>4558311.0985465217</v>
      </c>
      <c r="F49" s="1">
        <f>'BRF harvest'!V195</f>
        <v>17208.175891250874</v>
      </c>
      <c r="G49" s="1">
        <f>'BRF harvest'!W195</f>
        <v>1002347.9121160863</v>
      </c>
      <c r="H49" s="1">
        <f>'BRF harvest'!V220</f>
        <v>14750.918130976226</v>
      </c>
      <c r="I49" s="1">
        <f>'BRF harvest'!W220</f>
        <v>353145.12331558939</v>
      </c>
      <c r="J49" s="2">
        <f t="shared" si="8"/>
        <v>86498.18480420846</v>
      </c>
      <c r="K49" s="1">
        <f t="shared" si="9"/>
        <v>6215036.3494103942</v>
      </c>
      <c r="L49">
        <f t="shared" si="10"/>
        <v>2492.9974627765655</v>
      </c>
      <c r="M49" s="14">
        <f t="shared" si="11"/>
        <v>2.8821384731015441E-2</v>
      </c>
      <c r="N49" s="14"/>
      <c r="O49" s="101"/>
      <c r="P49">
        <v>2015</v>
      </c>
      <c r="Q49" s="1">
        <f t="shared" si="0"/>
        <v>4097.416587712285</v>
      </c>
      <c r="R49" s="102">
        <f t="shared" si="1"/>
        <v>0.13394934264482511</v>
      </c>
      <c r="S49" s="1">
        <f t="shared" si="2"/>
        <v>50441.674194269071</v>
      </c>
      <c r="T49" s="102">
        <f t="shared" si="3"/>
        <v>4.2326512702097994E-2</v>
      </c>
      <c r="U49" s="1">
        <f t="shared" si="4"/>
        <v>17208.175891250874</v>
      </c>
      <c r="V49" s="102">
        <f t="shared" si="5"/>
        <v>5.8180092655167888E-2</v>
      </c>
      <c r="W49" s="1">
        <f t="shared" si="6"/>
        <v>14750.918130976226</v>
      </c>
      <c r="X49" s="102">
        <f t="shared" si="7"/>
        <v>4.0286315913861385E-2</v>
      </c>
      <c r="Y49" s="2">
        <f t="shared" si="12"/>
        <v>86498.18480420846</v>
      </c>
      <c r="Z49" s="102">
        <f t="shared" si="13"/>
        <v>2.8821384731015441E-2</v>
      </c>
    </row>
    <row r="50" spans="1:26" x14ac:dyDescent="0.25">
      <c r="A50">
        <v>2016</v>
      </c>
      <c r="B50" s="1">
        <f>'BRF harvest'!V96</f>
        <v>5660.4828550359216</v>
      </c>
      <c r="C50" s="1">
        <f>'BRF harvest'!W96</f>
        <v>408272.63759282918</v>
      </c>
      <c r="D50" s="1">
        <f>'BRF harvest'!V146</f>
        <v>55044.008117348872</v>
      </c>
      <c r="E50" s="1">
        <f>'BRF harvest'!W146</f>
        <v>2879201.8879689011</v>
      </c>
      <c r="F50" s="1">
        <f>'BRF harvest'!V196</f>
        <v>35768.927236487783</v>
      </c>
      <c r="G50" s="1">
        <f>'BRF harvest'!W196</f>
        <v>20547805.284691673</v>
      </c>
      <c r="H50" s="1">
        <f>'BRF harvest'!V221</f>
        <v>20499.475462710096</v>
      </c>
      <c r="I50" s="1">
        <f>'BRF harvest'!W221</f>
        <v>271472.33201208356</v>
      </c>
      <c r="J50" s="2">
        <f t="shared" si="8"/>
        <v>116972.89367158267</v>
      </c>
      <c r="K50" s="1">
        <f t="shared" si="9"/>
        <v>24106752.142265487</v>
      </c>
      <c r="L50">
        <f t="shared" si="10"/>
        <v>4909.8627416930394</v>
      </c>
      <c r="M50" s="14">
        <f t="shared" si="11"/>
        <v>4.1974363355309886E-2</v>
      </c>
      <c r="N50" s="14"/>
      <c r="O50" s="101"/>
      <c r="P50">
        <v>2016</v>
      </c>
      <c r="Q50" s="1">
        <f t="shared" si="0"/>
        <v>5660.4828550359216</v>
      </c>
      <c r="R50" s="102">
        <f t="shared" si="1"/>
        <v>0.11288121048751366</v>
      </c>
      <c r="S50" s="1">
        <f t="shared" si="2"/>
        <v>55044.008117348872</v>
      </c>
      <c r="T50" s="102">
        <f t="shared" si="3"/>
        <v>3.0826627103984067E-2</v>
      </c>
      <c r="U50" s="1">
        <f t="shared" si="4"/>
        <v>35768.927236487783</v>
      </c>
      <c r="V50" s="102">
        <f t="shared" si="5"/>
        <v>0.12672923276371709</v>
      </c>
      <c r="W50" s="1">
        <f t="shared" si="6"/>
        <v>20499.475462710096</v>
      </c>
      <c r="X50" s="102">
        <f t="shared" si="7"/>
        <v>2.5416751232957929E-2</v>
      </c>
      <c r="Y50" s="2">
        <f t="shared" si="12"/>
        <v>116972.89367158267</v>
      </c>
      <c r="Z50" s="102">
        <f t="shared" si="13"/>
        <v>4.1974363355309886E-2</v>
      </c>
    </row>
    <row r="51" spans="1:26" x14ac:dyDescent="0.25">
      <c r="A51">
        <v>2017</v>
      </c>
      <c r="B51" s="1">
        <f>'BRF harvest'!V97</f>
        <v>6473.9448151017532</v>
      </c>
      <c r="C51" s="1">
        <f>'BRF harvest'!W97</f>
        <v>394286.40419952734</v>
      </c>
      <c r="D51" s="1">
        <f>'BRF harvest'!V147</f>
        <v>36998.861344014433</v>
      </c>
      <c r="E51" s="1">
        <f>'BRF harvest'!W147</f>
        <v>2283749.1433862369</v>
      </c>
      <c r="F51" s="1">
        <f>'BRF harvest'!V197</f>
        <v>26515.434331874218</v>
      </c>
      <c r="G51" s="1">
        <f>'BRF harvest'!W197</f>
        <v>11198101.172150504</v>
      </c>
      <c r="H51" s="1">
        <f>'BRF harvest'!V222</f>
        <v>23211.677413459453</v>
      </c>
      <c r="I51" s="1">
        <f>'BRF harvest'!W222</f>
        <v>2967425.4248932493</v>
      </c>
      <c r="J51" s="2">
        <f t="shared" si="8"/>
        <v>93199.91790444986</v>
      </c>
      <c r="K51" s="1">
        <f t="shared" si="9"/>
        <v>16843562.144629516</v>
      </c>
      <c r="L51">
        <f t="shared" si="10"/>
        <v>4104.0909035533696</v>
      </c>
      <c r="M51" s="14">
        <f t="shared" si="11"/>
        <v>4.4035348912656265E-2</v>
      </c>
      <c r="N51" s="14"/>
      <c r="O51" s="101"/>
      <c r="P51">
        <v>2017</v>
      </c>
      <c r="Q51" s="1">
        <f t="shared" si="0"/>
        <v>6473.9448151017532</v>
      </c>
      <c r="R51" s="102">
        <f t="shared" si="1"/>
        <v>9.6992221815768817E-2</v>
      </c>
      <c r="S51" s="1">
        <f t="shared" si="2"/>
        <v>36998.861344014433</v>
      </c>
      <c r="T51" s="102">
        <f t="shared" si="3"/>
        <v>4.0844712179095528E-2</v>
      </c>
      <c r="U51" s="1">
        <f t="shared" si="4"/>
        <v>26515.434331874218</v>
      </c>
      <c r="V51" s="102">
        <f t="shared" si="5"/>
        <v>0.12620409534145335</v>
      </c>
      <c r="W51" s="1">
        <f t="shared" si="6"/>
        <v>23211.677413459453</v>
      </c>
      <c r="X51" s="102">
        <f t="shared" si="7"/>
        <v>7.4213579713777983E-2</v>
      </c>
      <c r="Y51" s="2">
        <f t="shared" si="12"/>
        <v>93199.91790444986</v>
      </c>
      <c r="Z51" s="102">
        <f t="shared" si="13"/>
        <v>4.4035348912656265E-2</v>
      </c>
    </row>
    <row r="52" spans="1:26" x14ac:dyDescent="0.25">
      <c r="A52">
        <v>2018</v>
      </c>
      <c r="B52" s="1">
        <f>'BRF harvest'!V98</f>
        <v>10351.34650619547</v>
      </c>
      <c r="C52" s="1">
        <f>'BRF harvest'!W98</f>
        <v>1305697.5211596687</v>
      </c>
      <c r="D52" s="1">
        <f>'BRF harvest'!V148</f>
        <v>45070.801381422149</v>
      </c>
      <c r="E52" s="1">
        <f>'BRF harvest'!W148</f>
        <v>2387789.1920346022</v>
      </c>
      <c r="F52" s="1">
        <f>'BRF harvest'!V198</f>
        <v>15299.694485694679</v>
      </c>
      <c r="G52" s="1">
        <f>'BRF harvest'!W198</f>
        <v>2499704.8547402374</v>
      </c>
      <c r="H52" s="1">
        <f>'BRF harvest'!V223</f>
        <v>22024.818525746632</v>
      </c>
      <c r="I52" s="1">
        <f>'BRF harvest'!W223</f>
        <v>1021877.3329243967</v>
      </c>
      <c r="J52" s="2">
        <f t="shared" si="8"/>
        <v>92746.660899058916</v>
      </c>
      <c r="K52" s="1">
        <f t="shared" si="9"/>
        <v>7215068.9008589042</v>
      </c>
      <c r="L52">
        <f t="shared" si="10"/>
        <v>2686.0880292460456</v>
      </c>
      <c r="M52" s="14">
        <f t="shared" si="11"/>
        <v>2.8961560483233537E-2</v>
      </c>
      <c r="N52" s="14"/>
      <c r="O52" s="101"/>
      <c r="P52">
        <v>2018</v>
      </c>
      <c r="Q52" s="1">
        <f t="shared" si="0"/>
        <v>10351.34650619547</v>
      </c>
      <c r="R52" s="102">
        <f t="shared" si="1"/>
        <v>0.11038865534344872</v>
      </c>
      <c r="S52" s="1">
        <f t="shared" si="2"/>
        <v>45070.801381422149</v>
      </c>
      <c r="T52" s="102">
        <f t="shared" si="3"/>
        <v>3.4284886094444911E-2</v>
      </c>
      <c r="U52" s="1">
        <f t="shared" si="4"/>
        <v>15299.694485694679</v>
      </c>
      <c r="V52" s="102">
        <f t="shared" si="5"/>
        <v>0.10333837029762179</v>
      </c>
      <c r="W52" s="1">
        <f t="shared" si="6"/>
        <v>22024.818525746632</v>
      </c>
      <c r="X52" s="102">
        <f t="shared" si="7"/>
        <v>4.5897290081414986E-2</v>
      </c>
      <c r="Y52" s="2">
        <f t="shared" si="12"/>
        <v>92746.660899058916</v>
      </c>
      <c r="Z52" s="102">
        <f t="shared" si="13"/>
        <v>2.8961560483233537E-2</v>
      </c>
    </row>
    <row r="53" spans="1:26" x14ac:dyDescent="0.25">
      <c r="A53">
        <v>2019</v>
      </c>
      <c r="B53" s="1">
        <f>'BRF harvest'!V99</f>
        <v>20951.001437090013</v>
      </c>
      <c r="C53" s="1">
        <f>'BRF harvest'!W99</f>
        <v>4587995.3463012045</v>
      </c>
      <c r="D53" s="1">
        <f>'BRF harvest'!V149</f>
        <v>58554.617143937008</v>
      </c>
      <c r="E53" s="1">
        <f>'BRF harvest'!W149</f>
        <v>5038479.2802500045</v>
      </c>
      <c r="F53" s="1">
        <f>'BRF harvest'!V199</f>
        <v>18830.028999863069</v>
      </c>
      <c r="G53" s="1">
        <f>'BRF harvest'!W199</f>
        <v>3228465.7894527968</v>
      </c>
      <c r="H53" s="1">
        <f>'BRF harvest'!V224</f>
        <v>24580.990618561074</v>
      </c>
      <c r="I53" s="1">
        <f>'BRF harvest'!W224</f>
        <v>1897379.5303378494</v>
      </c>
      <c r="J53" s="2">
        <f>H53+F53+D53+B53</f>
        <v>122916.63819945118</v>
      </c>
      <c r="K53" s="1">
        <f t="shared" si="9"/>
        <v>14752319.946341855</v>
      </c>
      <c r="L53">
        <f t="shared" si="10"/>
        <v>3840.8748933468082</v>
      </c>
      <c r="M53" s="14">
        <f t="shared" si="11"/>
        <v>3.124780297940135E-2</v>
      </c>
      <c r="N53" s="14"/>
      <c r="O53" s="101"/>
      <c r="P53">
        <v>2019</v>
      </c>
      <c r="Q53" s="1">
        <f t="shared" si="0"/>
        <v>20951.001437090013</v>
      </c>
      <c r="R53" s="102">
        <f t="shared" si="1"/>
        <v>0.10223667053782093</v>
      </c>
      <c r="S53" s="1">
        <f t="shared" si="2"/>
        <v>58554.617143937008</v>
      </c>
      <c r="T53" s="102">
        <f t="shared" si="3"/>
        <v>3.8334393166416764E-2</v>
      </c>
      <c r="U53" s="1">
        <f t="shared" si="4"/>
        <v>18830.028999863069</v>
      </c>
      <c r="V53" s="102">
        <f t="shared" si="5"/>
        <v>9.5421690326959588E-2</v>
      </c>
      <c r="W53" s="1">
        <f t="shared" si="6"/>
        <v>24580.990618561074</v>
      </c>
      <c r="X53" s="102">
        <f t="shared" si="7"/>
        <v>5.6037367425880849E-2</v>
      </c>
      <c r="Y53" s="2">
        <f t="shared" si="12"/>
        <v>122916.63819945118</v>
      </c>
      <c r="Z53" s="102">
        <f t="shared" si="13"/>
        <v>3.124780297940135E-2</v>
      </c>
    </row>
    <row r="54" spans="1:26" x14ac:dyDescent="0.25">
      <c r="A54">
        <v>2020</v>
      </c>
      <c r="B54" s="1">
        <f>'BRF harvest'!V100</f>
        <v>15439.775004553248</v>
      </c>
      <c r="C54" s="1">
        <f>'BRF harvest'!W100</f>
        <v>4298133.8775054608</v>
      </c>
      <c r="D54" s="1">
        <f>'BRF harvest'!V150</f>
        <v>38757.512733722113</v>
      </c>
      <c r="E54" s="1">
        <f>'BRF harvest'!W150</f>
        <v>1697534.4586170486</v>
      </c>
      <c r="F54" s="1">
        <f>'BRF harvest'!V200</f>
        <v>11747.352584602875</v>
      </c>
      <c r="G54" s="1">
        <f>'BRF harvest'!W200</f>
        <v>1571370.8530153451</v>
      </c>
      <c r="H54" s="1">
        <f>'BRF harvest'!V225</f>
        <v>25049.538032354885</v>
      </c>
      <c r="I54" s="1">
        <f>'BRF harvest'!W225</f>
        <v>1002196.0580979777</v>
      </c>
      <c r="J54" s="2">
        <f t="shared" ref="J54:J55" si="14">H54+F54+D54+B54</f>
        <v>90994.178355233118</v>
      </c>
      <c r="K54" s="1">
        <f t="shared" ref="K54:K55" si="15">SUM(C54,E54,G54,I54)</f>
        <v>8569235.2472358309</v>
      </c>
      <c r="L54">
        <f t="shared" ref="L54:L55" si="16">SQRT(K54)</f>
        <v>2927.3256134628805</v>
      </c>
      <c r="M54" s="14">
        <f t="shared" ref="M54:M55" si="17">L54/J54</f>
        <v>3.2170471412301387E-2</v>
      </c>
      <c r="N54" s="14"/>
      <c r="O54" s="101"/>
      <c r="P54">
        <v>2020</v>
      </c>
      <c r="Q54" s="1">
        <f t="shared" si="0"/>
        <v>15439.775004553248</v>
      </c>
      <c r="R54" s="102">
        <f t="shared" si="1"/>
        <v>0.13427618756120363</v>
      </c>
      <c r="S54" s="1">
        <f t="shared" si="2"/>
        <v>38757.512733722113</v>
      </c>
      <c r="T54" s="102">
        <f t="shared" si="3"/>
        <v>3.3616570159372902E-2</v>
      </c>
      <c r="U54" s="1">
        <f t="shared" si="4"/>
        <v>11747.352584602875</v>
      </c>
      <c r="V54" s="102">
        <f t="shared" si="5"/>
        <v>0.10670858051922867</v>
      </c>
      <c r="W54" s="1">
        <f t="shared" si="6"/>
        <v>25049.538032354885</v>
      </c>
      <c r="X54" s="102">
        <f t="shared" si="7"/>
        <v>3.9964706158774711E-2</v>
      </c>
      <c r="Y54" s="2">
        <f t="shared" si="12"/>
        <v>90994.178355233118</v>
      </c>
      <c r="Z54" s="102">
        <f t="shared" si="13"/>
        <v>3.2170471412301387E-2</v>
      </c>
    </row>
    <row r="55" spans="1:26" x14ac:dyDescent="0.25">
      <c r="A55">
        <v>2021</v>
      </c>
      <c r="B55" s="1">
        <f>'BRF harvest'!V101</f>
        <v>16783.41620100525</v>
      </c>
      <c r="C55" s="1">
        <f>'BRF harvest'!W101</f>
        <v>2301525.789342782</v>
      </c>
      <c r="D55" s="1">
        <f>'BRF harvest'!V151</f>
        <v>81589.802407130323</v>
      </c>
      <c r="E55" s="1">
        <f>'BRF harvest'!W151</f>
        <v>6234099.0440337518</v>
      </c>
      <c r="F55" s="1">
        <f>'BRF harvest'!V201</f>
        <v>23129.416589528293</v>
      </c>
      <c r="G55" s="1">
        <f>'BRF harvest'!W201</f>
        <v>5655840.4907678664</v>
      </c>
      <c r="H55" s="1">
        <f>'BRF harvest'!V226</f>
        <v>32867.033801571837</v>
      </c>
      <c r="I55" s="1">
        <f>'BRF harvest'!W226</f>
        <v>2375818.0547143873</v>
      </c>
      <c r="J55" s="2">
        <f t="shared" si="14"/>
        <v>154369.6689992357</v>
      </c>
      <c r="K55" s="1">
        <f t="shared" si="15"/>
        <v>16567283.378858788</v>
      </c>
      <c r="L55">
        <f t="shared" si="16"/>
        <v>4070.2927878543073</v>
      </c>
      <c r="M55" s="14">
        <f t="shared" si="17"/>
        <v>2.6367179603620578E-2</v>
      </c>
      <c r="N55" s="14"/>
      <c r="O55" s="101"/>
      <c r="P55">
        <v>2021</v>
      </c>
      <c r="Q55" s="1">
        <f t="shared" si="0"/>
        <v>16783.41620100525</v>
      </c>
      <c r="R55" s="102">
        <f t="shared" si="1"/>
        <v>9.0391492714667149E-2</v>
      </c>
      <c r="S55" s="1">
        <f t="shared" si="2"/>
        <v>81589.802407130323</v>
      </c>
      <c r="T55" s="102">
        <f t="shared" si="3"/>
        <v>3.0602081508266838E-2</v>
      </c>
      <c r="U55" s="1">
        <f t="shared" si="4"/>
        <v>23129.416589528293</v>
      </c>
      <c r="V55" s="102">
        <f t="shared" si="5"/>
        <v>0.10282149118339041</v>
      </c>
      <c r="W55" s="1">
        <f t="shared" si="6"/>
        <v>32867.033801571837</v>
      </c>
      <c r="X55" s="102">
        <f t="shared" si="7"/>
        <v>4.6897109705538065E-2</v>
      </c>
      <c r="Y55" s="2">
        <f t="shared" si="12"/>
        <v>154369.6689992357</v>
      </c>
      <c r="Z55" s="102">
        <f t="shared" si="13"/>
        <v>2.6367179603620578E-2</v>
      </c>
    </row>
    <row r="56" spans="1:26" x14ac:dyDescent="0.25">
      <c r="A56">
        <v>2022</v>
      </c>
      <c r="B56" s="1">
        <f>'BRF harvest'!V102</f>
        <v>16316.715505147333</v>
      </c>
      <c r="C56" s="1">
        <f>'BRF harvest'!W102</f>
        <v>2451504.2384234983</v>
      </c>
      <c r="D56" s="1">
        <f>'BRF harvest'!V152</f>
        <v>80384.19053583128</v>
      </c>
      <c r="E56" s="1">
        <f>'BRF harvest'!W152</f>
        <v>5986660.1649697842</v>
      </c>
      <c r="F56" s="1">
        <f>'BRF harvest'!V202</f>
        <v>15393.651853710198</v>
      </c>
      <c r="G56" s="1">
        <f>'BRF harvest'!W202</f>
        <v>125307.0465347615</v>
      </c>
      <c r="H56" s="1">
        <f>'BRF harvest'!V227</f>
        <v>24914.449531200924</v>
      </c>
      <c r="I56" s="1">
        <f>'BRF harvest'!W227</f>
        <v>11301605.565167321</v>
      </c>
      <c r="J56" s="2">
        <f t="shared" ref="J56" si="18">H56+F56+D56+B56</f>
        <v>137009.00742588972</v>
      </c>
      <c r="K56" s="1">
        <f t="shared" ref="K56" si="19">SUM(C56,E56,G56,I56)</f>
        <v>19865077.015095368</v>
      </c>
      <c r="L56">
        <f t="shared" ref="L56" si="20">SQRT(K56)</f>
        <v>4457.0255793629194</v>
      </c>
      <c r="M56" s="14">
        <f t="shared" ref="M56" si="21">L56/J56</f>
        <v>3.2530894596647549E-2</v>
      </c>
      <c r="N56" s="14"/>
      <c r="O56" s="101"/>
      <c r="P56">
        <v>2022</v>
      </c>
      <c r="Q56" s="1">
        <f t="shared" si="0"/>
        <v>16316.715505147333</v>
      </c>
      <c r="R56" s="102">
        <f t="shared" si="1"/>
        <v>9.5958529237183621E-2</v>
      </c>
      <c r="S56" s="1">
        <f t="shared" si="2"/>
        <v>80384.19053583128</v>
      </c>
      <c r="T56" s="102">
        <f t="shared" si="3"/>
        <v>3.0438388803317479E-2</v>
      </c>
      <c r="U56" s="1">
        <f t="shared" si="4"/>
        <v>15393.651853710198</v>
      </c>
      <c r="V56" s="102">
        <f t="shared" si="5"/>
        <v>2.2995671007815372E-2</v>
      </c>
      <c r="W56" s="1">
        <f t="shared" si="6"/>
        <v>24914.449531200924</v>
      </c>
      <c r="X56" s="102">
        <f t="shared" si="7"/>
        <v>0.13493318660392431</v>
      </c>
      <c r="Y56" s="2">
        <f t="shared" si="12"/>
        <v>137009.00742588972</v>
      </c>
      <c r="Z56" s="102">
        <f t="shared" si="13"/>
        <v>3.2530894596647549E-2</v>
      </c>
    </row>
    <row r="57" spans="1:26" x14ac:dyDescent="0.25">
      <c r="K57" s="1"/>
    </row>
    <row r="58" spans="1:26" x14ac:dyDescent="0.25">
      <c r="A58" s="109" t="s">
        <v>96</v>
      </c>
      <c r="B58" s="109"/>
      <c r="C58" s="109"/>
      <c r="D58" s="109"/>
      <c r="E58" s="109"/>
      <c r="F58" s="109"/>
      <c r="G58" s="109"/>
      <c r="H58" s="109"/>
      <c r="I58" s="9"/>
    </row>
    <row r="59" spans="1:26" x14ac:dyDescent="0.25">
      <c r="A59" t="s">
        <v>34</v>
      </c>
      <c r="B59" s="109" t="s">
        <v>47</v>
      </c>
      <c r="C59" s="109"/>
      <c r="D59" s="109" t="s">
        <v>49</v>
      </c>
      <c r="E59" s="109"/>
      <c r="F59" s="109" t="s">
        <v>51</v>
      </c>
      <c r="G59" s="109"/>
      <c r="H59" s="109" t="s">
        <v>52</v>
      </c>
      <c r="I59" s="109"/>
      <c r="J59" s="109" t="s">
        <v>153</v>
      </c>
      <c r="K59" s="109"/>
      <c r="L59" s="109"/>
      <c r="M59" s="109"/>
      <c r="N59" s="9"/>
      <c r="O59" s="100"/>
      <c r="P59" t="s">
        <v>34</v>
      </c>
      <c r="Q59" s="109" t="s">
        <v>47</v>
      </c>
      <c r="R59" s="109"/>
      <c r="S59" s="109" t="s">
        <v>49</v>
      </c>
      <c r="T59" s="109"/>
      <c r="U59" s="109" t="s">
        <v>51</v>
      </c>
      <c r="V59" s="109"/>
      <c r="W59" s="109" t="s">
        <v>52</v>
      </c>
      <c r="X59" s="109"/>
      <c r="Y59" s="109" t="s">
        <v>153</v>
      </c>
      <c r="Z59" s="109"/>
    </row>
    <row r="60" spans="1:26" x14ac:dyDescent="0.25">
      <c r="B60" s="9" t="s">
        <v>138</v>
      </c>
      <c r="C60" s="9" t="s">
        <v>139</v>
      </c>
      <c r="D60" s="9" t="s">
        <v>138</v>
      </c>
      <c r="E60" s="9" t="s">
        <v>139</v>
      </c>
      <c r="F60" s="9" t="s">
        <v>138</v>
      </c>
      <c r="G60" s="9" t="s">
        <v>139</v>
      </c>
      <c r="H60" s="9" t="s">
        <v>138</v>
      </c>
      <c r="I60" s="9" t="s">
        <v>139</v>
      </c>
      <c r="J60" s="9" t="s">
        <v>138</v>
      </c>
      <c r="K60" s="9" t="s">
        <v>154</v>
      </c>
      <c r="L60" s="9" t="s">
        <v>155</v>
      </c>
      <c r="M60" s="9" t="s">
        <v>156</v>
      </c>
      <c r="N60" s="9"/>
      <c r="O60" s="100"/>
      <c r="Q60" s="9" t="s">
        <v>138</v>
      </c>
      <c r="R60" s="9" t="s">
        <v>175</v>
      </c>
      <c r="S60" s="9" t="s">
        <v>138</v>
      </c>
      <c r="T60" s="9" t="s">
        <v>175</v>
      </c>
      <c r="U60" s="9" t="s">
        <v>138</v>
      </c>
      <c r="V60" s="9" t="s">
        <v>175</v>
      </c>
      <c r="W60" s="9" t="s">
        <v>138</v>
      </c>
      <c r="X60" s="9" t="s">
        <v>175</v>
      </c>
      <c r="Y60" s="9" t="s">
        <v>138</v>
      </c>
      <c r="Z60" s="9" t="s">
        <v>175</v>
      </c>
    </row>
    <row r="61" spans="1:26" x14ac:dyDescent="0.25">
      <c r="A61">
        <v>1998</v>
      </c>
      <c r="B61" s="1">
        <f>'YE harvest'!Y78</f>
        <v>114.63402784599876</v>
      </c>
      <c r="C61" s="1">
        <f>'YE harvest'!Z78</f>
        <v>1449.45242132918</v>
      </c>
      <c r="D61" s="1">
        <f>'YE harvest'!Y128</f>
        <v>1010.8472744741673</v>
      </c>
      <c r="E61" s="1">
        <f>'YE harvest'!Z128</f>
        <v>44221.423055203413</v>
      </c>
      <c r="F61" s="1">
        <f>'YE harvest'!Y178</f>
        <v>4323.3091952068589</v>
      </c>
      <c r="G61" s="1">
        <f>'YE harvest'!Z178</f>
        <v>3447333.1266314848</v>
      </c>
      <c r="H61" s="1">
        <f>'YE harvest'!Y203</f>
        <v>1524.7131150898849</v>
      </c>
      <c r="I61" s="1">
        <f>'YE harvest'!Z203</f>
        <v>26565.402401851734</v>
      </c>
      <c r="J61" s="2">
        <f>H61+F61+D61+B61</f>
        <v>6973.5036126169098</v>
      </c>
      <c r="K61" s="1">
        <f>SUM(C61,E61,G61,I61)</f>
        <v>3519569.4045098694</v>
      </c>
      <c r="L61">
        <f>SQRT(K61)</f>
        <v>1876.0515463360459</v>
      </c>
      <c r="M61" s="14">
        <f>L61/J61</f>
        <v>0.26902567927860155</v>
      </c>
      <c r="N61" s="14"/>
      <c r="O61" s="101"/>
      <c r="P61">
        <v>1998</v>
      </c>
      <c r="Q61" s="1">
        <f t="shared" ref="Q61:Q85" si="22">B61</f>
        <v>114.63402784599876</v>
      </c>
      <c r="R61" s="102">
        <f t="shared" ref="R61:R85" si="23">SQRT(C61)/Q61</f>
        <v>0.33211495317363787</v>
      </c>
      <c r="S61" s="1">
        <f t="shared" ref="S61:S85" si="24">D61</f>
        <v>1010.8472744741673</v>
      </c>
      <c r="T61" s="102">
        <f t="shared" ref="T61:T85" si="25">SQRT(E61)/S61</f>
        <v>0.20803232010952716</v>
      </c>
      <c r="U61" s="1">
        <f t="shared" ref="U61:U85" si="26">F61</f>
        <v>4323.3091952068589</v>
      </c>
      <c r="V61" s="102">
        <f t="shared" ref="V61:V85" si="27">SQRT(G61)/U61</f>
        <v>0.42946258093039352</v>
      </c>
      <c r="W61" s="1">
        <f t="shared" ref="W61:W85" si="28">H61</f>
        <v>1524.7131150898849</v>
      </c>
      <c r="X61" s="102">
        <f t="shared" ref="X61:X85" si="29">SQRT(I61)/W61</f>
        <v>0.10689811902067479</v>
      </c>
      <c r="Y61" s="2">
        <f>W61+U61+S61+Q61</f>
        <v>6973.5036126169098</v>
      </c>
      <c r="Z61" s="102">
        <f>M61</f>
        <v>0.26902567927860155</v>
      </c>
    </row>
    <row r="62" spans="1:26" x14ac:dyDescent="0.25">
      <c r="A62">
        <v>1999</v>
      </c>
      <c r="B62" s="1">
        <f>'YE harvest'!Y79</f>
        <v>38.800047057367813</v>
      </c>
      <c r="C62" s="1">
        <f>'YE harvest'!Z79</f>
        <v>183.18625267931171</v>
      </c>
      <c r="D62" s="1">
        <f>'YE harvest'!Y129</f>
        <v>1972.8827593606434</v>
      </c>
      <c r="E62" s="1">
        <f>'YE harvest'!Z129</f>
        <v>80270.527527880855</v>
      </c>
      <c r="F62" s="1">
        <f>'YE harvest'!Y179</f>
        <v>6232.4939588887446</v>
      </c>
      <c r="G62" s="1">
        <f>'YE harvest'!Z179</f>
        <v>2348665.7429309236</v>
      </c>
      <c r="H62" s="1">
        <f>'YE harvest'!Y204</f>
        <v>1372.4240179057144</v>
      </c>
      <c r="I62" s="1">
        <f>'YE harvest'!Z204</f>
        <v>10208.269787712341</v>
      </c>
      <c r="J62" s="2">
        <f t="shared" ref="J62:J82" si="30">H62+F62+D62+B62</f>
        <v>9616.6007832124706</v>
      </c>
      <c r="K62" s="1">
        <f t="shared" ref="K62:K82" si="31">SUM(C62,E62,G62,I62)</f>
        <v>2439327.7264991961</v>
      </c>
      <c r="L62">
        <f t="shared" ref="L62:L82" si="32">SQRT(K62)</f>
        <v>1561.8347308531706</v>
      </c>
      <c r="M62" s="14">
        <f t="shared" ref="M62:M82" si="33">L62/J62</f>
        <v>0.1624102701216045</v>
      </c>
      <c r="N62" s="14"/>
      <c r="O62" s="101"/>
      <c r="P62">
        <v>1999</v>
      </c>
      <c r="Q62" s="1">
        <f t="shared" si="22"/>
        <v>38.800047057367813</v>
      </c>
      <c r="R62" s="102">
        <f t="shared" si="23"/>
        <v>0.34883028839758157</v>
      </c>
      <c r="S62" s="1">
        <f t="shared" si="24"/>
        <v>1972.8827593606434</v>
      </c>
      <c r="T62" s="102">
        <f t="shared" si="25"/>
        <v>0.14360738728215727</v>
      </c>
      <c r="U62" s="1">
        <f t="shared" si="26"/>
        <v>6232.4939588887446</v>
      </c>
      <c r="V62" s="102">
        <f t="shared" si="27"/>
        <v>0.24589445787260944</v>
      </c>
      <c r="W62" s="1">
        <f t="shared" si="28"/>
        <v>1372.4240179057144</v>
      </c>
      <c r="X62" s="102">
        <f t="shared" si="29"/>
        <v>7.3618634853537868E-2</v>
      </c>
      <c r="Y62" s="2">
        <f t="shared" ref="Y62:Y85" si="34">W62+U62+S62+Q62</f>
        <v>9616.6007832124706</v>
      </c>
      <c r="Z62" s="102">
        <f t="shared" ref="Z62:Z85" si="35">M62</f>
        <v>0.1624102701216045</v>
      </c>
    </row>
    <row r="63" spans="1:26" x14ac:dyDescent="0.25">
      <c r="A63">
        <v>2000</v>
      </c>
      <c r="B63" s="1">
        <f>'YE harvest'!Y80</f>
        <v>82.832973413741342</v>
      </c>
      <c r="C63" s="1">
        <f>'YE harvest'!Z80</f>
        <v>849.39067247407536</v>
      </c>
      <c r="D63" s="1">
        <f>'YE harvest'!Y130</f>
        <v>2251.7961901175809</v>
      </c>
      <c r="E63" s="1">
        <f>'YE harvest'!Z130</f>
        <v>40224.790898014937</v>
      </c>
      <c r="F63" s="1">
        <f>'YE harvest'!Y180</f>
        <v>4193.5807750539725</v>
      </c>
      <c r="G63" s="1">
        <f>'YE harvest'!Z180</f>
        <v>976643.57380889473</v>
      </c>
      <c r="H63" s="1">
        <f>'YE harvest'!Y205</f>
        <v>2233.1015129593766</v>
      </c>
      <c r="I63" s="1">
        <f>'YE harvest'!Z205</f>
        <v>39802.819046501572</v>
      </c>
      <c r="J63" s="2">
        <f t="shared" si="30"/>
        <v>8761.3114515446705</v>
      </c>
      <c r="K63" s="1">
        <f t="shared" si="31"/>
        <v>1057520.5744258852</v>
      </c>
      <c r="L63">
        <f t="shared" si="32"/>
        <v>1028.3581936396895</v>
      </c>
      <c r="M63" s="14">
        <f t="shared" si="33"/>
        <v>0.11737491576770552</v>
      </c>
      <c r="N63" s="14"/>
      <c r="O63" s="101"/>
      <c r="P63">
        <v>2000</v>
      </c>
      <c r="Q63" s="1">
        <f t="shared" si="22"/>
        <v>82.832973413741342</v>
      </c>
      <c r="R63" s="102">
        <f t="shared" si="23"/>
        <v>0.3518442779345764</v>
      </c>
      <c r="S63" s="1">
        <f t="shared" si="24"/>
        <v>2251.7961901175809</v>
      </c>
      <c r="T63" s="102">
        <f t="shared" si="25"/>
        <v>8.9067203679422571E-2</v>
      </c>
      <c r="U63" s="1">
        <f t="shared" si="26"/>
        <v>4193.5807750539725</v>
      </c>
      <c r="V63" s="102">
        <f t="shared" si="27"/>
        <v>0.23565846025744197</v>
      </c>
      <c r="W63" s="1">
        <f t="shared" si="28"/>
        <v>2233.1015129593766</v>
      </c>
      <c r="X63" s="102">
        <f t="shared" si="29"/>
        <v>8.9340514728658851E-2</v>
      </c>
      <c r="Y63" s="2">
        <f t="shared" si="34"/>
        <v>8761.3114515446705</v>
      </c>
      <c r="Z63" s="102">
        <f t="shared" si="35"/>
        <v>0.11737491576770552</v>
      </c>
    </row>
    <row r="64" spans="1:26" x14ac:dyDescent="0.25">
      <c r="A64">
        <v>2001</v>
      </c>
      <c r="B64" s="1">
        <f>'YE harvest'!Y81</f>
        <v>26.247090656454695</v>
      </c>
      <c r="C64" s="1">
        <f>'YE harvest'!Z81</f>
        <v>83.8283111309307</v>
      </c>
      <c r="D64" s="1">
        <f>'YE harvest'!Y131</f>
        <v>3630.8895239532312</v>
      </c>
      <c r="E64" s="1">
        <f>'YE harvest'!Z131</f>
        <v>338783.6415280581</v>
      </c>
      <c r="F64" s="1">
        <f>'YE harvest'!Y181</f>
        <v>16006.251354019303</v>
      </c>
      <c r="G64" s="1">
        <f>'YE harvest'!Z181</f>
        <v>19594790.40506532</v>
      </c>
      <c r="H64" s="1">
        <f>'YE harvest'!Y206</f>
        <v>3273.5906180914117</v>
      </c>
      <c r="I64" s="1">
        <f>'YE harvest'!Z206</f>
        <v>174718.16879700258</v>
      </c>
      <c r="J64" s="2">
        <f t="shared" si="30"/>
        <v>22936.978586720401</v>
      </c>
      <c r="K64" s="1">
        <f t="shared" si="31"/>
        <v>20108376.043701511</v>
      </c>
      <c r="L64">
        <f t="shared" si="32"/>
        <v>4484.236394716665</v>
      </c>
      <c r="M64" s="14">
        <f t="shared" si="33"/>
        <v>0.19550248860208902</v>
      </c>
      <c r="N64" s="14"/>
      <c r="O64" s="101"/>
      <c r="P64">
        <v>2001</v>
      </c>
      <c r="Q64" s="1">
        <f t="shared" si="22"/>
        <v>26.247090656454695</v>
      </c>
      <c r="R64" s="102">
        <f t="shared" si="23"/>
        <v>0.34883028839758157</v>
      </c>
      <c r="S64" s="1">
        <f t="shared" si="24"/>
        <v>3630.8895239532312</v>
      </c>
      <c r="T64" s="102">
        <f t="shared" si="25"/>
        <v>0.1603054106524186</v>
      </c>
      <c r="U64" s="1">
        <f t="shared" si="26"/>
        <v>16006.251354019303</v>
      </c>
      <c r="V64" s="102">
        <f t="shared" si="27"/>
        <v>0.27655446759234742</v>
      </c>
      <c r="W64" s="1">
        <f t="shared" si="28"/>
        <v>3273.5906180914117</v>
      </c>
      <c r="X64" s="102">
        <f t="shared" si="29"/>
        <v>0.12768640724609009</v>
      </c>
      <c r="Y64" s="2">
        <f t="shared" si="34"/>
        <v>22936.978586720401</v>
      </c>
      <c r="Z64" s="102">
        <f t="shared" si="35"/>
        <v>0.19550248860208902</v>
      </c>
    </row>
    <row r="65" spans="1:26" x14ac:dyDescent="0.25">
      <c r="A65">
        <v>2002</v>
      </c>
      <c r="B65" s="1">
        <f>'YE harvest'!Y82</f>
        <v>130.71241575619871</v>
      </c>
      <c r="C65" s="1">
        <f>'YE harvest'!Z82</f>
        <v>2187.974912541385</v>
      </c>
      <c r="D65" s="1">
        <f>'YE harvest'!Y132</f>
        <v>2277.5040950429998</v>
      </c>
      <c r="E65" s="1">
        <f>'YE harvest'!Z132</f>
        <v>50640.435868406821</v>
      </c>
      <c r="F65" s="1">
        <f>'YE harvest'!Y182</f>
        <v>12764.663929567156</v>
      </c>
      <c r="G65" s="1">
        <f>'YE harvest'!Z182</f>
        <v>11597618.258280305</v>
      </c>
      <c r="H65" s="1">
        <f>'YE harvest'!Y207</f>
        <v>2405.0861038705875</v>
      </c>
      <c r="I65" s="1">
        <f>'YE harvest'!Z207</f>
        <v>38193.568894065749</v>
      </c>
      <c r="J65" s="2">
        <f t="shared" si="30"/>
        <v>17577.966544236944</v>
      </c>
      <c r="K65" s="1">
        <f t="shared" si="31"/>
        <v>11688640.237955319</v>
      </c>
      <c r="L65">
        <f t="shared" si="32"/>
        <v>3418.8653436418522</v>
      </c>
      <c r="M65" s="14">
        <f t="shared" si="33"/>
        <v>0.19449720393072145</v>
      </c>
      <c r="N65" s="14"/>
      <c r="O65" s="101"/>
      <c r="P65">
        <v>2002</v>
      </c>
      <c r="Q65" s="1">
        <f t="shared" si="22"/>
        <v>130.71241575619871</v>
      </c>
      <c r="R65" s="102">
        <f t="shared" si="23"/>
        <v>0.35785272437328502</v>
      </c>
      <c r="S65" s="1">
        <f t="shared" si="24"/>
        <v>2277.5040950429998</v>
      </c>
      <c r="T65" s="102">
        <f t="shared" si="25"/>
        <v>9.8807418087749413E-2</v>
      </c>
      <c r="U65" s="1">
        <f t="shared" si="26"/>
        <v>12764.663929567156</v>
      </c>
      <c r="V65" s="102">
        <f t="shared" si="27"/>
        <v>0.26679336191714403</v>
      </c>
      <c r="W65" s="1">
        <f t="shared" si="28"/>
        <v>2405.0861038705875</v>
      </c>
      <c r="X65" s="102">
        <f t="shared" si="29"/>
        <v>8.1257693705716047E-2</v>
      </c>
      <c r="Y65" s="2">
        <f t="shared" si="34"/>
        <v>17577.966544236944</v>
      </c>
      <c r="Z65" s="102">
        <f t="shared" si="35"/>
        <v>0.19449720393072145</v>
      </c>
    </row>
    <row r="66" spans="1:26" x14ac:dyDescent="0.25">
      <c r="A66">
        <v>2003</v>
      </c>
      <c r="B66" s="1">
        <f>'YE harvest'!Y83</f>
        <v>196.73455169304972</v>
      </c>
      <c r="C66" s="1">
        <f>'YE harvest'!Z83</f>
        <v>5871.3593322443803</v>
      </c>
      <c r="D66" s="1">
        <f>'YE harvest'!Y133</f>
        <v>3741.5840380937025</v>
      </c>
      <c r="E66" s="1">
        <f>'YE harvest'!Z133</f>
        <v>88646.554189123839</v>
      </c>
      <c r="F66" s="1">
        <f>'YE harvest'!Y183</f>
        <v>7553.370735548353</v>
      </c>
      <c r="G66" s="1">
        <f>'YE harvest'!Z183</f>
        <v>2972066.8030931163</v>
      </c>
      <c r="H66" s="1">
        <f>'YE harvest'!Y208</f>
        <v>2217.1441774115324</v>
      </c>
      <c r="I66" s="1">
        <f>'YE harvest'!Z208</f>
        <v>10746.523525848075</v>
      </c>
      <c r="J66" s="2">
        <f t="shared" si="30"/>
        <v>13708.833502746636</v>
      </c>
      <c r="K66" s="1">
        <f t="shared" si="31"/>
        <v>3077331.2401403324</v>
      </c>
      <c r="L66">
        <f t="shared" si="32"/>
        <v>1754.23237917339</v>
      </c>
      <c r="M66" s="14">
        <f t="shared" si="33"/>
        <v>0.12796365050475814</v>
      </c>
      <c r="N66" s="14"/>
      <c r="O66" s="101"/>
      <c r="P66">
        <v>2003</v>
      </c>
      <c r="Q66" s="1">
        <f t="shared" si="22"/>
        <v>196.73455169304972</v>
      </c>
      <c r="R66" s="102">
        <f t="shared" si="23"/>
        <v>0.3894831647321208</v>
      </c>
      <c r="S66" s="1">
        <f t="shared" si="24"/>
        <v>3741.5840380937025</v>
      </c>
      <c r="T66" s="102">
        <f t="shared" si="25"/>
        <v>7.9574776070827385E-2</v>
      </c>
      <c r="U66" s="1">
        <f t="shared" si="26"/>
        <v>7553.370735548353</v>
      </c>
      <c r="V66" s="102">
        <f t="shared" si="27"/>
        <v>0.22823827803910768</v>
      </c>
      <c r="W66" s="1">
        <f t="shared" si="28"/>
        <v>2217.1441774115324</v>
      </c>
      <c r="X66" s="102">
        <f t="shared" si="29"/>
        <v>4.6756291909243262E-2</v>
      </c>
      <c r="Y66" s="2">
        <f t="shared" si="34"/>
        <v>13708.833502746636</v>
      </c>
      <c r="Z66" s="102">
        <f t="shared" si="35"/>
        <v>0.12796365050475814</v>
      </c>
    </row>
    <row r="67" spans="1:26" x14ac:dyDescent="0.25">
      <c r="A67">
        <v>2004</v>
      </c>
      <c r="B67" s="1">
        <f>'YE harvest'!Y84</f>
        <v>156.20412224047752</v>
      </c>
      <c r="C67" s="1">
        <f>'YE harvest'!Z84</f>
        <v>4795.2910330713103</v>
      </c>
      <c r="D67" s="1">
        <f>'YE harvest'!Y134</f>
        <v>4547.3562745164036</v>
      </c>
      <c r="E67" s="1">
        <f>'YE harvest'!Z134</f>
        <v>186867.48817068859</v>
      </c>
      <c r="F67" s="1">
        <f>'YE harvest'!Y184</f>
        <v>10754.231952603139</v>
      </c>
      <c r="G67" s="1">
        <f>'YE harvest'!Z184</f>
        <v>7670993.6406920338</v>
      </c>
      <c r="H67" s="1">
        <f>'YE harvest'!Y209</f>
        <v>2785.262202098957</v>
      </c>
      <c r="I67" s="1">
        <f>'YE harvest'!Z209</f>
        <v>18251.799672261717</v>
      </c>
      <c r="J67" s="2">
        <f t="shared" si="30"/>
        <v>18243.054551458976</v>
      </c>
      <c r="K67" s="1">
        <f t="shared" si="31"/>
        <v>7880908.2195680551</v>
      </c>
      <c r="L67">
        <f t="shared" si="32"/>
        <v>2807.2955347750717</v>
      </c>
      <c r="M67" s="14">
        <f t="shared" si="33"/>
        <v>0.15388297649696828</v>
      </c>
      <c r="N67" s="14"/>
      <c r="O67" s="101"/>
      <c r="P67">
        <v>2004</v>
      </c>
      <c r="Q67" s="1">
        <f t="shared" si="22"/>
        <v>156.20412224047752</v>
      </c>
      <c r="R67" s="102">
        <f t="shared" si="23"/>
        <v>0.44331762138534381</v>
      </c>
      <c r="S67" s="1">
        <f t="shared" si="24"/>
        <v>4547.3562745164036</v>
      </c>
      <c r="T67" s="102">
        <f t="shared" si="25"/>
        <v>9.5062206929741405E-2</v>
      </c>
      <c r="U67" s="1">
        <f t="shared" si="26"/>
        <v>10754.231952603139</v>
      </c>
      <c r="V67" s="102">
        <f t="shared" si="27"/>
        <v>0.25754102037708709</v>
      </c>
      <c r="W67" s="1">
        <f t="shared" si="28"/>
        <v>2785.262202098957</v>
      </c>
      <c r="X67" s="102">
        <f t="shared" si="29"/>
        <v>4.8505028173264249E-2</v>
      </c>
      <c r="Y67" s="2">
        <f t="shared" si="34"/>
        <v>18243.054551458976</v>
      </c>
      <c r="Z67" s="102">
        <f t="shared" si="35"/>
        <v>0.15388297649696828</v>
      </c>
    </row>
    <row r="68" spans="1:26" x14ac:dyDescent="0.25">
      <c r="A68">
        <v>2005</v>
      </c>
      <c r="B68" s="1">
        <f>'YE harvest'!Y85</f>
        <v>100.95751210525455</v>
      </c>
      <c r="C68" s="1">
        <f>'YE harvest'!Z85</f>
        <v>2491.0443910610079</v>
      </c>
      <c r="D68" s="1">
        <f>'YE harvest'!Y135</f>
        <v>4442.565926288662</v>
      </c>
      <c r="E68" s="1">
        <f>'YE harvest'!Z135</f>
        <v>197365.49838504748</v>
      </c>
      <c r="F68" s="1">
        <f>'YE harvest'!Y185</f>
        <v>15412.96534265212</v>
      </c>
      <c r="G68" s="1">
        <f>'YE harvest'!Z185</f>
        <v>17284835.202409342</v>
      </c>
      <c r="H68" s="1">
        <f>'YE harvest'!Y210</f>
        <v>1719.0524302587439</v>
      </c>
      <c r="I68" s="1">
        <f>'YE harvest'!Z210</f>
        <v>18664.966946020795</v>
      </c>
      <c r="J68" s="2">
        <f t="shared" si="30"/>
        <v>21675.541211304782</v>
      </c>
      <c r="K68" s="1">
        <f t="shared" si="31"/>
        <v>17503356.71213147</v>
      </c>
      <c r="L68">
        <f t="shared" si="32"/>
        <v>4183.7013172705665</v>
      </c>
      <c r="M68" s="14">
        <f t="shared" si="33"/>
        <v>0.19301484915581141</v>
      </c>
      <c r="N68" s="14"/>
      <c r="O68" s="101"/>
      <c r="P68">
        <v>2005</v>
      </c>
      <c r="Q68" s="1">
        <f t="shared" si="22"/>
        <v>100.95751210525455</v>
      </c>
      <c r="R68" s="102">
        <f t="shared" si="23"/>
        <v>0.49436998320311487</v>
      </c>
      <c r="S68" s="1">
        <f t="shared" si="24"/>
        <v>4442.565926288662</v>
      </c>
      <c r="T68" s="102">
        <f t="shared" si="25"/>
        <v>0.10000039984199771</v>
      </c>
      <c r="U68" s="1">
        <f t="shared" si="26"/>
        <v>15412.96534265212</v>
      </c>
      <c r="V68" s="102">
        <f t="shared" si="27"/>
        <v>0.26974066245662282</v>
      </c>
      <c r="W68" s="1">
        <f t="shared" si="28"/>
        <v>1719.0524302587439</v>
      </c>
      <c r="X68" s="102">
        <f t="shared" si="29"/>
        <v>7.9473893480951394E-2</v>
      </c>
      <c r="Y68" s="2">
        <f t="shared" si="34"/>
        <v>21675.541211304782</v>
      </c>
      <c r="Z68" s="102">
        <f t="shared" si="35"/>
        <v>0.19301484915581141</v>
      </c>
    </row>
    <row r="69" spans="1:26" x14ac:dyDescent="0.25">
      <c r="A69">
        <v>2006</v>
      </c>
      <c r="B69" s="1">
        <f>'YE harvest'!Y86</f>
        <v>126.6134894673573</v>
      </c>
      <c r="C69" s="1">
        <f>'YE harvest'!Z86</f>
        <v>959.99482873504633</v>
      </c>
      <c r="D69" s="1">
        <f>'YE harvest'!Y136</f>
        <v>4727.1493236848582</v>
      </c>
      <c r="E69" s="1">
        <f>'YE harvest'!Z136</f>
        <v>244784.96247408152</v>
      </c>
      <c r="F69" s="1">
        <f>'YE harvest'!Y186</f>
        <v>7057.6247000212579</v>
      </c>
      <c r="G69" s="1">
        <f>'YE harvest'!Z186</f>
        <v>2634093.1327502974</v>
      </c>
      <c r="H69" s="1">
        <f>'YE harvest'!Y211</f>
        <v>2735.8421010569841</v>
      </c>
      <c r="I69" s="1">
        <f>'YE harvest'!Z211</f>
        <v>37029.989094072931</v>
      </c>
      <c r="J69" s="2">
        <f t="shared" si="30"/>
        <v>14647.229614230459</v>
      </c>
      <c r="K69" s="1">
        <f t="shared" si="31"/>
        <v>2916868.0791471871</v>
      </c>
      <c r="L69">
        <f t="shared" si="32"/>
        <v>1707.8840941782867</v>
      </c>
      <c r="M69" s="14">
        <f t="shared" si="33"/>
        <v>0.11660116890084106</v>
      </c>
      <c r="N69" s="14"/>
      <c r="O69" s="101"/>
      <c r="P69">
        <v>2006</v>
      </c>
      <c r="Q69" s="1">
        <f t="shared" si="22"/>
        <v>126.6134894673573</v>
      </c>
      <c r="R69" s="102">
        <f t="shared" si="23"/>
        <v>0.24471155047508306</v>
      </c>
      <c r="S69" s="1">
        <f t="shared" si="24"/>
        <v>4727.1493236848582</v>
      </c>
      <c r="T69" s="102">
        <f t="shared" si="25"/>
        <v>0.10466296800967671</v>
      </c>
      <c r="U69" s="1">
        <f t="shared" si="26"/>
        <v>7057.6247000212579</v>
      </c>
      <c r="V69" s="102">
        <f t="shared" si="27"/>
        <v>0.22996249011102329</v>
      </c>
      <c r="W69" s="1">
        <f t="shared" si="28"/>
        <v>2735.8421010569841</v>
      </c>
      <c r="X69" s="102">
        <f t="shared" si="29"/>
        <v>7.0337311386270446E-2</v>
      </c>
      <c r="Y69" s="2">
        <f t="shared" si="34"/>
        <v>14647.229614230459</v>
      </c>
      <c r="Z69" s="102">
        <f t="shared" si="35"/>
        <v>0.11660116890084106</v>
      </c>
    </row>
    <row r="70" spans="1:26" x14ac:dyDescent="0.25">
      <c r="A70">
        <v>2007</v>
      </c>
      <c r="B70" s="1">
        <f>'YE harvest'!Y87</f>
        <v>123.72875336864286</v>
      </c>
      <c r="C70" s="1">
        <f>'YE harvest'!Z87</f>
        <v>1036.288411745099</v>
      </c>
      <c r="D70" s="1">
        <f>'YE harvest'!Y137</f>
        <v>4495.907789828324</v>
      </c>
      <c r="E70" s="1">
        <f>'YE harvest'!Z137</f>
        <v>191927.67182623615</v>
      </c>
      <c r="F70" s="1">
        <f>'YE harvest'!Y187</f>
        <v>6812.5266224150455</v>
      </c>
      <c r="G70" s="1">
        <f>'YE harvest'!Z187</f>
        <v>2549364.0552363289</v>
      </c>
      <c r="H70" s="1">
        <f>'YE harvest'!Y212</f>
        <v>3686.3072569496212</v>
      </c>
      <c r="I70" s="1">
        <f>'YE harvest'!Z212</f>
        <v>66112.629091395691</v>
      </c>
      <c r="J70" s="2">
        <f t="shared" si="30"/>
        <v>15118.470422561633</v>
      </c>
      <c r="K70" s="1">
        <f t="shared" si="31"/>
        <v>2808440.6445657057</v>
      </c>
      <c r="L70">
        <f t="shared" si="32"/>
        <v>1675.8402801477548</v>
      </c>
      <c r="M70" s="14">
        <f t="shared" si="33"/>
        <v>0.11084721094846081</v>
      </c>
      <c r="N70" s="14"/>
      <c r="O70" s="101"/>
      <c r="P70">
        <v>2007</v>
      </c>
      <c r="Q70" s="1">
        <f t="shared" si="22"/>
        <v>123.72875336864286</v>
      </c>
      <c r="R70" s="102">
        <f t="shared" si="23"/>
        <v>0.26017746844698764</v>
      </c>
      <c r="S70" s="1">
        <f t="shared" si="24"/>
        <v>4495.907789828324</v>
      </c>
      <c r="T70" s="102">
        <f t="shared" si="25"/>
        <v>9.7443169622410744E-2</v>
      </c>
      <c r="U70" s="1">
        <f t="shared" si="26"/>
        <v>6812.5266224150455</v>
      </c>
      <c r="V70" s="102">
        <f t="shared" si="27"/>
        <v>0.23437307423767478</v>
      </c>
      <c r="W70" s="1">
        <f t="shared" si="28"/>
        <v>3686.3072569496212</v>
      </c>
      <c r="X70" s="102">
        <f t="shared" si="29"/>
        <v>6.9751039260791153E-2</v>
      </c>
      <c r="Y70" s="2">
        <f t="shared" si="34"/>
        <v>15118.470422561633</v>
      </c>
      <c r="Z70" s="102">
        <f t="shared" si="35"/>
        <v>0.11084721094846081</v>
      </c>
    </row>
    <row r="71" spans="1:26" x14ac:dyDescent="0.25">
      <c r="A71">
        <v>2008</v>
      </c>
      <c r="B71" s="1">
        <f>'YE harvest'!Y88</f>
        <v>121.12828977583996</v>
      </c>
      <c r="C71" s="1">
        <f>'YE harvest'!Z88</f>
        <v>740.37732387859967</v>
      </c>
      <c r="D71" s="1">
        <f>'YE harvest'!Y138</f>
        <v>4994.3702105900184</v>
      </c>
      <c r="E71" s="1">
        <f>'YE harvest'!Z138</f>
        <v>229832.51189152815</v>
      </c>
      <c r="F71" s="1">
        <f>'YE harvest'!Y188</f>
        <v>6020.3625949699981</v>
      </c>
      <c r="G71" s="1">
        <f>'YE harvest'!Z188</f>
        <v>2032250.8006673334</v>
      </c>
      <c r="H71" s="1">
        <f>'YE harvest'!Y213</f>
        <v>3344.2297301840117</v>
      </c>
      <c r="I71" s="1">
        <f>'YE harvest'!Z213</f>
        <v>79629.446460490246</v>
      </c>
      <c r="J71" s="2">
        <f t="shared" si="30"/>
        <v>14480.090825519866</v>
      </c>
      <c r="K71" s="1">
        <f t="shared" si="31"/>
        <v>2342453.1363432305</v>
      </c>
      <c r="L71">
        <f t="shared" si="32"/>
        <v>1530.5074767354881</v>
      </c>
      <c r="M71" s="14">
        <f t="shared" si="33"/>
        <v>0.10569736717659985</v>
      </c>
      <c r="N71" s="14"/>
      <c r="O71" s="101"/>
      <c r="P71">
        <v>2008</v>
      </c>
      <c r="Q71" s="1">
        <f t="shared" si="22"/>
        <v>121.12828977583996</v>
      </c>
      <c r="R71" s="102">
        <f t="shared" si="23"/>
        <v>0.22463683368098589</v>
      </c>
      <c r="S71" s="1">
        <f t="shared" si="24"/>
        <v>4994.3702105900184</v>
      </c>
      <c r="T71" s="102">
        <f t="shared" si="25"/>
        <v>9.5989780871565428E-2</v>
      </c>
      <c r="U71" s="1">
        <f t="shared" si="26"/>
        <v>6020.3625949699981</v>
      </c>
      <c r="V71" s="102">
        <f t="shared" si="27"/>
        <v>0.23679144233415911</v>
      </c>
      <c r="W71" s="1">
        <f t="shared" si="28"/>
        <v>3344.2297301840117</v>
      </c>
      <c r="X71" s="102">
        <f t="shared" si="29"/>
        <v>8.4380237794984769E-2</v>
      </c>
      <c r="Y71" s="2">
        <f t="shared" si="34"/>
        <v>14480.090825519866</v>
      </c>
      <c r="Z71" s="102">
        <f t="shared" si="35"/>
        <v>0.10569736717659985</v>
      </c>
    </row>
    <row r="72" spans="1:26" x14ac:dyDescent="0.25">
      <c r="A72">
        <v>2009</v>
      </c>
      <c r="B72" s="1">
        <f>'YE harvest'!Y89</f>
        <v>142</v>
      </c>
      <c r="C72" s="1">
        <f>'YE harvest'!Z89</f>
        <v>0</v>
      </c>
      <c r="D72" s="1">
        <f>'YE harvest'!Y139</f>
        <v>3701.4340015587459</v>
      </c>
      <c r="E72" s="1">
        <f>'YE harvest'!Z139</f>
        <v>96558.296479844939</v>
      </c>
      <c r="F72" s="1">
        <f>'YE harvest'!Y189</f>
        <v>6656.4104345946271</v>
      </c>
      <c r="G72" s="1">
        <f>'YE harvest'!Z189</f>
        <v>2785449.3002179079</v>
      </c>
      <c r="H72" s="1">
        <f>'YE harvest'!Y214</f>
        <v>3440.3571153935532</v>
      </c>
      <c r="I72" s="1">
        <f>'YE harvest'!Z214</f>
        <v>79271.598388663289</v>
      </c>
      <c r="J72" s="2">
        <f t="shared" si="30"/>
        <v>13940.201551546927</v>
      </c>
      <c r="K72" s="1">
        <f t="shared" si="31"/>
        <v>2961279.1950864163</v>
      </c>
      <c r="L72">
        <f t="shared" si="32"/>
        <v>1720.8367717730862</v>
      </c>
      <c r="M72" s="14">
        <f t="shared" si="33"/>
        <v>0.12344418159306507</v>
      </c>
      <c r="N72" s="14"/>
      <c r="O72" s="101"/>
      <c r="P72">
        <v>2009</v>
      </c>
      <c r="Q72" s="1">
        <f t="shared" si="22"/>
        <v>142</v>
      </c>
      <c r="R72" s="102">
        <f t="shared" si="23"/>
        <v>0</v>
      </c>
      <c r="S72" s="1">
        <f t="shared" si="24"/>
        <v>3701.4340015587459</v>
      </c>
      <c r="T72" s="102">
        <f t="shared" si="25"/>
        <v>8.3950790030779848E-2</v>
      </c>
      <c r="U72" s="1">
        <f t="shared" si="26"/>
        <v>6656.4104345946271</v>
      </c>
      <c r="V72" s="102">
        <f t="shared" si="27"/>
        <v>0.25073071334428049</v>
      </c>
      <c r="W72" s="1">
        <f t="shared" si="28"/>
        <v>3440.3571153935532</v>
      </c>
      <c r="X72" s="102">
        <f t="shared" si="29"/>
        <v>8.1838051779903664E-2</v>
      </c>
      <c r="Y72" s="2">
        <f t="shared" si="34"/>
        <v>13940.201551546927</v>
      </c>
      <c r="Z72" s="102">
        <f t="shared" si="35"/>
        <v>0.12344418159306507</v>
      </c>
    </row>
    <row r="73" spans="1:26" x14ac:dyDescent="0.25">
      <c r="A73">
        <v>2010</v>
      </c>
      <c r="B73" s="1">
        <f>'YE harvest'!Y90</f>
        <v>185</v>
      </c>
      <c r="C73" s="1">
        <f>'YE harvest'!Z90</f>
        <v>0</v>
      </c>
      <c r="D73" s="1">
        <f>'YE harvest'!Y140</f>
        <v>4968.1559316658286</v>
      </c>
      <c r="E73" s="1">
        <f>'YE harvest'!Z140</f>
        <v>165607.82478112992</v>
      </c>
      <c r="F73" s="1">
        <f>'YE harvest'!Y190</f>
        <v>5890.5222992868257</v>
      </c>
      <c r="G73" s="1">
        <f>'YE harvest'!Z190</f>
        <v>1682967.6389811821</v>
      </c>
      <c r="H73" s="1">
        <f>'YE harvest'!Y215</f>
        <v>3859.3487313610804</v>
      </c>
      <c r="I73" s="1">
        <f>'YE harvest'!Z215</f>
        <v>29533.855682679761</v>
      </c>
      <c r="J73" s="2">
        <f t="shared" si="30"/>
        <v>14903.026962313736</v>
      </c>
      <c r="K73" s="1">
        <f t="shared" si="31"/>
        <v>1878109.3194449916</v>
      </c>
      <c r="L73">
        <f t="shared" si="32"/>
        <v>1370.4412863909902</v>
      </c>
      <c r="M73" s="14">
        <f t="shared" si="33"/>
        <v>9.1957243978455866E-2</v>
      </c>
      <c r="N73" s="14"/>
      <c r="O73" s="101"/>
      <c r="P73">
        <v>2010</v>
      </c>
      <c r="Q73" s="1">
        <f t="shared" si="22"/>
        <v>185</v>
      </c>
      <c r="R73" s="102">
        <f t="shared" si="23"/>
        <v>0</v>
      </c>
      <c r="S73" s="1">
        <f t="shared" si="24"/>
        <v>4968.1559316658286</v>
      </c>
      <c r="T73" s="102">
        <f t="shared" si="25"/>
        <v>8.191156208593485E-2</v>
      </c>
      <c r="U73" s="1">
        <f t="shared" si="26"/>
        <v>5890.5222992868257</v>
      </c>
      <c r="V73" s="102">
        <f t="shared" si="27"/>
        <v>0.22023385368060924</v>
      </c>
      <c r="W73" s="1">
        <f t="shared" si="28"/>
        <v>3859.3487313610804</v>
      </c>
      <c r="X73" s="102">
        <f t="shared" si="29"/>
        <v>4.452931874700887E-2</v>
      </c>
      <c r="Y73" s="2">
        <f t="shared" si="34"/>
        <v>14903.026962313736</v>
      </c>
      <c r="Z73" s="102">
        <f t="shared" si="35"/>
        <v>9.1957243978455866E-2</v>
      </c>
    </row>
    <row r="74" spans="1:26" x14ac:dyDescent="0.25">
      <c r="A74">
        <v>2011</v>
      </c>
      <c r="B74" s="1">
        <f>'YE harvest'!Y91</f>
        <v>217.90577346278317</v>
      </c>
      <c r="C74" s="1">
        <f>'YE harvest'!Z91</f>
        <v>727.16792649825948</v>
      </c>
      <c r="D74" s="1">
        <f>'YE harvest'!Y141</f>
        <v>10669.006809314189</v>
      </c>
      <c r="E74" s="1">
        <f>'YE harvest'!Z141</f>
        <v>1126956.7115097037</v>
      </c>
      <c r="F74" s="1">
        <f>'YE harvest'!Y191</f>
        <v>10013.149281726068</v>
      </c>
      <c r="G74" s="1">
        <f>'YE harvest'!Z191</f>
        <v>2976149.5126310452</v>
      </c>
      <c r="H74" s="1">
        <f>'YE harvest'!Y216</f>
        <v>3631.4346867570644</v>
      </c>
      <c r="I74" s="1">
        <f>'YE harvest'!Z216</f>
        <v>28658.036583455534</v>
      </c>
      <c r="J74" s="2">
        <f t="shared" si="30"/>
        <v>24531.496551260101</v>
      </c>
      <c r="K74" s="1">
        <f t="shared" si="31"/>
        <v>4132491.4286507028</v>
      </c>
      <c r="L74">
        <f t="shared" si="32"/>
        <v>2032.853026819869</v>
      </c>
      <c r="M74" s="14">
        <f t="shared" si="33"/>
        <v>8.2867061231755468E-2</v>
      </c>
      <c r="N74" s="14"/>
      <c r="O74" s="101"/>
      <c r="P74">
        <v>2011</v>
      </c>
      <c r="Q74" s="1">
        <f t="shared" si="22"/>
        <v>217.90577346278317</v>
      </c>
      <c r="R74" s="102">
        <f t="shared" si="23"/>
        <v>0.12375097245768216</v>
      </c>
      <c r="S74" s="1">
        <f t="shared" si="24"/>
        <v>10669.006809314189</v>
      </c>
      <c r="T74" s="102">
        <f t="shared" si="25"/>
        <v>9.9501499311960048E-2</v>
      </c>
      <c r="U74" s="1">
        <f t="shared" si="26"/>
        <v>10013.149281726068</v>
      </c>
      <c r="V74" s="102">
        <f t="shared" si="27"/>
        <v>0.17228865538796798</v>
      </c>
      <c r="W74" s="1">
        <f t="shared" si="28"/>
        <v>3631.4346867570644</v>
      </c>
      <c r="X74" s="102">
        <f t="shared" si="29"/>
        <v>4.6617070565899067E-2</v>
      </c>
      <c r="Y74" s="2">
        <f t="shared" si="34"/>
        <v>24531.496551260101</v>
      </c>
      <c r="Z74" s="102">
        <f t="shared" si="35"/>
        <v>8.2867061231755468E-2</v>
      </c>
    </row>
    <row r="75" spans="1:26" x14ac:dyDescent="0.25">
      <c r="A75">
        <v>2012</v>
      </c>
      <c r="B75" s="1">
        <f>'YE harvest'!Y92</f>
        <v>285.76097223449557</v>
      </c>
      <c r="C75" s="1">
        <f>'YE harvest'!Z92</f>
        <v>7184.4321390592459</v>
      </c>
      <c r="D75" s="1">
        <f>'YE harvest'!Y142</f>
        <v>7206.7994962189441</v>
      </c>
      <c r="E75" s="1">
        <f>'YE harvest'!Z142</f>
        <v>280285.22794866329</v>
      </c>
      <c r="F75" s="1">
        <f>'YE harvest'!Y192</f>
        <v>11293.970363139695</v>
      </c>
      <c r="G75" s="1">
        <f>'YE harvest'!Z192</f>
        <v>3221587.3021060699</v>
      </c>
      <c r="H75" s="1">
        <f>'YE harvest'!Y217</f>
        <v>3898.828160604784</v>
      </c>
      <c r="I75" s="1">
        <f>'YE harvest'!Z217</f>
        <v>18227.103922439994</v>
      </c>
      <c r="J75" s="2">
        <f t="shared" si="30"/>
        <v>22685.358992197918</v>
      </c>
      <c r="K75" s="1">
        <f t="shared" si="31"/>
        <v>3527284.0661162324</v>
      </c>
      <c r="L75">
        <f t="shared" si="32"/>
        <v>1878.1065108550772</v>
      </c>
      <c r="M75" s="14">
        <f t="shared" si="33"/>
        <v>8.2789366987800664E-2</v>
      </c>
      <c r="N75" s="14"/>
      <c r="O75" s="101"/>
      <c r="P75">
        <v>2012</v>
      </c>
      <c r="Q75" s="1">
        <f t="shared" si="22"/>
        <v>285.76097223449557</v>
      </c>
      <c r="R75" s="102">
        <f t="shared" si="23"/>
        <v>0.29661513585440613</v>
      </c>
      <c r="S75" s="1">
        <f t="shared" si="24"/>
        <v>7206.7994962189441</v>
      </c>
      <c r="T75" s="102">
        <f t="shared" si="25"/>
        <v>7.3461140269971525E-2</v>
      </c>
      <c r="U75" s="1">
        <f t="shared" si="26"/>
        <v>11293.970363139695</v>
      </c>
      <c r="V75" s="102">
        <f t="shared" si="27"/>
        <v>0.15892356865909141</v>
      </c>
      <c r="W75" s="1">
        <f t="shared" si="28"/>
        <v>3898.828160604784</v>
      </c>
      <c r="X75" s="102">
        <f t="shared" si="29"/>
        <v>3.4627787252751084E-2</v>
      </c>
      <c r="Y75" s="2">
        <f t="shared" si="34"/>
        <v>22685.358992197918</v>
      </c>
      <c r="Z75" s="102">
        <f t="shared" si="35"/>
        <v>8.2789366987800664E-2</v>
      </c>
    </row>
    <row r="76" spans="1:26" x14ac:dyDescent="0.25">
      <c r="A76">
        <v>2013</v>
      </c>
      <c r="B76" s="1">
        <f>'YE harvest'!Y93</f>
        <v>340.58643347341899</v>
      </c>
      <c r="C76" s="1">
        <f>'YE harvest'!Z93</f>
        <v>9387.3724835280427</v>
      </c>
      <c r="D76" s="1">
        <f>'YE harvest'!Y143</f>
        <v>5204.2948050256036</v>
      </c>
      <c r="E76" s="1">
        <f>'YE harvest'!Z143</f>
        <v>84526.258196291819</v>
      </c>
      <c r="F76" s="1">
        <f>'YE harvest'!Y193</f>
        <v>8547.6810594375947</v>
      </c>
      <c r="G76" s="1">
        <f>'YE harvest'!Z193</f>
        <v>1610853.6377651179</v>
      </c>
      <c r="H76" s="1">
        <f>'YE harvest'!Y218</f>
        <v>3983.719893661133</v>
      </c>
      <c r="I76" s="1">
        <f>'YE harvest'!Z218</f>
        <v>40364.440378622865</v>
      </c>
      <c r="J76" s="2">
        <f t="shared" si="30"/>
        <v>18076.282191597751</v>
      </c>
      <c r="K76" s="1">
        <f t="shared" si="31"/>
        <v>1745131.7088235607</v>
      </c>
      <c r="L76">
        <f t="shared" si="32"/>
        <v>1321.0343329465593</v>
      </c>
      <c r="M76" s="14">
        <f t="shared" si="33"/>
        <v>7.3081085974670432E-2</v>
      </c>
      <c r="N76" s="14"/>
      <c r="O76" s="101"/>
      <c r="P76">
        <v>2013</v>
      </c>
      <c r="Q76" s="1">
        <f t="shared" si="22"/>
        <v>340.58643347341899</v>
      </c>
      <c r="R76" s="102">
        <f t="shared" si="23"/>
        <v>0.28447537628369474</v>
      </c>
      <c r="S76" s="1">
        <f t="shared" si="24"/>
        <v>5204.2948050256036</v>
      </c>
      <c r="T76" s="102">
        <f t="shared" si="25"/>
        <v>5.5864244807321571E-2</v>
      </c>
      <c r="U76" s="1">
        <f t="shared" si="26"/>
        <v>8547.6810594375947</v>
      </c>
      <c r="V76" s="102">
        <f t="shared" si="27"/>
        <v>0.14848402520474424</v>
      </c>
      <c r="W76" s="1">
        <f t="shared" si="28"/>
        <v>3983.719893661133</v>
      </c>
      <c r="X76" s="102">
        <f t="shared" si="29"/>
        <v>5.0432520470196619E-2</v>
      </c>
      <c r="Y76" s="2">
        <f t="shared" si="34"/>
        <v>18076.282191597751</v>
      </c>
      <c r="Z76" s="102">
        <f t="shared" si="35"/>
        <v>7.3081085974670432E-2</v>
      </c>
    </row>
    <row r="77" spans="1:26" x14ac:dyDescent="0.25">
      <c r="A77">
        <v>2014</v>
      </c>
      <c r="B77" s="1">
        <f>'YE harvest'!Y94</f>
        <v>207.87273338704921</v>
      </c>
      <c r="C77" s="1">
        <f>'YE harvest'!Z94</f>
        <v>3664.6856469811887</v>
      </c>
      <c r="D77" s="1">
        <f>'YE harvest'!Y144</f>
        <v>6051.9873365581861</v>
      </c>
      <c r="E77" s="1">
        <f>'YE harvest'!Z144</f>
        <v>249579.47849669654</v>
      </c>
      <c r="F77" s="1">
        <f>'YE harvest'!Y194</f>
        <v>14881.883454497516</v>
      </c>
      <c r="G77" s="1">
        <f>'YE harvest'!Z194</f>
        <v>6525815.0275831856</v>
      </c>
      <c r="H77" s="1">
        <f>'YE harvest'!Y219</f>
        <v>4750.0547256455111</v>
      </c>
      <c r="I77" s="1">
        <f>'YE harvest'!Z219</f>
        <v>143408.74300738185</v>
      </c>
      <c r="J77" s="2">
        <f t="shared" si="30"/>
        <v>25891.798250088264</v>
      </c>
      <c r="K77" s="1">
        <f t="shared" si="31"/>
        <v>6922467.9347342448</v>
      </c>
      <c r="L77">
        <f t="shared" si="32"/>
        <v>2631.0583297856101</v>
      </c>
      <c r="M77" s="14">
        <f t="shared" si="33"/>
        <v>0.10161744288180682</v>
      </c>
      <c r="N77" s="14"/>
      <c r="O77" s="101"/>
      <c r="P77">
        <v>2014</v>
      </c>
      <c r="Q77" s="1">
        <f t="shared" si="22"/>
        <v>207.87273338704921</v>
      </c>
      <c r="R77" s="102">
        <f t="shared" si="23"/>
        <v>0.29121975813690543</v>
      </c>
      <c r="S77" s="1">
        <f t="shared" si="24"/>
        <v>6051.9873365581861</v>
      </c>
      <c r="T77" s="102">
        <f t="shared" si="25"/>
        <v>8.2547975355412986E-2</v>
      </c>
      <c r="U77" s="1">
        <f t="shared" si="26"/>
        <v>14881.883454497516</v>
      </c>
      <c r="V77" s="102">
        <f t="shared" si="27"/>
        <v>0.17165619467972934</v>
      </c>
      <c r="W77" s="1">
        <f t="shared" si="28"/>
        <v>4750.0547256455111</v>
      </c>
      <c r="X77" s="102">
        <f t="shared" si="29"/>
        <v>7.9724022199899186E-2</v>
      </c>
      <c r="Y77" s="2">
        <f t="shared" si="34"/>
        <v>25891.798250088264</v>
      </c>
      <c r="Z77" s="102">
        <f t="shared" si="35"/>
        <v>0.10161744288180682</v>
      </c>
    </row>
    <row r="78" spans="1:26" x14ac:dyDescent="0.25">
      <c r="A78">
        <v>2015</v>
      </c>
      <c r="B78" s="1">
        <f>'YE harvest'!Y95</f>
        <v>235.32596925154078</v>
      </c>
      <c r="C78" s="1">
        <f>'YE harvest'!Z95</f>
        <v>2910.1792964165616</v>
      </c>
      <c r="D78" s="1">
        <f>'YE harvest'!Y145</f>
        <v>6603.921463759305</v>
      </c>
      <c r="E78" s="1">
        <f>'YE harvest'!Z145</f>
        <v>269148.02464494883</v>
      </c>
      <c r="F78" s="1">
        <f>'YE harvest'!Y195</f>
        <v>23885.877389538386</v>
      </c>
      <c r="G78" s="1">
        <f>'YE harvest'!Z195</f>
        <v>12113546.083721377</v>
      </c>
      <c r="H78" s="1">
        <f>'YE harvest'!Y220</f>
        <v>4469.9577383771712</v>
      </c>
      <c r="I78" s="1">
        <f>'YE harvest'!Z220</f>
        <v>14921.989006277945</v>
      </c>
      <c r="J78" s="2">
        <f t="shared" si="30"/>
        <v>35195.082560926407</v>
      </c>
      <c r="K78" s="1">
        <f t="shared" si="31"/>
        <v>12400526.27666902</v>
      </c>
      <c r="L78">
        <f t="shared" si="32"/>
        <v>3521.4380978045065</v>
      </c>
      <c r="M78" s="14">
        <f t="shared" si="33"/>
        <v>0.10005483270876052</v>
      </c>
      <c r="N78" s="14"/>
      <c r="O78" s="101"/>
      <c r="P78">
        <v>2015</v>
      </c>
      <c r="Q78" s="1">
        <f t="shared" si="22"/>
        <v>235.32596925154078</v>
      </c>
      <c r="R78" s="102">
        <f t="shared" si="23"/>
        <v>0.22923979807942357</v>
      </c>
      <c r="S78" s="1">
        <f t="shared" si="24"/>
        <v>6603.921463759305</v>
      </c>
      <c r="T78" s="102">
        <f t="shared" si="25"/>
        <v>7.8558593360700396E-2</v>
      </c>
      <c r="U78" s="1">
        <f t="shared" si="26"/>
        <v>23885.877389538386</v>
      </c>
      <c r="V78" s="102">
        <f t="shared" si="27"/>
        <v>0.14571170811143408</v>
      </c>
      <c r="W78" s="1">
        <f t="shared" si="28"/>
        <v>4469.9577383771712</v>
      </c>
      <c r="X78" s="102">
        <f t="shared" si="29"/>
        <v>2.7328131624466494E-2</v>
      </c>
      <c r="Y78" s="2">
        <f t="shared" si="34"/>
        <v>35195.082560926407</v>
      </c>
      <c r="Z78" s="102">
        <f t="shared" si="35"/>
        <v>0.10005483270876052</v>
      </c>
    </row>
    <row r="79" spans="1:26" x14ac:dyDescent="0.25">
      <c r="A79">
        <v>2016</v>
      </c>
      <c r="B79" s="1">
        <f>'YE harvest'!Y96</f>
        <v>185</v>
      </c>
      <c r="C79" s="1">
        <f>'YE harvest'!Z96</f>
        <v>0</v>
      </c>
      <c r="D79" s="1">
        <f>'YE harvest'!Y146</f>
        <v>7593.0449405866093</v>
      </c>
      <c r="E79" s="1">
        <f>'YE harvest'!Z146</f>
        <v>311774.19772712432</v>
      </c>
      <c r="F79" s="1">
        <f>'YE harvest'!Y196</f>
        <v>12059.125859241933</v>
      </c>
      <c r="G79" s="1">
        <f>'YE harvest'!Z196</f>
        <v>6575259.655458767</v>
      </c>
      <c r="H79" s="1">
        <f>'YE harvest'!Y221</f>
        <v>6063.5322109110748</v>
      </c>
      <c r="I79" s="1">
        <f>'YE harvest'!Z221</f>
        <v>44562.421015690197</v>
      </c>
      <c r="J79" s="2">
        <f t="shared" si="30"/>
        <v>25900.703010739617</v>
      </c>
      <c r="K79" s="1">
        <f t="shared" si="31"/>
        <v>6931596.2742015813</v>
      </c>
      <c r="L79">
        <f t="shared" si="32"/>
        <v>2632.792485974081</v>
      </c>
      <c r="M79" s="14">
        <f t="shared" si="33"/>
        <v>0.10164946043674586</v>
      </c>
      <c r="N79" s="14"/>
      <c r="O79" s="101"/>
      <c r="P79">
        <v>2016</v>
      </c>
      <c r="Q79" s="1">
        <f t="shared" si="22"/>
        <v>185</v>
      </c>
      <c r="R79" s="102">
        <f t="shared" si="23"/>
        <v>0</v>
      </c>
      <c r="S79" s="1">
        <f t="shared" si="24"/>
        <v>7593.0449405866093</v>
      </c>
      <c r="T79" s="102">
        <f t="shared" si="25"/>
        <v>7.3536696289566467E-2</v>
      </c>
      <c r="U79" s="1">
        <f t="shared" si="26"/>
        <v>12059.125859241933</v>
      </c>
      <c r="V79" s="102">
        <f t="shared" si="27"/>
        <v>0.21263787622594518</v>
      </c>
      <c r="W79" s="1">
        <f t="shared" si="28"/>
        <v>6063.5322109110748</v>
      </c>
      <c r="X79" s="102">
        <f t="shared" si="29"/>
        <v>3.4814382756384397E-2</v>
      </c>
      <c r="Y79" s="2">
        <f t="shared" si="34"/>
        <v>25900.703010739617</v>
      </c>
      <c r="Z79" s="102">
        <f t="shared" si="35"/>
        <v>0.10164946043674586</v>
      </c>
    </row>
    <row r="80" spans="1:26" x14ac:dyDescent="0.25">
      <c r="A80">
        <v>2017</v>
      </c>
      <c r="B80" s="1">
        <f>'YE harvest'!Y97</f>
        <v>514.05519472633296</v>
      </c>
      <c r="C80" s="1">
        <f>'YE harvest'!Z97</f>
        <v>5407.5588787946344</v>
      </c>
      <c r="D80" s="1">
        <f>'YE harvest'!Y147</f>
        <v>4799.5903715376362</v>
      </c>
      <c r="E80" s="1">
        <f>'YE harvest'!Z147</f>
        <v>121597.96684441614</v>
      </c>
      <c r="F80" s="1">
        <f>'YE harvest'!Y197</f>
        <v>10753.720765991142</v>
      </c>
      <c r="G80" s="1">
        <f>'YE harvest'!Z197</f>
        <v>4002977.6055582976</v>
      </c>
      <c r="H80" s="1">
        <f>'YE harvest'!Y222</f>
        <v>6412.5704511017502</v>
      </c>
      <c r="I80" s="1">
        <f>'YE harvest'!Z222</f>
        <v>198215.16372804652</v>
      </c>
      <c r="J80" s="2">
        <f t="shared" si="30"/>
        <v>22479.936783356861</v>
      </c>
      <c r="K80" s="1">
        <f t="shared" si="31"/>
        <v>4328198.2950095544</v>
      </c>
      <c r="L80">
        <f t="shared" si="32"/>
        <v>2080.4322375433317</v>
      </c>
      <c r="M80" s="14">
        <f t="shared" si="33"/>
        <v>9.254617829190652E-2</v>
      </c>
      <c r="N80" s="14"/>
      <c r="O80" s="101"/>
      <c r="P80">
        <v>2017</v>
      </c>
      <c r="Q80" s="1">
        <f t="shared" si="22"/>
        <v>514.05519472633296</v>
      </c>
      <c r="R80" s="102">
        <f t="shared" si="23"/>
        <v>0.14305099278800615</v>
      </c>
      <c r="S80" s="1">
        <f t="shared" si="24"/>
        <v>4799.5903715376362</v>
      </c>
      <c r="T80" s="102">
        <f t="shared" si="25"/>
        <v>7.2653908613163717E-2</v>
      </c>
      <c r="U80" s="1">
        <f t="shared" si="26"/>
        <v>10753.720765991142</v>
      </c>
      <c r="V80" s="102">
        <f t="shared" si="27"/>
        <v>0.1860513497091304</v>
      </c>
      <c r="W80" s="1">
        <f t="shared" si="28"/>
        <v>6412.5704511017502</v>
      </c>
      <c r="X80" s="102">
        <f t="shared" si="29"/>
        <v>6.9428261137009298E-2</v>
      </c>
      <c r="Y80" s="2">
        <f t="shared" si="34"/>
        <v>22479.936783356861</v>
      </c>
      <c r="Z80" s="102">
        <f t="shared" si="35"/>
        <v>9.254617829190652E-2</v>
      </c>
    </row>
    <row r="81" spans="1:26" x14ac:dyDescent="0.25">
      <c r="A81">
        <v>2018</v>
      </c>
      <c r="B81" s="1">
        <f>'YE harvest'!Y98</f>
        <v>551.95790333136938</v>
      </c>
      <c r="C81" s="1">
        <f>'YE harvest'!Z98</f>
        <v>11326.12780737217</v>
      </c>
      <c r="D81" s="1">
        <f>'YE harvest'!Y148</f>
        <v>7839.9500647929945</v>
      </c>
      <c r="E81" s="1">
        <f>'YE harvest'!Z148</f>
        <v>360964.44260098715</v>
      </c>
      <c r="F81" s="1">
        <f>'YE harvest'!Y198</f>
        <v>5220.3968911926113</v>
      </c>
      <c r="G81" s="1">
        <f>'YE harvest'!Z198</f>
        <v>852198.30983492767</v>
      </c>
      <c r="H81" s="1">
        <f>'YE harvest'!Y223</f>
        <v>4288.0212741982687</v>
      </c>
      <c r="I81" s="1">
        <f>'YE harvest'!Z223</f>
        <v>126521.17135184203</v>
      </c>
      <c r="J81" s="2">
        <f t="shared" si="30"/>
        <v>17900.326133515242</v>
      </c>
      <c r="K81" s="1">
        <f t="shared" si="31"/>
        <v>1351010.0515951291</v>
      </c>
      <c r="L81">
        <f t="shared" si="32"/>
        <v>1162.3295795922641</v>
      </c>
      <c r="M81" s="14">
        <f t="shared" si="33"/>
        <v>6.4933430314211116E-2</v>
      </c>
      <c r="N81" s="14"/>
      <c r="O81" s="101"/>
      <c r="P81">
        <v>2018</v>
      </c>
      <c r="Q81" s="1">
        <f t="shared" si="22"/>
        <v>551.95790333136938</v>
      </c>
      <c r="R81" s="102">
        <f t="shared" si="23"/>
        <v>0.19281231665674556</v>
      </c>
      <c r="S81" s="1">
        <f t="shared" si="24"/>
        <v>7839.9500647929945</v>
      </c>
      <c r="T81" s="102">
        <f t="shared" si="25"/>
        <v>7.6633544811002416E-2</v>
      </c>
      <c r="U81" s="1">
        <f t="shared" si="26"/>
        <v>5220.3968911926113</v>
      </c>
      <c r="V81" s="102">
        <f t="shared" si="27"/>
        <v>0.17683442390132201</v>
      </c>
      <c r="W81" s="1">
        <f t="shared" si="28"/>
        <v>4288.0212741982687</v>
      </c>
      <c r="X81" s="102">
        <f t="shared" si="29"/>
        <v>8.2951581546368697E-2</v>
      </c>
      <c r="Y81" s="2">
        <f t="shared" si="34"/>
        <v>17900.326133515242</v>
      </c>
      <c r="Z81" s="102">
        <f t="shared" si="35"/>
        <v>6.4933430314211116E-2</v>
      </c>
    </row>
    <row r="82" spans="1:26" x14ac:dyDescent="0.25">
      <c r="A82">
        <v>2019</v>
      </c>
      <c r="B82" s="1">
        <f>'YE harvest'!Y99</f>
        <v>546.45169971794257</v>
      </c>
      <c r="C82" s="1">
        <f>'YE harvest'!Z99</f>
        <v>5409.5176310845882</v>
      </c>
      <c r="D82" s="1">
        <f>'YE harvest'!Y149</f>
        <v>11737.347942109271</v>
      </c>
      <c r="E82" s="1">
        <f>'YE harvest'!Z149</f>
        <v>966730.39899032563</v>
      </c>
      <c r="F82" s="1">
        <f>'YE harvest'!Y199</f>
        <v>12090.512924557934</v>
      </c>
      <c r="G82" s="1">
        <f>'YE harvest'!Z199</f>
        <v>3473036.9405407137</v>
      </c>
      <c r="H82" s="1">
        <f>'YE harvest'!Y224</f>
        <v>6165.5368305679594</v>
      </c>
      <c r="I82" s="1">
        <f>'YE harvest'!Z224</f>
        <v>148576.91957141412</v>
      </c>
      <c r="J82" s="2">
        <f t="shared" si="30"/>
        <v>30539.849396953105</v>
      </c>
      <c r="K82" s="1">
        <f t="shared" si="31"/>
        <v>4593753.7767335381</v>
      </c>
      <c r="L82">
        <f t="shared" si="32"/>
        <v>2143.3044059893914</v>
      </c>
      <c r="M82" s="14">
        <f t="shared" si="33"/>
        <v>7.0180582036636505E-2</v>
      </c>
      <c r="N82" s="14"/>
      <c r="O82" s="101"/>
      <c r="P82">
        <v>2019</v>
      </c>
      <c r="Q82" s="1">
        <f t="shared" si="22"/>
        <v>546.45169971794257</v>
      </c>
      <c r="R82" s="102">
        <f t="shared" si="23"/>
        <v>0.13459455444757679</v>
      </c>
      <c r="S82" s="1">
        <f t="shared" si="24"/>
        <v>11737.347942109271</v>
      </c>
      <c r="T82" s="102">
        <f t="shared" si="25"/>
        <v>8.3768879945233521E-2</v>
      </c>
      <c r="U82" s="1">
        <f t="shared" si="26"/>
        <v>12090.512924557934</v>
      </c>
      <c r="V82" s="102">
        <f t="shared" si="27"/>
        <v>0.15413809090823805</v>
      </c>
      <c r="W82" s="1">
        <f t="shared" si="28"/>
        <v>6165.5368305679594</v>
      </c>
      <c r="X82" s="102">
        <f t="shared" si="29"/>
        <v>6.2517957160987528E-2</v>
      </c>
      <c r="Y82" s="2">
        <f t="shared" si="34"/>
        <v>30539.849396953105</v>
      </c>
      <c r="Z82" s="102">
        <f t="shared" si="35"/>
        <v>7.0180582036636505E-2</v>
      </c>
    </row>
    <row r="83" spans="1:26" x14ac:dyDescent="0.25">
      <c r="A83">
        <v>2020</v>
      </c>
      <c r="B83" s="1">
        <f>'YE harvest'!Y100</f>
        <v>794.25331621737269</v>
      </c>
      <c r="C83" s="1">
        <f>'YE harvest'!Z100</f>
        <v>85525.618015528031</v>
      </c>
      <c r="D83" s="1">
        <f>'YE harvest'!Y150</f>
        <v>7241.3555109284898</v>
      </c>
      <c r="E83" s="1">
        <f>'YE harvest'!Z150</f>
        <v>379961.76378396933</v>
      </c>
      <c r="F83" s="1">
        <f>'YE harvest'!Y200</f>
        <v>5896.8659756685465</v>
      </c>
      <c r="G83" s="1">
        <f>'YE harvest'!Z200</f>
        <v>955825.16893405246</v>
      </c>
      <c r="H83" s="1">
        <f>'YE harvest'!Y225</f>
        <v>4173.7521858856489</v>
      </c>
      <c r="I83" s="1">
        <f>'YE harvest'!Z225</f>
        <v>86296.679046513542</v>
      </c>
      <c r="J83" s="2">
        <f t="shared" ref="J83:J84" si="36">H83+F83+D83+B83</f>
        <v>18106.226988700058</v>
      </c>
      <c r="K83" s="1">
        <f t="shared" ref="K83:K84" si="37">SUM(C83,E83,G83,I83)</f>
        <v>1507609.2297800633</v>
      </c>
      <c r="L83">
        <f t="shared" ref="L83:L84" si="38">SQRT(K83)</f>
        <v>1227.8473967802609</v>
      </c>
      <c r="M83" s="14">
        <f t="shared" ref="M83:M84" si="39">L83/J83</f>
        <v>6.7813542685980346E-2</v>
      </c>
      <c r="N83" s="14"/>
      <c r="O83" s="101"/>
      <c r="P83">
        <v>2020</v>
      </c>
      <c r="Q83" s="1">
        <f t="shared" si="22"/>
        <v>794.25331621737269</v>
      </c>
      <c r="R83" s="102">
        <f t="shared" si="23"/>
        <v>0.36820448460757454</v>
      </c>
      <c r="S83" s="1">
        <f t="shared" si="24"/>
        <v>7241.3555109284898</v>
      </c>
      <c r="T83" s="102">
        <f t="shared" si="25"/>
        <v>8.5123618764457648E-2</v>
      </c>
      <c r="U83" s="1">
        <f t="shared" si="26"/>
        <v>5896.8659756685465</v>
      </c>
      <c r="V83" s="102">
        <f t="shared" si="27"/>
        <v>0.16579368096779951</v>
      </c>
      <c r="W83" s="1">
        <f t="shared" si="28"/>
        <v>4173.7521858856489</v>
      </c>
      <c r="X83" s="102">
        <f t="shared" si="29"/>
        <v>7.038342262912417E-2</v>
      </c>
      <c r="Y83" s="2">
        <f t="shared" si="34"/>
        <v>18106.226988700058</v>
      </c>
      <c r="Z83" s="102">
        <f t="shared" si="35"/>
        <v>6.7813542685980346E-2</v>
      </c>
    </row>
    <row r="84" spans="1:26" x14ac:dyDescent="0.25">
      <c r="A84">
        <v>2021</v>
      </c>
      <c r="B84" s="1">
        <f>'YE harvest'!Y101</f>
        <v>568.3968155886148</v>
      </c>
      <c r="C84" s="1">
        <f>'YE harvest'!Z101</f>
        <v>15598.620762533759</v>
      </c>
      <c r="D84" s="1">
        <f>'YE harvest'!Y151</f>
        <v>9648.7054447608243</v>
      </c>
      <c r="E84" s="1">
        <f>'YE harvest'!Z151</f>
        <v>814258.76404434501</v>
      </c>
      <c r="F84" s="1">
        <f>'YE harvest'!Y201</f>
        <v>8237.8394221007584</v>
      </c>
      <c r="G84" s="1">
        <f>'YE harvest'!Z201</f>
        <v>1971217.5154984083</v>
      </c>
      <c r="H84" s="1">
        <f>'YE harvest'!Y226</f>
        <v>5894.1105598690137</v>
      </c>
      <c r="I84" s="1">
        <f>'YE harvest'!Z226</f>
        <v>482250.36968047696</v>
      </c>
      <c r="J84" s="2">
        <f t="shared" si="36"/>
        <v>24349.052242319212</v>
      </c>
      <c r="K84" s="1">
        <f t="shared" si="37"/>
        <v>3283325.2699857638</v>
      </c>
      <c r="L84">
        <f t="shared" si="38"/>
        <v>1811.9948316664052</v>
      </c>
      <c r="M84" s="14">
        <f t="shared" si="39"/>
        <v>7.4417468640406326E-2</v>
      </c>
      <c r="N84" s="14"/>
      <c r="O84" s="101"/>
      <c r="P84">
        <v>2021</v>
      </c>
      <c r="Q84" s="1">
        <f t="shared" si="22"/>
        <v>568.3968155886148</v>
      </c>
      <c r="R84" s="102">
        <f t="shared" si="23"/>
        <v>0.21973106648716478</v>
      </c>
      <c r="S84" s="1">
        <f t="shared" si="24"/>
        <v>9648.7054447608243</v>
      </c>
      <c r="T84" s="102">
        <f t="shared" si="25"/>
        <v>9.3521652559139495E-2</v>
      </c>
      <c r="U84" s="1">
        <f t="shared" si="26"/>
        <v>8237.8394221007584</v>
      </c>
      <c r="V84" s="102">
        <f t="shared" si="27"/>
        <v>0.17043310360488526</v>
      </c>
      <c r="W84" s="1">
        <f t="shared" si="28"/>
        <v>5894.1105598690137</v>
      </c>
      <c r="X84" s="102">
        <f t="shared" si="29"/>
        <v>0.11781972552697477</v>
      </c>
      <c r="Y84" s="2">
        <f t="shared" si="34"/>
        <v>24349.052242319212</v>
      </c>
      <c r="Z84" s="102">
        <f t="shared" si="35"/>
        <v>7.4417468640406326E-2</v>
      </c>
    </row>
    <row r="85" spans="1:26" x14ac:dyDescent="0.25">
      <c r="A85">
        <v>2022</v>
      </c>
      <c r="B85" s="1">
        <f>'YE harvest'!Y102</f>
        <v>385.13026088796636</v>
      </c>
      <c r="C85" s="1">
        <f>'YE harvest'!Z102</f>
        <v>5202.7744565187268</v>
      </c>
      <c r="D85" s="1">
        <f>'YE harvest'!Y152</f>
        <v>8341.4622745929028</v>
      </c>
      <c r="E85" s="1">
        <f>'YE harvest'!Z152</f>
        <v>503337.21452432353</v>
      </c>
      <c r="F85" s="1">
        <f>'YE harvest'!Y202</f>
        <v>13495.71486790716</v>
      </c>
      <c r="G85" s="1">
        <f>'YE harvest'!Z202</f>
        <v>3956090.2337396797</v>
      </c>
      <c r="H85" s="1">
        <f>'YE harvest'!Y227</f>
        <v>3496.0839172063506</v>
      </c>
      <c r="I85" s="1">
        <f>'YE harvest'!Z227</f>
        <v>777091.99318720947</v>
      </c>
      <c r="J85" s="2">
        <f t="shared" ref="J85" si="40">H85+F85+D85+B85</f>
        <v>25718.391320594379</v>
      </c>
      <c r="K85" s="1">
        <f t="shared" ref="K85" si="41">SUM(C85,E85,G85,I85)</f>
        <v>5241722.2159077311</v>
      </c>
      <c r="L85">
        <f t="shared" ref="L85" si="42">SQRT(K85)</f>
        <v>2289.4807743040192</v>
      </c>
      <c r="M85" s="14">
        <f t="shared" ref="M85" si="43">L85/J85</f>
        <v>8.9021150108665001E-2</v>
      </c>
      <c r="N85" s="14"/>
      <c r="O85" s="101"/>
      <c r="P85">
        <v>2022</v>
      </c>
      <c r="Q85" s="1">
        <f t="shared" si="22"/>
        <v>385.13026088796636</v>
      </c>
      <c r="R85" s="102">
        <f t="shared" si="23"/>
        <v>0.18728795855284361</v>
      </c>
      <c r="S85" s="1">
        <f t="shared" si="24"/>
        <v>8341.4622745929028</v>
      </c>
      <c r="T85" s="102">
        <f t="shared" si="25"/>
        <v>8.5052548391823968E-2</v>
      </c>
      <c r="U85" s="1">
        <f t="shared" si="26"/>
        <v>13495.71486790716</v>
      </c>
      <c r="V85" s="102">
        <f t="shared" si="27"/>
        <v>0.14737954123587382</v>
      </c>
      <c r="W85" s="1">
        <f t="shared" si="28"/>
        <v>3496.0839172063506</v>
      </c>
      <c r="X85" s="102">
        <f t="shared" si="29"/>
        <v>0.2521473269822237</v>
      </c>
      <c r="Y85" s="2">
        <f t="shared" si="34"/>
        <v>25718.391320594379</v>
      </c>
      <c r="Z85" s="102">
        <f t="shared" si="35"/>
        <v>8.9021150108665001E-2</v>
      </c>
    </row>
  </sheetData>
  <mergeCells count="27">
    <mergeCell ref="Y30:Z30"/>
    <mergeCell ref="Q59:R59"/>
    <mergeCell ref="S59:T59"/>
    <mergeCell ref="U59:V59"/>
    <mergeCell ref="W59:X59"/>
    <mergeCell ref="Y59:Z59"/>
    <mergeCell ref="Q30:R30"/>
    <mergeCell ref="S30:T30"/>
    <mergeCell ref="U30:V30"/>
    <mergeCell ref="W30:X30"/>
    <mergeCell ref="A1:H1"/>
    <mergeCell ref="A29:H29"/>
    <mergeCell ref="A58:H58"/>
    <mergeCell ref="B2:C2"/>
    <mergeCell ref="D2:E2"/>
    <mergeCell ref="F2:G2"/>
    <mergeCell ref="H2:I2"/>
    <mergeCell ref="B30:C30"/>
    <mergeCell ref="D30:E30"/>
    <mergeCell ref="F30:G30"/>
    <mergeCell ref="H30:I30"/>
    <mergeCell ref="J30:M30"/>
    <mergeCell ref="J59:M59"/>
    <mergeCell ref="B59:C59"/>
    <mergeCell ref="D59:E59"/>
    <mergeCell ref="F59:G59"/>
    <mergeCell ref="H59:I59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925B-D9E8-4CCE-B3D0-B0AED07BA70B}">
  <sheetPr>
    <tabColor theme="7"/>
  </sheetPr>
  <dimension ref="A1:Q84"/>
  <sheetViews>
    <sheetView topLeftCell="G58" workbookViewId="0">
      <selection activeCell="B83" sqref="B83:Q84"/>
    </sheetView>
  </sheetViews>
  <sheetFormatPr defaultRowHeight="15" x14ac:dyDescent="0.25"/>
  <cols>
    <col min="2" max="2" width="9.5703125" bestFit="1" customWidth="1"/>
    <col min="3" max="3" width="11" bestFit="1" customWidth="1"/>
    <col min="7" max="7" width="11" bestFit="1" customWidth="1"/>
    <col min="9" max="9" width="10" bestFit="1" customWidth="1"/>
    <col min="11" max="11" width="11" bestFit="1" customWidth="1"/>
    <col min="13" max="13" width="11" bestFit="1" customWidth="1"/>
  </cols>
  <sheetData>
    <row r="1" spans="1:17" x14ac:dyDescent="0.25">
      <c r="A1" s="109" t="s">
        <v>94</v>
      </c>
      <c r="B1" s="109"/>
      <c r="C1" s="109"/>
      <c r="D1" s="109"/>
      <c r="E1" s="109"/>
      <c r="F1" s="109"/>
      <c r="G1" s="109"/>
      <c r="H1" s="109"/>
      <c r="I1" s="109"/>
      <c r="J1" s="109"/>
      <c r="K1" s="9"/>
      <c r="L1" s="9"/>
    </row>
    <row r="2" spans="1:17" x14ac:dyDescent="0.25">
      <c r="A2" t="s">
        <v>34</v>
      </c>
      <c r="B2" s="109" t="s">
        <v>42</v>
      </c>
      <c r="C2" s="109"/>
      <c r="D2" s="109" t="s">
        <v>83</v>
      </c>
      <c r="E2" s="109"/>
      <c r="F2" s="109" t="s">
        <v>38</v>
      </c>
      <c r="G2" s="109"/>
      <c r="H2" s="109" t="s">
        <v>41</v>
      </c>
      <c r="I2" s="109"/>
      <c r="J2" s="109" t="s">
        <v>39</v>
      </c>
      <c r="K2" s="109"/>
      <c r="L2" s="109" t="s">
        <v>40</v>
      </c>
      <c r="M2" s="109"/>
      <c r="N2" s="109" t="s">
        <v>158</v>
      </c>
      <c r="O2" s="109"/>
      <c r="P2" s="109"/>
      <c r="Q2" s="109"/>
    </row>
    <row r="3" spans="1:17" x14ac:dyDescent="0.25">
      <c r="B3" s="9" t="s">
        <v>138</v>
      </c>
      <c r="C3" s="9" t="s">
        <v>139</v>
      </c>
      <c r="D3" s="9" t="s">
        <v>138</v>
      </c>
      <c r="E3" s="9" t="s">
        <v>139</v>
      </c>
      <c r="F3" s="9" t="s">
        <v>138</v>
      </c>
      <c r="G3" s="9" t="s">
        <v>139</v>
      </c>
      <c r="H3" s="9" t="s">
        <v>138</v>
      </c>
      <c r="I3" s="9" t="s">
        <v>139</v>
      </c>
      <c r="J3" s="9" t="s">
        <v>138</v>
      </c>
      <c r="K3" s="9" t="s">
        <v>139</v>
      </c>
      <c r="L3" s="9" t="s">
        <v>138</v>
      </c>
      <c r="M3" s="9" t="s">
        <v>139</v>
      </c>
      <c r="N3" s="9" t="s">
        <v>138</v>
      </c>
      <c r="O3" s="9" t="s">
        <v>154</v>
      </c>
      <c r="P3" s="9" t="s">
        <v>155</v>
      </c>
      <c r="Q3" s="9" t="s">
        <v>156</v>
      </c>
    </row>
    <row r="4" spans="1:17" x14ac:dyDescent="0.25">
      <c r="A4">
        <v>1998</v>
      </c>
      <c r="B4" s="1">
        <f>'rockfish harvests'!K227</f>
        <v>10785.556656147837</v>
      </c>
      <c r="C4" s="1">
        <f>'rockfish harvests'!L227</f>
        <v>224247.08472663842</v>
      </c>
      <c r="D4" s="1">
        <f>'rockfish harvests'!K252</f>
        <v>1645.0389532640204</v>
      </c>
      <c r="E4" s="1">
        <f>'rockfish harvests'!L252</f>
        <v>27091.93854220381</v>
      </c>
      <c r="F4" s="1">
        <f>'rockfish harvests'!K277</f>
        <v>8429.4015142904627</v>
      </c>
      <c r="G4" s="1">
        <f>'rockfish harvests'!L277</f>
        <v>781648.06612226402</v>
      </c>
      <c r="H4" s="1">
        <f>'rockfish harvests'!K302</f>
        <v>1718.6553389715536</v>
      </c>
      <c r="I4" s="1">
        <f>'rockfish harvests'!L302</f>
        <v>93360.34279041113</v>
      </c>
      <c r="J4" s="1">
        <f>'rockfish harvests'!K327</f>
        <v>13683.476763338715</v>
      </c>
      <c r="K4" s="1">
        <f>'rockfish harvests'!L327</f>
        <v>2528282.455604976</v>
      </c>
      <c r="L4" s="1">
        <f>'rockfish harvests'!K352</f>
        <v>4728.4215757484271</v>
      </c>
      <c r="M4" s="2">
        <f>'rockfish harvests'!L352</f>
        <v>277633.92962977174</v>
      </c>
      <c r="N4" s="2">
        <f>L4+J4+H4+F4+D4+B4</f>
        <v>40990.550801761019</v>
      </c>
      <c r="O4" s="1">
        <f>SUM(G4,I4,K4,M4,E4,C4)</f>
        <v>3932263.8174162651</v>
      </c>
      <c r="P4">
        <f>SQRT(O4)</f>
        <v>1982.9936503721501</v>
      </c>
      <c r="Q4" s="14">
        <f>P4/N4</f>
        <v>4.8376848117077695E-2</v>
      </c>
    </row>
    <row r="5" spans="1:17" x14ac:dyDescent="0.25">
      <c r="A5">
        <v>1999</v>
      </c>
      <c r="B5" s="1">
        <f>'rockfish harvests'!K228</f>
        <v>11096.479173461516</v>
      </c>
      <c r="C5" s="1">
        <f>'rockfish harvests'!L228</f>
        <v>237362.48582500662</v>
      </c>
      <c r="D5" s="1">
        <f>'rockfish harvests'!K253</f>
        <v>835.7554222329851</v>
      </c>
      <c r="E5" s="1">
        <f>'rockfish harvests'!L253</f>
        <v>6992.7196212962144</v>
      </c>
      <c r="F5" s="1">
        <f>'rockfish harvests'!K278</f>
        <v>10148.776127801366</v>
      </c>
      <c r="G5" s="1">
        <f>'rockfish harvests'!L278</f>
        <v>1133039.6837394333</v>
      </c>
      <c r="H5" s="1">
        <f>'rockfish harvests'!K303</f>
        <v>1639.073791663877</v>
      </c>
      <c r="I5" s="1">
        <f>'rockfish harvests'!L303</f>
        <v>84914.501969787365</v>
      </c>
      <c r="J5" s="1">
        <f>'rockfish harvests'!K328</f>
        <v>16107.207114806952</v>
      </c>
      <c r="K5" s="1">
        <f>'rockfish harvests'!L328</f>
        <v>3503266.3626943887</v>
      </c>
      <c r="L5" s="1">
        <f>'rockfish harvests'!K353</f>
        <v>6852.8709556215817</v>
      </c>
      <c r="M5" s="2">
        <f>'rockfish harvests'!L353</f>
        <v>583156.69651387446</v>
      </c>
      <c r="N5" s="2">
        <f t="shared" ref="N5:N27" si="0">L5+J5+H5+F5+D5+B5</f>
        <v>46680.162585588274</v>
      </c>
      <c r="O5" s="1">
        <f t="shared" ref="O5:O27" si="1">SUM(G5,I5,K5,M5,E5,C5)</f>
        <v>5548732.4503637869</v>
      </c>
      <c r="P5">
        <f t="shared" ref="P5:P27" si="2">SQRT(O5)</f>
        <v>2355.5747600880313</v>
      </c>
      <c r="Q5" s="14">
        <f t="shared" ref="Q5:Q27" si="3">P5/N5</f>
        <v>5.0462008476707322E-2</v>
      </c>
    </row>
    <row r="6" spans="1:17" x14ac:dyDescent="0.25">
      <c r="A6">
        <v>2000</v>
      </c>
      <c r="B6" s="1">
        <f>'rockfish harvests'!K229</f>
        <v>19409.626034526136</v>
      </c>
      <c r="C6" s="1">
        <f>'rockfish harvests'!L229</f>
        <v>726233.05564746587</v>
      </c>
      <c r="D6" s="1">
        <f>'rockfish harvests'!K254</f>
        <v>1511.4189310065597</v>
      </c>
      <c r="E6" s="1">
        <f>'rockfish harvests'!L254</f>
        <v>22869.539754384543</v>
      </c>
      <c r="F6" s="1">
        <f>'rockfish harvests'!K279</f>
        <v>15544.550077251628</v>
      </c>
      <c r="G6" s="1">
        <f>'rockfish harvests'!L279</f>
        <v>2658116.9727772144</v>
      </c>
      <c r="H6" s="1">
        <f>'rockfish harvests'!K304</f>
        <v>4412.1846324621447</v>
      </c>
      <c r="I6" s="1">
        <f>'rockfish harvests'!L304</f>
        <v>615307.50161743129</v>
      </c>
      <c r="J6" s="1">
        <f>'rockfish harvests'!K329</f>
        <v>26202.076811318933</v>
      </c>
      <c r="K6" s="1">
        <f>'rockfish harvests'!L329</f>
        <v>9270520.1843895838</v>
      </c>
      <c r="L6" s="1">
        <f>'rockfish harvests'!K354</f>
        <v>10258.522162769743</v>
      </c>
      <c r="M6" s="2">
        <f>'rockfish harvests'!L354</f>
        <v>1306801.9129460659</v>
      </c>
      <c r="N6" s="2">
        <f t="shared" si="0"/>
        <v>77338.378649335136</v>
      </c>
      <c r="O6" s="1">
        <f t="shared" si="1"/>
        <v>14599849.167132147</v>
      </c>
      <c r="P6">
        <f t="shared" si="2"/>
        <v>3820.9748974747463</v>
      </c>
      <c r="Q6" s="14">
        <f t="shared" si="3"/>
        <v>4.940593485673745E-2</v>
      </c>
    </row>
    <row r="7" spans="1:17" x14ac:dyDescent="0.25">
      <c r="A7">
        <v>2001</v>
      </c>
      <c r="B7" s="1">
        <f>'rockfish harvests'!K230</f>
        <v>17369.053069045251</v>
      </c>
      <c r="C7" s="1">
        <f>'rockfish harvests'!L230</f>
        <v>581559.24091147329</v>
      </c>
      <c r="D7" s="1">
        <f>'rockfish harvests'!K255</f>
        <v>1314.7705963635044</v>
      </c>
      <c r="E7" s="1">
        <f>'rockfish harvests'!L255</f>
        <v>17305.640405277591</v>
      </c>
      <c r="F7" s="1">
        <f>'rockfish harvests'!K280</f>
        <v>11550.752273697548</v>
      </c>
      <c r="G7" s="1">
        <f>'rockfish harvests'!L280</f>
        <v>1467703.4510787677</v>
      </c>
      <c r="H7" s="1">
        <f>'rockfish harvests'!K305</f>
        <v>4344.8464001248803</v>
      </c>
      <c r="I7" s="1">
        <f>'rockfish harvests'!L305</f>
        <v>596669.32361688081</v>
      </c>
      <c r="J7" s="1">
        <f>'rockfish harvests'!K330</f>
        <v>20430.145469364368</v>
      </c>
      <c r="K7" s="1">
        <f>'rockfish harvests'!L330</f>
        <v>5636059.7796220118</v>
      </c>
      <c r="L7" s="1">
        <f>'rockfish harvests'!K355</f>
        <v>8545.304423864347</v>
      </c>
      <c r="M7" s="2">
        <f>'rockfish harvests'!L355</f>
        <v>906766.02050430153</v>
      </c>
      <c r="N7" s="2">
        <f t="shared" si="0"/>
        <v>63554.872232459893</v>
      </c>
      <c r="O7" s="1">
        <f t="shared" si="1"/>
        <v>9206063.4561387114</v>
      </c>
      <c r="P7">
        <f t="shared" si="2"/>
        <v>3034.1495441290813</v>
      </c>
      <c r="Q7" s="14">
        <f t="shared" si="3"/>
        <v>4.7740628492356968E-2</v>
      </c>
    </row>
    <row r="8" spans="1:17" x14ac:dyDescent="0.25">
      <c r="A8">
        <v>2002</v>
      </c>
      <c r="B8" s="1">
        <f>'rockfish harvests'!K231</f>
        <v>16126.514564669476</v>
      </c>
      <c r="C8" s="1">
        <f>'rockfish harvests'!L231</f>
        <v>501328.85623143055</v>
      </c>
      <c r="D8" s="1">
        <f>'rockfish harvests'!K256</f>
        <v>1125.6856592067204</v>
      </c>
      <c r="E8" s="1">
        <f>'rockfish harvests'!L256</f>
        <v>12685.920229322461</v>
      </c>
      <c r="F8" s="1">
        <f>'rockfish harvests'!K281</f>
        <v>7907.8472484109971</v>
      </c>
      <c r="G8" s="1">
        <f>'rockfish harvests'!L281</f>
        <v>687914.27130295534</v>
      </c>
      <c r="H8" s="1">
        <f>'rockfish harvests'!K306</f>
        <v>3105.2107593706878</v>
      </c>
      <c r="I8" s="1">
        <f>'rockfish harvests'!L306</f>
        <v>304766.3537779394</v>
      </c>
      <c r="J8" s="1">
        <f>'rockfish harvests'!K331</f>
        <v>17556.200102204104</v>
      </c>
      <c r="K8" s="1">
        <f>'rockfish harvests'!L331</f>
        <v>4161919.8980246014</v>
      </c>
      <c r="L8" s="1">
        <f>'rockfish harvests'!K356</f>
        <v>11308.127831232579</v>
      </c>
      <c r="M8" s="2">
        <f>'rockfish harvests'!L356</f>
        <v>1587894.256982432</v>
      </c>
      <c r="N8" s="2">
        <f t="shared" si="0"/>
        <v>57129.586165094559</v>
      </c>
      <c r="O8" s="1">
        <f t="shared" si="1"/>
        <v>7256509.5565486811</v>
      </c>
      <c r="P8">
        <f t="shared" si="2"/>
        <v>2693.7909266586894</v>
      </c>
      <c r="Q8" s="14">
        <f t="shared" si="3"/>
        <v>4.7152291964344055E-2</v>
      </c>
    </row>
    <row r="9" spans="1:17" x14ac:dyDescent="0.25">
      <c r="A9">
        <v>2003</v>
      </c>
      <c r="B9" s="1">
        <f>'rockfish harvests'!K232</f>
        <v>17586.698831164827</v>
      </c>
      <c r="C9" s="1">
        <f>'rockfish harvests'!L232</f>
        <v>596225.20240177307</v>
      </c>
      <c r="D9" s="1">
        <f>'rockfish harvests'!K257</f>
        <v>2050.9412850272502</v>
      </c>
      <c r="E9" s="1">
        <f>'rockfish harvests'!L257</f>
        <v>42110.865184765593</v>
      </c>
      <c r="F9" s="1">
        <f>'rockfish harvests'!K282</f>
        <v>9679.8557786620295</v>
      </c>
      <c r="G9" s="1">
        <f>'rockfish harvests'!L282</f>
        <v>1030755.2356043656</v>
      </c>
      <c r="H9" s="1">
        <f>'rockfish harvests'!K307</f>
        <v>4718.26750672244</v>
      </c>
      <c r="I9" s="1">
        <f>'rockfish harvests'!L307</f>
        <v>703639.11639872531</v>
      </c>
      <c r="J9" s="1">
        <f>'rockfish harvests'!K332</f>
        <v>24615.396707472279</v>
      </c>
      <c r="K9" s="1">
        <f>'rockfish harvests'!L332</f>
        <v>8181752.760036231</v>
      </c>
      <c r="L9" s="1">
        <f>'rockfish harvests'!K357</f>
        <v>10237.737892107112</v>
      </c>
      <c r="M9" s="2">
        <f>'rockfish harvests'!L357</f>
        <v>1301511.9872539048</v>
      </c>
      <c r="N9" s="2">
        <f t="shared" si="0"/>
        <v>68888.898001155932</v>
      </c>
      <c r="O9" s="1">
        <f t="shared" si="1"/>
        <v>11855995.166879766</v>
      </c>
      <c r="P9">
        <f t="shared" si="2"/>
        <v>3443.2535728406301</v>
      </c>
      <c r="Q9" s="14">
        <f t="shared" si="3"/>
        <v>4.9982706542683462E-2</v>
      </c>
    </row>
    <row r="10" spans="1:17" x14ac:dyDescent="0.25">
      <c r="A10">
        <v>2004</v>
      </c>
      <c r="B10" s="1">
        <f>'rockfish harvests'!K233</f>
        <v>25099.50810136646</v>
      </c>
      <c r="C10" s="1">
        <f>'rockfish harvests'!L233</f>
        <v>1214428.9103843591</v>
      </c>
      <c r="D10" s="1">
        <f>'rockfish harvests'!K258</f>
        <v>1892.1099378155513</v>
      </c>
      <c r="E10" s="1">
        <f>'rockfish harvests'!L258</f>
        <v>35841.026777365994</v>
      </c>
      <c r="F10" s="1">
        <f>'rockfish harvests'!K283</f>
        <v>9652.7413367049921</v>
      </c>
      <c r="G10" s="1">
        <f>'rockfish harvests'!L283</f>
        <v>1024988.7840591522</v>
      </c>
      <c r="H10" s="1">
        <f>'rockfish harvests'!K308</f>
        <v>4473.4012073142039</v>
      </c>
      <c r="I10" s="1">
        <f>'rockfish harvests'!L308</f>
        <v>632500.03783668019</v>
      </c>
      <c r="J10" s="1">
        <f>'rockfish harvests'!K333</f>
        <v>28837.801611923707</v>
      </c>
      <c r="K10" s="1">
        <f>'rockfish harvests'!L333</f>
        <v>11229410.873184105</v>
      </c>
      <c r="L10" s="1">
        <f>'rockfish harvests'!K358</f>
        <v>14936.467652623209</v>
      </c>
      <c r="M10" s="2">
        <f>'rockfish harvests'!L358</f>
        <v>2770358.4485732173</v>
      </c>
      <c r="N10" s="2">
        <f t="shared" si="0"/>
        <v>84892.029847748112</v>
      </c>
      <c r="O10" s="1">
        <f t="shared" si="1"/>
        <v>16907528.080814879</v>
      </c>
      <c r="P10">
        <f t="shared" si="2"/>
        <v>4111.8764671150902</v>
      </c>
      <c r="Q10" s="14">
        <f t="shared" si="3"/>
        <v>4.8436543153575727E-2</v>
      </c>
    </row>
    <row r="11" spans="1:17" x14ac:dyDescent="0.25">
      <c r="A11">
        <v>2005</v>
      </c>
      <c r="B11" s="1">
        <f>'rockfish harvests'!K234</f>
        <v>31442.327454565508</v>
      </c>
      <c r="C11" s="1">
        <f>'rockfish harvests'!L234</f>
        <v>1905772.4719131205</v>
      </c>
      <c r="D11" s="1">
        <f>'rockfish harvests'!K259</f>
        <v>2112.7090311651327</v>
      </c>
      <c r="E11" s="1">
        <f>'rockfish harvests'!L259</f>
        <v>44685.54786836687</v>
      </c>
      <c r="F11" s="1">
        <f>'rockfish harvests'!K284</f>
        <v>12246.157961536836</v>
      </c>
      <c r="G11" s="1">
        <f>'rockfish harvests'!L284</f>
        <v>1649747.5421593867</v>
      </c>
      <c r="H11" s="1">
        <f>'rockfish harvests'!K309</f>
        <v>4279.0385821589171</v>
      </c>
      <c r="I11" s="1">
        <f>'rockfish harvests'!L309</f>
        <v>578731.68372450606</v>
      </c>
      <c r="J11" s="1">
        <f>'rockfish harvests'!K334</f>
        <v>33501.679492927513</v>
      </c>
      <c r="K11" s="1">
        <f>'rockfish harvests'!L334</f>
        <v>15155345.162562583</v>
      </c>
      <c r="L11" s="1">
        <f>'rockfish harvests'!K359</f>
        <v>18803.826586634088</v>
      </c>
      <c r="M11" s="2">
        <f>'rockfish harvests'!L359</f>
        <v>4390688.5733686173</v>
      </c>
      <c r="N11" s="2">
        <f t="shared" si="0"/>
        <v>102385.739108988</v>
      </c>
      <c r="O11" s="1">
        <f t="shared" si="1"/>
        <v>23724970.981596582</v>
      </c>
      <c r="P11">
        <f t="shared" si="2"/>
        <v>4870.8285723885401</v>
      </c>
      <c r="Q11" s="14">
        <f t="shared" si="3"/>
        <v>4.7573310646354963E-2</v>
      </c>
    </row>
    <row r="12" spans="1:17" x14ac:dyDescent="0.25">
      <c r="A12">
        <v>2006</v>
      </c>
      <c r="B12" s="1">
        <f>'rockfish harvests'!K235</f>
        <v>38863.01153445198</v>
      </c>
      <c r="C12" s="1">
        <f>'rockfish harvests'!L235</f>
        <v>2911485.1530098896</v>
      </c>
      <c r="D12" s="1">
        <f>'rockfish harvests'!K260</f>
        <v>3187.9720404633777</v>
      </c>
      <c r="E12" s="1">
        <f>'rockfish harvests'!L260</f>
        <v>101745.85299552699</v>
      </c>
      <c r="F12" s="1">
        <f>'rockfish harvests'!K285</f>
        <v>10266.803698673171</v>
      </c>
      <c r="G12" s="1">
        <f>'rockfish harvests'!L285</f>
        <v>1159546.8293526676</v>
      </c>
      <c r="H12" s="1">
        <f>'rockfish harvests'!K310</f>
        <v>4680.0071474399028</v>
      </c>
      <c r="I12" s="1">
        <f>'rockfish harvests'!L310</f>
        <v>692273.78689881065</v>
      </c>
      <c r="J12" s="1">
        <f>'rockfish harvests'!K335</f>
        <v>38714.120329944417</v>
      </c>
      <c r="K12" s="1">
        <f>'rockfish harvests'!L335</f>
        <v>20238180.459821593</v>
      </c>
      <c r="L12" s="1">
        <f>'rockfish harvests'!K360</f>
        <v>17825.481274728842</v>
      </c>
      <c r="M12" s="2">
        <f>'rockfish harvests'!L360</f>
        <v>3945687.5188521035</v>
      </c>
      <c r="N12" s="2">
        <f t="shared" si="0"/>
        <v>113537.39602570169</v>
      </c>
      <c r="O12" s="1">
        <f t="shared" si="1"/>
        <v>29048919.600930594</v>
      </c>
      <c r="P12">
        <f t="shared" si="2"/>
        <v>5389.7049641822323</v>
      </c>
      <c r="Q12" s="14">
        <f t="shared" si="3"/>
        <v>4.7470746668896245E-2</v>
      </c>
    </row>
    <row r="13" spans="1:17" x14ac:dyDescent="0.25">
      <c r="A13">
        <v>2007</v>
      </c>
      <c r="B13" s="1">
        <f>'rockfish harvests'!K236</f>
        <v>44269.608641073173</v>
      </c>
      <c r="C13" s="1">
        <f>'rockfish harvests'!L236</f>
        <v>3777922.4788372577</v>
      </c>
      <c r="D13" s="1">
        <f>'rockfish harvests'!K261</f>
        <v>2886.6967072602351</v>
      </c>
      <c r="E13" s="1">
        <f>'rockfish harvests'!L261</f>
        <v>83423.810519029968</v>
      </c>
      <c r="F13" s="1">
        <f>'rockfish harvests'!K286</f>
        <v>11960.658837400981</v>
      </c>
      <c r="G13" s="1">
        <f>'rockfish harvests'!L286</f>
        <v>1573721.8750711286</v>
      </c>
      <c r="H13" s="1">
        <f>'rockfish harvests'!K311</f>
        <v>6528.7477079720811</v>
      </c>
      <c r="I13" s="1">
        <f>'rockfish harvests'!L311</f>
        <v>1347238.9410750614</v>
      </c>
      <c r="J13" s="1">
        <f>'rockfish harvests'!K336</f>
        <v>44514.463299102848</v>
      </c>
      <c r="K13" s="1">
        <f>'rockfish harvests'!L336</f>
        <v>26756848.278906163</v>
      </c>
      <c r="L13" s="1">
        <f>'rockfish harvests'!K361</f>
        <v>17841.811773106623</v>
      </c>
      <c r="M13" s="2">
        <f>'rockfish harvests'!L361</f>
        <v>3952920.3736786586</v>
      </c>
      <c r="N13" s="2">
        <f t="shared" si="0"/>
        <v>128001.98696591594</v>
      </c>
      <c r="O13" s="1">
        <f t="shared" si="1"/>
        <v>37492075.758087307</v>
      </c>
      <c r="P13">
        <f t="shared" si="2"/>
        <v>6123.0773111310054</v>
      </c>
      <c r="Q13" s="14">
        <f t="shared" si="3"/>
        <v>4.7835798929913825E-2</v>
      </c>
    </row>
    <row r="14" spans="1:17" x14ac:dyDescent="0.25">
      <c r="A14">
        <v>2008</v>
      </c>
      <c r="B14" s="1">
        <f>'rockfish harvests'!K237</f>
        <v>60918.9336607812</v>
      </c>
      <c r="C14" s="1">
        <f>'rockfish harvests'!L237</f>
        <v>7153955.9598475369</v>
      </c>
      <c r="D14" s="1">
        <f>'rockfish harvests'!K262</f>
        <v>3601.4377697128784</v>
      </c>
      <c r="E14" s="1">
        <f>'rockfish harvests'!L262</f>
        <v>129849.277997606</v>
      </c>
      <c r="F14" s="1">
        <f>'rockfish harvests'!K287</f>
        <v>17421.826440982921</v>
      </c>
      <c r="G14" s="1">
        <f>'rockfish harvests'!L287</f>
        <v>3338913.2975072474</v>
      </c>
      <c r="H14" s="1">
        <f>'rockfish harvests'!K312</f>
        <v>7667.3760002203771</v>
      </c>
      <c r="I14" s="1">
        <f>'rockfish harvests'!L312</f>
        <v>1858139.7621286947</v>
      </c>
      <c r="J14" s="1">
        <f>'rockfish harvests'!K337</f>
        <v>40991.421525823498</v>
      </c>
      <c r="K14" s="1">
        <f>'rockfish harvests'!L337</f>
        <v>22689171.172948774</v>
      </c>
      <c r="L14" s="1">
        <f>'rockfish harvests'!K362</f>
        <v>26357.424381738641</v>
      </c>
      <c r="M14" s="2">
        <f>'rockfish harvests'!L362</f>
        <v>8626727.8588684946</v>
      </c>
      <c r="N14" s="2">
        <f t="shared" si="0"/>
        <v>156958.41977925954</v>
      </c>
      <c r="O14" s="1">
        <f t="shared" si="1"/>
        <v>43796757.329298355</v>
      </c>
      <c r="P14">
        <f t="shared" si="2"/>
        <v>6617.9118556609947</v>
      </c>
      <c r="Q14" s="14">
        <f t="shared" si="3"/>
        <v>4.2163471478421984E-2</v>
      </c>
    </row>
    <row r="15" spans="1:17" x14ac:dyDescent="0.25">
      <c r="A15">
        <v>2009</v>
      </c>
      <c r="B15" s="1">
        <f>'rockfish harvests'!K238</f>
        <v>36524.183265325752</v>
      </c>
      <c r="C15" s="1">
        <f>'rockfish harvests'!L238</f>
        <v>2571595.7734261826</v>
      </c>
      <c r="D15" s="1">
        <f>'rockfish harvests'!K263</f>
        <v>3143.852221793461</v>
      </c>
      <c r="E15" s="1">
        <f>'rockfish harvests'!L263</f>
        <v>98949.124670686113</v>
      </c>
      <c r="F15" s="1">
        <f>'rockfish harvests'!K288</f>
        <v>14873.068897021491</v>
      </c>
      <c r="G15" s="1">
        <f>'rockfish harvests'!L288</f>
        <v>2433430.5466266801</v>
      </c>
      <c r="H15" s="1">
        <f>'rockfish harvests'!K313</f>
        <v>4312.7076983275492</v>
      </c>
      <c r="I15" s="1">
        <f>'rockfish harvests'!L313</f>
        <v>587874.87939866644</v>
      </c>
      <c r="J15" s="1">
        <f>'rockfish harvests'!K338</f>
        <v>32426.408678750442</v>
      </c>
      <c r="K15" s="1">
        <f>'rockfish harvests'!L338</f>
        <v>14198104.777272861</v>
      </c>
      <c r="L15" s="1">
        <f>'rockfish harvests'!K363</f>
        <v>14318.877895790762</v>
      </c>
      <c r="M15" s="2">
        <f>'rockfish harvests'!L363</f>
        <v>2545998.4255660125</v>
      </c>
      <c r="N15" s="2">
        <f t="shared" si="0"/>
        <v>105599.09865700945</v>
      </c>
      <c r="O15" s="1">
        <f t="shared" si="1"/>
        <v>22435953.526961088</v>
      </c>
      <c r="P15">
        <f t="shared" si="2"/>
        <v>4736.660588110688</v>
      </c>
      <c r="Q15" s="14">
        <f t="shared" si="3"/>
        <v>4.4855123276151924E-2</v>
      </c>
    </row>
    <row r="16" spans="1:17" x14ac:dyDescent="0.25">
      <c r="A16">
        <v>2010</v>
      </c>
      <c r="B16" s="1">
        <f>'rockfish harvests'!K239</f>
        <v>50453.51204097856</v>
      </c>
      <c r="C16" s="1">
        <f>'rockfish harvests'!L239</f>
        <v>4907095.1826566225</v>
      </c>
      <c r="D16" s="1">
        <f>'rockfish harvests'!K264</f>
        <v>3069.4788131784594</v>
      </c>
      <c r="E16" s="1">
        <f>'rockfish harvests'!L264</f>
        <v>94322.866254399312</v>
      </c>
      <c r="F16" s="1">
        <f>'rockfish harvests'!K289</f>
        <v>19047.097991231167</v>
      </c>
      <c r="G16" s="1">
        <f>'rockfish harvests'!L289</f>
        <v>3990941.9253061144</v>
      </c>
      <c r="H16" s="1">
        <f>'rockfish harvests'!K314</f>
        <v>7059.8014948136924</v>
      </c>
      <c r="I16" s="1">
        <f>'rockfish harvests'!L314</f>
        <v>1575323.7998180711</v>
      </c>
      <c r="J16" s="1">
        <f>'rockfish harvests'!K339</f>
        <v>43742.978345028649</v>
      </c>
      <c r="K16" s="1">
        <f>'rockfish harvests'!L339</f>
        <v>25837433.526771665</v>
      </c>
      <c r="L16" s="1">
        <f>'rockfish harvests'!K364</f>
        <v>18431.194305468358</v>
      </c>
      <c r="M16" s="2">
        <f>'rockfish harvests'!L364</f>
        <v>4218393.7471152442</v>
      </c>
      <c r="N16" s="2">
        <f t="shared" si="0"/>
        <v>141804.06299069888</v>
      </c>
      <c r="O16" s="1">
        <f t="shared" si="1"/>
        <v>40623511.047922119</v>
      </c>
      <c r="P16">
        <f t="shared" si="2"/>
        <v>6373.6575879099528</v>
      </c>
      <c r="Q16" s="14">
        <f t="shared" si="3"/>
        <v>4.494693207999273E-2</v>
      </c>
    </row>
    <row r="17" spans="1:17" x14ac:dyDescent="0.25">
      <c r="A17">
        <v>2011</v>
      </c>
      <c r="B17" s="1">
        <f>'rockfish harvests'!K240</f>
        <v>68480.968038392311</v>
      </c>
      <c r="C17" s="1">
        <f>'rockfish harvests'!L240</f>
        <v>7141508.8030922944</v>
      </c>
      <c r="D17" s="1">
        <f>'rockfish harvests'!K265</f>
        <v>4284.4366812227072</v>
      </c>
      <c r="E17" s="1">
        <f>'rockfish harvests'!L265</f>
        <v>404683.38862902793</v>
      </c>
      <c r="F17" s="1">
        <f>'rockfish harvests'!K290</f>
        <v>21134.144125958821</v>
      </c>
      <c r="G17" s="1">
        <f>'rockfish harvests'!L290</f>
        <v>2883554.5471730651</v>
      </c>
      <c r="H17" s="1">
        <f>'rockfish harvests'!K315</f>
        <v>11059.863872082973</v>
      </c>
      <c r="I17" s="1">
        <f>'rockfish harvests'!L315</f>
        <v>736850.51155388099</v>
      </c>
      <c r="J17" s="1">
        <f>'rockfish harvests'!K340</f>
        <v>43385.656259472569</v>
      </c>
      <c r="K17" s="1">
        <f>'rockfish harvests'!L340</f>
        <v>22721971.694568597</v>
      </c>
      <c r="L17" s="1">
        <f>'rockfish harvests'!K365</f>
        <v>17425.832645403378</v>
      </c>
      <c r="M17" s="2">
        <f>'rockfish harvests'!L365</f>
        <v>3434887.6393615259</v>
      </c>
      <c r="N17" s="2">
        <f t="shared" si="0"/>
        <v>165770.90162253275</v>
      </c>
      <c r="O17" s="1">
        <f t="shared" si="1"/>
        <v>37323456.584378392</v>
      </c>
      <c r="P17">
        <f t="shared" si="2"/>
        <v>6109.2926419004016</v>
      </c>
      <c r="Q17" s="14">
        <f t="shared" si="3"/>
        <v>3.6853830087813094E-2</v>
      </c>
    </row>
    <row r="18" spans="1:17" x14ac:dyDescent="0.25">
      <c r="A18">
        <v>2012</v>
      </c>
      <c r="B18" s="1">
        <f>'rockfish harvests'!K241</f>
        <v>63827.587639698155</v>
      </c>
      <c r="C18" s="1">
        <f>'rockfish harvests'!L241</f>
        <v>1027468.7062518544</v>
      </c>
      <c r="D18" s="1">
        <f>'rockfish harvests'!K266</f>
        <v>3776.1442770118629</v>
      </c>
      <c r="E18" s="1">
        <f>'rockfish harvests'!L266</f>
        <v>48300.340637739224</v>
      </c>
      <c r="F18" s="1">
        <f>'rockfish harvests'!K291</f>
        <v>30331.837840909095</v>
      </c>
      <c r="G18" s="1">
        <f>'rockfish harvests'!L291</f>
        <v>11116596.990618348</v>
      </c>
      <c r="H18" s="1">
        <f>'rockfish harvests'!K316</f>
        <v>12656.140350877193</v>
      </c>
      <c r="I18" s="1">
        <f>'rockfish harvests'!L316</f>
        <v>2425591.2838210762</v>
      </c>
      <c r="J18" s="1">
        <f>'rockfish harvests'!K341</f>
        <v>51250.239687848378</v>
      </c>
      <c r="K18" s="1">
        <f>'rockfish harvests'!L341</f>
        <v>23087012.957423236</v>
      </c>
      <c r="L18" s="1">
        <f>'rockfish harvests'!K366</f>
        <v>21501.484048613747</v>
      </c>
      <c r="M18" s="2">
        <f>'rockfish harvests'!L366</f>
        <v>3512142.9566568048</v>
      </c>
      <c r="N18" s="2">
        <f t="shared" si="0"/>
        <v>183343.43384495843</v>
      </c>
      <c r="O18" s="1">
        <f t="shared" si="1"/>
        <v>41217113.235409059</v>
      </c>
      <c r="P18">
        <f t="shared" si="2"/>
        <v>6420.0555476887475</v>
      </c>
      <c r="Q18" s="14">
        <f t="shared" si="3"/>
        <v>3.5016555613972898E-2</v>
      </c>
    </row>
    <row r="19" spans="1:17" x14ac:dyDescent="0.25">
      <c r="A19">
        <v>2013</v>
      </c>
      <c r="B19" s="1">
        <f>'rockfish harvests'!K242</f>
        <v>70364.987163814178</v>
      </c>
      <c r="C19" s="1">
        <f>'rockfish harvests'!L242</f>
        <v>3833914.1323344847</v>
      </c>
      <c r="D19" s="1">
        <f>'rockfish harvests'!K267</f>
        <v>4475.3664881407803</v>
      </c>
      <c r="E19" s="1">
        <f>'rockfish harvests'!L267</f>
        <v>87012.297802534755</v>
      </c>
      <c r="F19" s="1">
        <f>'rockfish harvests'!K292</f>
        <v>22942.238805970148</v>
      </c>
      <c r="G19" s="1">
        <f>'rockfish harvests'!L292</f>
        <v>2814788.8573717903</v>
      </c>
      <c r="H19" s="1">
        <f>'rockfish harvests'!K317</f>
        <v>10533.463803255974</v>
      </c>
      <c r="I19" s="1">
        <f>'rockfish harvests'!L317</f>
        <v>1983952.159720307</v>
      </c>
      <c r="J19" s="1">
        <f>'rockfish harvests'!K342</f>
        <v>59046.842065821518</v>
      </c>
      <c r="K19" s="1">
        <f>'rockfish harvests'!L342</f>
        <v>37595985.131994449</v>
      </c>
      <c r="L19" s="1">
        <f>'rockfish harvests'!K367</f>
        <v>22683.680191645457</v>
      </c>
      <c r="M19" s="2">
        <f>'rockfish harvests'!L367</f>
        <v>3429125.8906986257</v>
      </c>
      <c r="N19" s="2">
        <f t="shared" si="0"/>
        <v>190046.57851864805</v>
      </c>
      <c r="O19" s="1">
        <f t="shared" si="1"/>
        <v>49744778.4699222</v>
      </c>
      <c r="P19">
        <f t="shared" si="2"/>
        <v>7052.9978356669162</v>
      </c>
      <c r="Q19" s="14">
        <f t="shared" si="3"/>
        <v>3.7111943243823518E-2</v>
      </c>
    </row>
    <row r="20" spans="1:17" x14ac:dyDescent="0.25">
      <c r="A20">
        <v>2014</v>
      </c>
      <c r="B20" s="1">
        <f>'rockfish harvests'!K243</f>
        <v>86708.052896462119</v>
      </c>
      <c r="C20" s="1">
        <f>'rockfish harvests'!L243</f>
        <v>10006306.818414057</v>
      </c>
      <c r="D20" s="1">
        <f>'rockfish harvests'!K268</f>
        <v>5718.1397849462364</v>
      </c>
      <c r="E20" s="1">
        <f>'rockfish harvests'!L268</f>
        <v>234030.60206548884</v>
      </c>
      <c r="F20" s="1">
        <f>'rockfish harvests'!K293</f>
        <v>32276.119924151324</v>
      </c>
      <c r="G20" s="1">
        <f>'rockfish harvests'!L293</f>
        <v>9528568.3691134229</v>
      </c>
      <c r="H20" s="1">
        <f>'rockfish harvests'!K318</f>
        <v>18410.250883987203</v>
      </c>
      <c r="I20" s="1">
        <f>'rockfish harvests'!L318</f>
        <v>9687106.4801495951</v>
      </c>
      <c r="J20" s="1">
        <f>'rockfish harvests'!K343</f>
        <v>58838.073336968373</v>
      </c>
      <c r="K20" s="1">
        <f>'rockfish harvests'!L343</f>
        <v>19566076.633357268</v>
      </c>
      <c r="L20" s="1">
        <f>'rockfish harvests'!K368</f>
        <v>24422.057259158752</v>
      </c>
      <c r="M20" s="2">
        <f>'rockfish harvests'!L368</f>
        <v>5648205.4842977012</v>
      </c>
      <c r="N20" s="2">
        <f t="shared" si="0"/>
        <v>226372.69408567398</v>
      </c>
      <c r="O20" s="1">
        <f t="shared" si="1"/>
        <v>54670294.387397528</v>
      </c>
      <c r="P20">
        <f t="shared" si="2"/>
        <v>7393.9363256250408</v>
      </c>
      <c r="Q20" s="14">
        <f t="shared" si="3"/>
        <v>3.26626687705837E-2</v>
      </c>
    </row>
    <row r="21" spans="1:17" x14ac:dyDescent="0.25">
      <c r="A21">
        <v>2015</v>
      </c>
      <c r="B21" s="1">
        <f>'rockfish harvests'!K244</f>
        <v>88259.545990311773</v>
      </c>
      <c r="C21" s="1">
        <f>'rockfish harvests'!L244</f>
        <v>3137762.110543259</v>
      </c>
      <c r="D21" s="1">
        <f>'rockfish harvests'!K269</f>
        <v>8126.5678935972783</v>
      </c>
      <c r="E21" s="1">
        <f>'rockfish harvests'!L269</f>
        <v>1115072.9274274483</v>
      </c>
      <c r="F21" s="1">
        <f>'rockfish harvests'!K294</f>
        <v>31763.885700148439</v>
      </c>
      <c r="G21" s="1">
        <f>'rockfish harvests'!L294</f>
        <v>4304414.6066964231</v>
      </c>
      <c r="H21" s="1">
        <f>'rockfish harvests'!K319</f>
        <v>13685.480355422331</v>
      </c>
      <c r="I21" s="1">
        <f>'rockfish harvests'!L319</f>
        <v>3708908.4909766819</v>
      </c>
      <c r="J21" s="1">
        <f>'rockfish harvests'!K344</f>
        <v>60956.645359656926</v>
      </c>
      <c r="K21" s="1">
        <f>'rockfish harvests'!L344</f>
        <v>18451721.940392502</v>
      </c>
      <c r="L21" s="1">
        <f>'rockfish harvests'!K369</f>
        <v>33215.524335519505</v>
      </c>
      <c r="M21" s="2">
        <f>'rockfish harvests'!L369</f>
        <v>23591989.047447968</v>
      </c>
      <c r="N21" s="2">
        <f t="shared" si="0"/>
        <v>236007.64963465623</v>
      </c>
      <c r="O21" s="1">
        <f t="shared" si="1"/>
        <v>54309869.123484284</v>
      </c>
      <c r="P21">
        <f t="shared" si="2"/>
        <v>7369.5229915839382</v>
      </c>
      <c r="Q21" s="14">
        <f t="shared" si="3"/>
        <v>3.1225780193955926E-2</v>
      </c>
    </row>
    <row r="22" spans="1:17" x14ac:dyDescent="0.25">
      <c r="A22">
        <v>2016</v>
      </c>
      <c r="B22" s="1">
        <f>'rockfish harvests'!K245</f>
        <v>63347.772142219961</v>
      </c>
      <c r="C22" s="1">
        <f>'rockfish harvests'!L245</f>
        <v>2423165.6191606135</v>
      </c>
      <c r="D22" s="1">
        <f>'rockfish harvests'!K270</f>
        <v>9606.8674308497375</v>
      </c>
      <c r="E22" s="1">
        <f>'rockfish harvests'!L270</f>
        <v>521828.91183042602</v>
      </c>
      <c r="F22" s="1">
        <f>'rockfish harvests'!K295</f>
        <v>40066.291818701371</v>
      </c>
      <c r="G22" s="1">
        <f>'rockfish harvests'!L295</f>
        <v>6762576.6255513411</v>
      </c>
      <c r="H22" s="1">
        <f>'rockfish harvests'!K320</f>
        <v>7499.6278507924235</v>
      </c>
      <c r="I22" s="1">
        <f>'rockfish harvests'!L320</f>
        <v>405106.18509878113</v>
      </c>
      <c r="J22" s="1">
        <f>'rockfish harvests'!K345</f>
        <v>66405.532446281708</v>
      </c>
      <c r="K22" s="1">
        <f>'rockfish harvests'!L345</f>
        <v>23923054.468410891</v>
      </c>
      <c r="L22" s="1">
        <f>'rockfish harvests'!K370</f>
        <v>27237.761702821725</v>
      </c>
      <c r="M22" s="2">
        <f>'rockfish harvests'!L370</f>
        <v>11849070.145310419</v>
      </c>
      <c r="N22" s="2">
        <f t="shared" si="0"/>
        <v>214163.85339166693</v>
      </c>
      <c r="O22" s="1">
        <f t="shared" si="1"/>
        <v>45884801.955362469</v>
      </c>
      <c r="P22">
        <f t="shared" si="2"/>
        <v>6773.8321469728244</v>
      </c>
      <c r="Q22" s="14">
        <f t="shared" si="3"/>
        <v>3.1629203713404948E-2</v>
      </c>
    </row>
    <row r="23" spans="1:17" x14ac:dyDescent="0.25">
      <c r="A23">
        <v>2017</v>
      </c>
      <c r="B23" s="1">
        <f>'rockfish harvests'!K246</f>
        <v>71940.082903438393</v>
      </c>
      <c r="C23" s="1">
        <f>'rockfish harvests'!L246</f>
        <v>13249322.287968032</v>
      </c>
      <c r="D23" s="1">
        <f>'rockfish harvests'!K271</f>
        <v>7580.0488400488402</v>
      </c>
      <c r="E23" s="1">
        <f>'rockfish harvests'!L271</f>
        <v>191271.46761998921</v>
      </c>
      <c r="F23" s="1">
        <f>'rockfish harvests'!K296</f>
        <v>41111.228360636691</v>
      </c>
      <c r="G23" s="1">
        <f>'rockfish harvests'!L296</f>
        <v>14540377.874931889</v>
      </c>
      <c r="H23" s="1">
        <f>'rockfish harvests'!K321</f>
        <v>16078.017147192715</v>
      </c>
      <c r="I23" s="1">
        <f>'rockfish harvests'!L321</f>
        <v>4662505.6656814301</v>
      </c>
      <c r="J23" s="1">
        <f>'rockfish harvests'!K346</f>
        <v>62909.834871736792</v>
      </c>
      <c r="K23" s="1">
        <f>'rockfish harvests'!L346</f>
        <v>21220862.426665116</v>
      </c>
      <c r="L23" s="1">
        <f>'rockfish harvests'!K371</f>
        <v>28180.221332705438</v>
      </c>
      <c r="M23" s="2">
        <f>'rockfish harvests'!L371</f>
        <v>9465736.8938175309</v>
      </c>
      <c r="N23" s="2">
        <f t="shared" si="0"/>
        <v>227799.43345575887</v>
      </c>
      <c r="O23" s="1">
        <f t="shared" si="1"/>
        <v>63330076.61668399</v>
      </c>
      <c r="P23">
        <f t="shared" si="2"/>
        <v>7958.0196416372328</v>
      </c>
      <c r="Q23" s="14">
        <f t="shared" si="3"/>
        <v>3.4934325871283464E-2</v>
      </c>
    </row>
    <row r="24" spans="1:17" x14ac:dyDescent="0.25">
      <c r="A24">
        <v>2018</v>
      </c>
      <c r="B24" s="1">
        <f>'rockfish harvests'!K247</f>
        <v>61699.047320720041</v>
      </c>
      <c r="C24" s="1">
        <f>'rockfish harvests'!L247</f>
        <v>1305580.4963851175</v>
      </c>
      <c r="D24" s="1">
        <f>'rockfish harvests'!K272</f>
        <v>10630.379506304387</v>
      </c>
      <c r="E24" s="1">
        <f>'rockfish harvests'!L272</f>
        <v>502872.73387700756</v>
      </c>
      <c r="F24" s="1">
        <f>'rockfish harvests'!K297</f>
        <v>50022.26901059274</v>
      </c>
      <c r="G24" s="1">
        <f>'rockfish harvests'!L297</f>
        <v>8197994.4604236083</v>
      </c>
      <c r="H24" s="1">
        <f>'rockfish harvests'!K322</f>
        <v>18860.883640705848</v>
      </c>
      <c r="I24" s="1">
        <f>'rockfish harvests'!L322</f>
        <v>7422148.5356027149</v>
      </c>
      <c r="J24" s="1">
        <f>'rockfish harvests'!K347</f>
        <v>76774.8595505618</v>
      </c>
      <c r="K24" s="1">
        <f>'rockfish harvests'!L347</f>
        <v>18537755.684375577</v>
      </c>
      <c r="L24" s="1">
        <f>'rockfish harvests'!K372</f>
        <v>39816.635899450121</v>
      </c>
      <c r="M24" s="2">
        <f>'rockfish harvests'!L372</f>
        <v>12734528.822682161</v>
      </c>
      <c r="N24" s="2">
        <f t="shared" si="0"/>
        <v>257804.07492833494</v>
      </c>
      <c r="O24" s="1">
        <f t="shared" si="1"/>
        <v>48700880.733346194</v>
      </c>
      <c r="P24">
        <f t="shared" si="2"/>
        <v>6978.6016316555997</v>
      </c>
      <c r="Q24" s="14">
        <f t="shared" si="3"/>
        <v>2.7069400022460971E-2</v>
      </c>
    </row>
    <row r="25" spans="1:17" x14ac:dyDescent="0.25">
      <c r="A25">
        <v>2019</v>
      </c>
      <c r="B25" s="1">
        <f>'rockfish harvests'!K248</f>
        <v>69676.250304369401</v>
      </c>
      <c r="C25" s="1">
        <f>'rockfish harvests'!L248</f>
        <v>3923387.5515685715</v>
      </c>
      <c r="D25" s="1">
        <f>'rockfish harvests'!K273</f>
        <v>10910.494473531124</v>
      </c>
      <c r="E25" s="1">
        <f>'rockfish harvests'!L273</f>
        <v>1226769.4446075337</v>
      </c>
      <c r="F25" s="1">
        <f>'rockfish harvests'!K298</f>
        <v>59476.361216730038</v>
      </c>
      <c r="G25" s="1">
        <f>'rockfish harvests'!L298</f>
        <v>24125308.819017805</v>
      </c>
      <c r="H25" s="1">
        <f>'rockfish harvests'!K323</f>
        <v>18193.663451672481</v>
      </c>
      <c r="I25" s="1">
        <f>'rockfish harvests'!L323</f>
        <v>4892127.8553123055</v>
      </c>
      <c r="J25" s="1">
        <f>'rockfish harvests'!K348</f>
        <v>105817.34860446323</v>
      </c>
      <c r="K25" s="1">
        <f>'rockfish harvests'!L348</f>
        <v>111154603.32156514</v>
      </c>
      <c r="L25" s="1">
        <f>'rockfish harvests'!K373</f>
        <v>39271.985999299963</v>
      </c>
      <c r="M25" s="2">
        <f>'rockfish harvests'!L373</f>
        <v>28189042.115738388</v>
      </c>
      <c r="N25" s="2">
        <f t="shared" si="0"/>
        <v>303346.10405006621</v>
      </c>
      <c r="O25" s="1">
        <f t="shared" si="1"/>
        <v>173511239.10780972</v>
      </c>
      <c r="P25">
        <f t="shared" si="2"/>
        <v>13172.366496108803</v>
      </c>
      <c r="Q25" s="14">
        <f t="shared" si="3"/>
        <v>4.3423555866518568E-2</v>
      </c>
    </row>
    <row r="26" spans="1:17" x14ac:dyDescent="0.25">
      <c r="A26">
        <v>2020</v>
      </c>
      <c r="B26" s="1">
        <f>'rockfish harvests'!K249</f>
        <v>30307.582512931756</v>
      </c>
      <c r="C26" s="1">
        <f>'rockfish harvests'!L249</f>
        <v>3148769.5238355137</v>
      </c>
      <c r="D26" s="1">
        <f>'rockfish harvests'!K274</f>
        <v>4973.6383877159315</v>
      </c>
      <c r="E26" s="1">
        <f>'rockfish harvests'!L274</f>
        <v>109543.02664472036</v>
      </c>
      <c r="F26" s="1">
        <f>'rockfish harvests'!K299</f>
        <v>22443.397890444958</v>
      </c>
      <c r="G26" s="1">
        <f>'rockfish harvests'!L299</f>
        <v>1472700.4379098967</v>
      </c>
      <c r="H26" s="1">
        <f>'rockfish harvests'!K324</f>
        <v>4399.5719163465646</v>
      </c>
      <c r="I26" s="1">
        <f>'rockfish harvests'!L324</f>
        <v>110201.41937596143</v>
      </c>
      <c r="J26" s="1">
        <f>'rockfish harvests'!K349</f>
        <v>26303.649154865238</v>
      </c>
      <c r="K26" s="1">
        <f>'rockfish harvests'!L349</f>
        <v>6640608.2621304234</v>
      </c>
      <c r="L26" s="1">
        <f>'rockfish harvests'!K374</f>
        <v>15388.622535579058</v>
      </c>
      <c r="M26" s="2">
        <f>'rockfish harvests'!L374</f>
        <v>1279455.8924929332</v>
      </c>
      <c r="N26" s="2">
        <f t="shared" si="0"/>
        <v>103816.4623978835</v>
      </c>
      <c r="O26" s="1">
        <f t="shared" si="1"/>
        <v>12761278.562389448</v>
      </c>
      <c r="P26">
        <f t="shared" si="2"/>
        <v>3572.2931797921415</v>
      </c>
      <c r="Q26" s="14">
        <f t="shared" si="3"/>
        <v>3.4409698590008683E-2</v>
      </c>
    </row>
    <row r="27" spans="1:17" x14ac:dyDescent="0.25">
      <c r="A27">
        <v>2021</v>
      </c>
      <c r="B27" s="1">
        <f>'rockfish harvests'!K250</f>
        <v>62821.383245691672</v>
      </c>
      <c r="C27" s="1">
        <f>'rockfish harvests'!L250</f>
        <v>1468791.0672018982</v>
      </c>
      <c r="D27" s="1">
        <f>'rockfish harvests'!K275</f>
        <v>8856.750779741571</v>
      </c>
      <c r="E27" s="1">
        <f>'rockfish harvests'!L275</f>
        <v>303380.23971291271</v>
      </c>
      <c r="F27" s="1">
        <f>'rockfish harvests'!K300</f>
        <v>41077.489980580918</v>
      </c>
      <c r="G27" s="1">
        <f>'rockfish harvests'!L300</f>
        <v>3864104.3574178377</v>
      </c>
      <c r="H27" s="1">
        <f>'rockfish harvests'!K325</f>
        <v>15994.894678355353</v>
      </c>
      <c r="I27" s="1">
        <f>'rockfish harvests'!L325</f>
        <v>3588518.0359388059</v>
      </c>
      <c r="J27" s="1">
        <f>'rockfish harvests'!K350</f>
        <v>42574.636497865038</v>
      </c>
      <c r="K27" s="1">
        <f>'rockfish harvests'!L350</f>
        <v>6428956.9149598647</v>
      </c>
      <c r="L27" s="1">
        <f>'rockfish harvests'!K375</f>
        <v>31069.087000071548</v>
      </c>
      <c r="M27" s="2">
        <f>'rockfish harvests'!L375</f>
        <v>492653.23167840909</v>
      </c>
      <c r="N27" s="2">
        <f t="shared" si="0"/>
        <v>202394.24218230607</v>
      </c>
      <c r="O27" s="1">
        <f t="shared" si="1"/>
        <v>16146403.846909728</v>
      </c>
      <c r="P27">
        <f t="shared" si="2"/>
        <v>4018.2588078556773</v>
      </c>
      <c r="Q27" s="14">
        <f t="shared" si="3"/>
        <v>1.9853622141267444E-2</v>
      </c>
    </row>
    <row r="28" spans="1:17" x14ac:dyDescent="0.25">
      <c r="A28">
        <v>2022</v>
      </c>
      <c r="B28" s="1">
        <f>'rockfish harvests'!K251</f>
        <v>78954.939425595861</v>
      </c>
      <c r="C28" s="1">
        <f>'rockfish harvests'!L251</f>
        <v>5307635.0491281012</v>
      </c>
      <c r="D28" s="1">
        <f>'rockfish harvests'!K276</f>
        <v>9419.4706368899915</v>
      </c>
      <c r="E28" s="1">
        <f>'rockfish harvests'!L276</f>
        <v>966290.79621620791</v>
      </c>
      <c r="F28" s="1">
        <f>'rockfish harvests'!K301</f>
        <v>58127.726273535314</v>
      </c>
      <c r="G28" s="1">
        <f>'rockfish harvests'!L301</f>
        <v>56312393.20575878</v>
      </c>
      <c r="H28" s="1">
        <f>'rockfish harvests'!K326</f>
        <v>15542.015808541002</v>
      </c>
      <c r="I28" s="1">
        <f>'rockfish harvests'!L326</f>
        <v>3116937.6581412847</v>
      </c>
      <c r="J28" s="1">
        <f>'rockfish harvests'!K351</f>
        <v>59142.766593391003</v>
      </c>
      <c r="K28" s="1">
        <f>'rockfish harvests'!L351</f>
        <v>17493065.751002964</v>
      </c>
      <c r="L28" s="1">
        <f>'rockfish harvests'!K376</f>
        <v>44515.512102515429</v>
      </c>
      <c r="M28" s="2">
        <f>'rockfish harvests'!L376</f>
        <v>7024339.3858510992</v>
      </c>
      <c r="N28" s="2">
        <f t="shared" ref="N28" si="4">L28+J28+H28+F28+D28+B28</f>
        <v>265702.43084046862</v>
      </c>
      <c r="O28" s="1">
        <f t="shared" ref="O28" si="5">SUM(G28,I28,K28,M28,E28,C28)</f>
        <v>90220661.846098438</v>
      </c>
      <c r="P28">
        <f t="shared" ref="P28" si="6">SQRT(O28)</f>
        <v>9498.4557611276177</v>
      </c>
      <c r="Q28" s="14">
        <f t="shared" ref="Q28" si="7">P28/N28</f>
        <v>3.5748471442591433E-2</v>
      </c>
    </row>
    <row r="29" spans="1:17" x14ac:dyDescent="0.25">
      <c r="A29" s="109" t="s">
        <v>95</v>
      </c>
      <c r="B29" s="109"/>
      <c r="C29" s="109"/>
      <c r="D29" s="109"/>
      <c r="E29" s="109"/>
      <c r="F29" s="109"/>
      <c r="G29" s="109"/>
      <c r="H29" s="109"/>
      <c r="I29" s="109"/>
      <c r="J29" s="109"/>
      <c r="K29" s="9"/>
      <c r="L29" s="9"/>
    </row>
    <row r="30" spans="1:17" x14ac:dyDescent="0.25">
      <c r="A30" t="s">
        <v>34</v>
      </c>
      <c r="B30" s="109" t="s">
        <v>42</v>
      </c>
      <c r="C30" s="109"/>
      <c r="D30" s="109" t="s">
        <v>83</v>
      </c>
      <c r="E30" s="109"/>
      <c r="F30" s="109" t="s">
        <v>38</v>
      </c>
      <c r="G30" s="109"/>
      <c r="H30" s="109" t="s">
        <v>41</v>
      </c>
      <c r="I30" s="109"/>
      <c r="J30" s="109" t="s">
        <v>39</v>
      </c>
      <c r="K30" s="109"/>
      <c r="L30" s="109" t="s">
        <v>40</v>
      </c>
      <c r="M30" s="109"/>
      <c r="N30" s="109" t="s">
        <v>158</v>
      </c>
      <c r="O30" s="109"/>
      <c r="P30" s="109"/>
      <c r="Q30" s="109"/>
    </row>
    <row r="31" spans="1:17" x14ac:dyDescent="0.25">
      <c r="B31" s="9" t="s">
        <v>138</v>
      </c>
      <c r="C31" s="9" t="s">
        <v>139</v>
      </c>
      <c r="D31" s="9" t="s">
        <v>138</v>
      </c>
      <c r="E31" s="9" t="s">
        <v>139</v>
      </c>
      <c r="F31" s="9" t="s">
        <v>138</v>
      </c>
      <c r="G31" s="9" t="s">
        <v>139</v>
      </c>
      <c r="H31" s="9" t="s">
        <v>138</v>
      </c>
      <c r="I31" s="9" t="s">
        <v>139</v>
      </c>
      <c r="J31" s="9" t="s">
        <v>138</v>
      </c>
      <c r="K31" s="9" t="s">
        <v>139</v>
      </c>
      <c r="L31" s="9" t="s">
        <v>138</v>
      </c>
      <c r="M31" s="9" t="s">
        <v>139</v>
      </c>
      <c r="N31" s="9" t="s">
        <v>138</v>
      </c>
      <c r="O31" s="9" t="s">
        <v>154</v>
      </c>
      <c r="P31" s="9" t="s">
        <v>155</v>
      </c>
      <c r="Q31" s="9" t="s">
        <v>156</v>
      </c>
    </row>
    <row r="32" spans="1:17" x14ac:dyDescent="0.25">
      <c r="A32">
        <v>1998</v>
      </c>
      <c r="B32" s="1">
        <f>'BRF harvest'!V228</f>
        <v>5109.2861107933395</v>
      </c>
      <c r="C32" s="1">
        <f>'BRF harvest'!W228</f>
        <v>81834.058801585619</v>
      </c>
      <c r="D32" s="1">
        <f>'BRF harvest'!V253</f>
        <v>985.83253862133824</v>
      </c>
      <c r="E32" s="1">
        <f>'BRF harvest'!W253</f>
        <v>21009.479834242113</v>
      </c>
      <c r="F32" s="1">
        <f>'BRF harvest'!V278</f>
        <v>2545.6840087219839</v>
      </c>
      <c r="G32" s="1">
        <f>'BRF harvest'!W278</f>
        <v>522584.00084214215</v>
      </c>
      <c r="H32" s="1">
        <f>'BRF harvest'!V303</f>
        <v>927.74164204660451</v>
      </c>
      <c r="I32" s="1">
        <f>'BRF harvest'!W303</f>
        <v>40460.181799386126</v>
      </c>
      <c r="J32" s="1">
        <f>'BRF harvest'!V328</f>
        <v>3052.2856988832837</v>
      </c>
      <c r="K32" s="1">
        <f>'BRF harvest'!W328</f>
        <v>151764.76984870349</v>
      </c>
      <c r="L32" s="1">
        <f>'BRF harvest'!V353</f>
        <v>2390.8323813353122</v>
      </c>
      <c r="M32" s="2">
        <f>'BRF harvest'!W353</f>
        <v>117487.04045902412</v>
      </c>
      <c r="N32" s="2">
        <f>L32+J32+H32+F32+D32+B32</f>
        <v>15011.66238040186</v>
      </c>
      <c r="O32" s="1">
        <f>SUM(G32,I32,K32,M32,E32,C32)</f>
        <v>935139.53158508369</v>
      </c>
      <c r="P32">
        <f>SQRT(O32)</f>
        <v>967.02612766413074</v>
      </c>
      <c r="Q32" s="14">
        <f>P32/N32</f>
        <v>6.4418323777825567E-2</v>
      </c>
    </row>
    <row r="33" spans="1:17" x14ac:dyDescent="0.25">
      <c r="A33">
        <v>1999</v>
      </c>
      <c r="B33" s="1">
        <f>'BRF harvest'!V229</f>
        <v>4526.4484377305489</v>
      </c>
      <c r="C33" s="1">
        <f>'BRF harvest'!W229</f>
        <v>83920.393002260564</v>
      </c>
      <c r="D33" s="1">
        <f>'BRF harvest'!V254</f>
        <v>690.38285707176499</v>
      </c>
      <c r="E33" s="1">
        <f>'BRF harvest'!W254</f>
        <v>5459.0797491126041</v>
      </c>
      <c r="F33" s="1">
        <f>'BRF harvest'!V279</f>
        <v>3630.5040680794018</v>
      </c>
      <c r="G33" s="1">
        <f>'BRF harvest'!W279</f>
        <v>1117764.5081472157</v>
      </c>
      <c r="H33" s="1">
        <f>'BRF harvest'!V304</f>
        <v>800.5190215331063</v>
      </c>
      <c r="I33" s="1">
        <f>'BRF harvest'!W304</f>
        <v>36700.583285860157</v>
      </c>
      <c r="J33" s="1">
        <f>'BRF harvest'!V329</f>
        <v>4066.8585562044118</v>
      </c>
      <c r="K33" s="1">
        <f>'BRF harvest'!W329</f>
        <v>228199.44851562587</v>
      </c>
      <c r="L33" s="1">
        <f>'BRF harvest'!V354</f>
        <v>2923.2446881694618</v>
      </c>
      <c r="M33" s="2">
        <f>'BRF harvest'!W354</f>
        <v>246594.82159398819</v>
      </c>
      <c r="N33" s="2">
        <f t="shared" ref="N33:N53" si="8">L33+J33+H33+F33+D33+B33</f>
        <v>16637.957628788696</v>
      </c>
      <c r="O33" s="1">
        <f t="shared" ref="O33:O53" si="9">SUM(G33,I33,K33,M33,E33,C33)</f>
        <v>1718638.8342940633</v>
      </c>
      <c r="P33">
        <f t="shared" ref="P33:P53" si="10">SQRT(O33)</f>
        <v>1310.9686625904005</v>
      </c>
      <c r="Q33" s="14">
        <f t="shared" ref="Q33:Q53" si="11">P33/N33</f>
        <v>7.879384548509899E-2</v>
      </c>
    </row>
    <row r="34" spans="1:17" x14ac:dyDescent="0.25">
      <c r="A34">
        <v>2000</v>
      </c>
      <c r="B34" s="1">
        <f>'BRF harvest'!V230</f>
        <v>7017.4540045510321</v>
      </c>
      <c r="C34" s="1">
        <f>'BRF harvest'!W230</f>
        <v>251831.6922795563</v>
      </c>
      <c r="D34" s="1">
        <f>'BRF harvest'!V255</f>
        <v>1315.4731738538947</v>
      </c>
      <c r="E34" s="1">
        <f>'BRF harvest'!W255</f>
        <v>17882.894956813012</v>
      </c>
      <c r="F34" s="1">
        <f>'BRF harvest'!V280</f>
        <v>5328.7965482081872</v>
      </c>
      <c r="G34" s="1">
        <f>'BRF harvest'!W280</f>
        <v>2376990.5387801784</v>
      </c>
      <c r="H34" s="1">
        <f>'BRF harvest'!V305</f>
        <v>2300.548463697311</v>
      </c>
      <c r="I34" s="1">
        <f>'BRF harvest'!W305</f>
        <v>266388.18078460929</v>
      </c>
      <c r="J34" s="1">
        <f>'BRF harvest'!V330</f>
        <v>5687.2255205154252</v>
      </c>
      <c r="K34" s="1">
        <f>'BRF harvest'!W330</f>
        <v>547738.97782102146</v>
      </c>
      <c r="L34" s="1">
        <f>'BRF harvest'!V355</f>
        <v>4182.0128461283412</v>
      </c>
      <c r="M34" s="2">
        <f>'BRF harvest'!W355</f>
        <v>552517.82801465748</v>
      </c>
      <c r="N34" s="2">
        <f t="shared" si="8"/>
        <v>25831.510556954192</v>
      </c>
      <c r="O34" s="1">
        <f t="shared" si="9"/>
        <v>4013350.1126368358</v>
      </c>
      <c r="P34">
        <f t="shared" si="10"/>
        <v>2003.3347480231146</v>
      </c>
      <c r="Q34" s="14">
        <f t="shared" si="11"/>
        <v>7.7553913992218698E-2</v>
      </c>
    </row>
    <row r="35" spans="1:17" x14ac:dyDescent="0.25">
      <c r="A35">
        <v>2001</v>
      </c>
      <c r="B35" s="1">
        <f>'BRF harvest'!V231</f>
        <v>5186.799467588633</v>
      </c>
      <c r="C35" s="1">
        <f>'BRF harvest'!W231</f>
        <v>197249.68751619422</v>
      </c>
      <c r="D35" s="1">
        <f>'BRF harvest'!V256</f>
        <v>1116.1910920841854</v>
      </c>
      <c r="E35" s="1">
        <f>'BRF harvest'!W256</f>
        <v>13521.375904196177</v>
      </c>
      <c r="F35" s="1">
        <f>'BRF harvest'!V281</f>
        <v>3789.5842596457151</v>
      </c>
      <c r="G35" s="1">
        <f>'BRF harvest'!W281</f>
        <v>1186321.4552611078</v>
      </c>
      <c r="H35" s="1">
        <f>'BRF harvest'!V306</f>
        <v>2076.6671376370437</v>
      </c>
      <c r="I35" s="1">
        <f>'BRF harvest'!W306</f>
        <v>257756.88441905309</v>
      </c>
      <c r="J35" s="1">
        <f>'BRF harvest'!V331</f>
        <v>4871.5594080472574</v>
      </c>
      <c r="K35" s="1">
        <f>'BRF harvest'!W331</f>
        <v>352801.18492055382</v>
      </c>
      <c r="L35" s="1">
        <f>'BRF harvest'!V356</f>
        <v>3570.2041663979758</v>
      </c>
      <c r="M35" s="2">
        <f>'BRF harvest'!W356</f>
        <v>383410.85551290901</v>
      </c>
      <c r="N35" s="2">
        <f t="shared" si="8"/>
        <v>20611.00553140081</v>
      </c>
      <c r="O35" s="1">
        <f t="shared" si="9"/>
        <v>2391061.4435340143</v>
      </c>
      <c r="P35">
        <f t="shared" si="10"/>
        <v>1546.305740639287</v>
      </c>
      <c r="Q35" s="14">
        <f t="shared" si="11"/>
        <v>7.502330433532195E-2</v>
      </c>
    </row>
    <row r="36" spans="1:17" x14ac:dyDescent="0.25">
      <c r="A36">
        <v>2002</v>
      </c>
      <c r="B36" s="1">
        <f>'BRF harvest'!V232</f>
        <v>6222.3760168044737</v>
      </c>
      <c r="C36" s="1">
        <f>'BRF harvest'!W232</f>
        <v>175563.32981343599</v>
      </c>
      <c r="D36" s="1">
        <f>'BRF harvest'!V257</f>
        <v>983.46166626138779</v>
      </c>
      <c r="E36" s="1">
        <f>'BRF harvest'!W257</f>
        <v>9921.0323525068561</v>
      </c>
      <c r="F36" s="1">
        <f>'BRF harvest'!V282</f>
        <v>2910.5205549053699</v>
      </c>
      <c r="G36" s="1">
        <f>'BRF harvest'!W282</f>
        <v>724682.84166312218</v>
      </c>
      <c r="H36" s="1">
        <f>'BRF harvest'!V307</f>
        <v>1299.295531696207</v>
      </c>
      <c r="I36" s="1">
        <f>'BRF harvest'!W307</f>
        <v>131333.18829540827</v>
      </c>
      <c r="J36" s="1">
        <f>'BRF harvest'!V332</f>
        <v>4260.7618047507349</v>
      </c>
      <c r="K36" s="1">
        <f>'BRF harvest'!W332</f>
        <v>263639.64977757691</v>
      </c>
      <c r="L36" s="1">
        <f>'BRF harvest'!V357</f>
        <v>5713.3965232358623</v>
      </c>
      <c r="M36" s="2">
        <f>'BRF harvest'!W357</f>
        <v>671950.4167361795</v>
      </c>
      <c r="N36" s="2">
        <f t="shared" si="8"/>
        <v>21389.812097654038</v>
      </c>
      <c r="O36" s="1">
        <f t="shared" si="9"/>
        <v>1977090.4586382296</v>
      </c>
      <c r="P36">
        <f t="shared" si="10"/>
        <v>1406.0904873578477</v>
      </c>
      <c r="Q36" s="14">
        <f t="shared" si="11"/>
        <v>6.5736458129618772E-2</v>
      </c>
    </row>
    <row r="37" spans="1:17" x14ac:dyDescent="0.25">
      <c r="A37">
        <v>2003</v>
      </c>
      <c r="B37" s="1">
        <f>'BRF harvest'!V233</f>
        <v>7783.1235787198812</v>
      </c>
      <c r="C37" s="1">
        <f>'BRF harvest'!W233</f>
        <v>214216.12791022856</v>
      </c>
      <c r="D37" s="1">
        <f>'BRF harvest'!V258</f>
        <v>1537.7931114266105</v>
      </c>
      <c r="E37" s="1">
        <f>'BRF harvest'!W258</f>
        <v>32791.225997059089</v>
      </c>
      <c r="F37" s="1">
        <f>'BRF harvest'!V283</f>
        <v>3371.7442514051063</v>
      </c>
      <c r="G37" s="1">
        <f>'BRF harvest'!W283</f>
        <v>956289.57973124902</v>
      </c>
      <c r="H37" s="1">
        <f>'BRF harvest'!V308</f>
        <v>2333.4453071080738</v>
      </c>
      <c r="I37" s="1">
        <f>'BRF harvest'!W308</f>
        <v>304208.57784589712</v>
      </c>
      <c r="J37" s="1">
        <f>'BRF harvest'!V333</f>
        <v>6042.764817621307</v>
      </c>
      <c r="K37" s="1">
        <f>'BRF harvest'!W333</f>
        <v>522388.89942674176</v>
      </c>
      <c r="L37" s="1">
        <f>'BRF harvest'!V358</f>
        <v>4822.9945145784895</v>
      </c>
      <c r="M37" s="2">
        <f>'BRF harvest'!W358</f>
        <v>550572.72477497871</v>
      </c>
      <c r="N37" s="2">
        <f t="shared" si="8"/>
        <v>25891.865580859467</v>
      </c>
      <c r="O37" s="1">
        <f t="shared" si="9"/>
        <v>2580467.135686154</v>
      </c>
      <c r="P37">
        <f t="shared" si="10"/>
        <v>1606.3832468269065</v>
      </c>
      <c r="Q37" s="14">
        <f t="shared" si="11"/>
        <v>6.204200472964079E-2</v>
      </c>
    </row>
    <row r="38" spans="1:17" x14ac:dyDescent="0.25">
      <c r="A38">
        <v>2004</v>
      </c>
      <c r="B38" s="1">
        <f>'BRF harvest'!V234</f>
        <v>11311.709402952769</v>
      </c>
      <c r="C38" s="1">
        <f>'BRF harvest'!W234</f>
        <v>438059.89916582796</v>
      </c>
      <c r="D38" s="1">
        <f>'BRF harvest'!V259</f>
        <v>1449.0197488164604</v>
      </c>
      <c r="E38" s="1">
        <f>'BRF harvest'!W259</f>
        <v>27923.240069913234</v>
      </c>
      <c r="F38" s="1">
        <f>'BRF harvest'!V284</f>
        <v>3210.5587743028509</v>
      </c>
      <c r="G38" s="1">
        <f>'BRF harvest'!W284</f>
        <v>854995.19391714584</v>
      </c>
      <c r="H38" s="1">
        <f>'BRF harvest'!V309</f>
        <v>1880.5679839184638</v>
      </c>
      <c r="I38" s="1">
        <f>'BRF harvest'!W309</f>
        <v>272583.20093602204</v>
      </c>
      <c r="J38" s="1">
        <f>'BRF harvest'!V334</f>
        <v>5961.1293542103658</v>
      </c>
      <c r="K38" s="1">
        <f>'BRF harvest'!W334</f>
        <v>646170.22524534771</v>
      </c>
      <c r="L38" s="1">
        <f>'BRF harvest'!V359</f>
        <v>7084.9063392254411</v>
      </c>
      <c r="M38" s="2">
        <f>'BRF harvest'!W359</f>
        <v>1171968.2861042002</v>
      </c>
      <c r="N38" s="2">
        <f t="shared" si="8"/>
        <v>30897.891603426349</v>
      </c>
      <c r="O38" s="1">
        <f t="shared" si="9"/>
        <v>3411700.0454384568</v>
      </c>
      <c r="P38">
        <f t="shared" si="10"/>
        <v>1847.0787870143647</v>
      </c>
      <c r="Q38" s="14">
        <f t="shared" si="11"/>
        <v>5.9780091493671278E-2</v>
      </c>
    </row>
    <row r="39" spans="1:17" x14ac:dyDescent="0.25">
      <c r="A39">
        <v>2005</v>
      </c>
      <c r="B39" s="1">
        <f>'BRF harvest'!V235</f>
        <v>14771.632028089245</v>
      </c>
      <c r="C39" s="1">
        <f>'BRF harvest'!W235</f>
        <v>694071.31014726346</v>
      </c>
      <c r="D39" s="1">
        <f>'BRF harvest'!V260</f>
        <v>1754.3453147693908</v>
      </c>
      <c r="E39" s="1">
        <f>'BRF harvest'!W260</f>
        <v>34890.511239516658</v>
      </c>
      <c r="F39" s="1">
        <f>'BRF harvest'!V285</f>
        <v>4246.1151225412013</v>
      </c>
      <c r="G39" s="1">
        <f>'BRF harvest'!W285</f>
        <v>1514453.4637159754</v>
      </c>
      <c r="H39" s="1">
        <f>'BRF harvest'!V310</f>
        <v>2018.4761173615548</v>
      </c>
      <c r="I39" s="1">
        <f>'BRF harvest'!W310</f>
        <v>249936.24331819944</v>
      </c>
      <c r="J39" s="1">
        <f>'BRF harvest'!V335</f>
        <v>6616.7329098112286</v>
      </c>
      <c r="K39" s="1">
        <f>'BRF harvest'!W335</f>
        <v>852578.64221785706</v>
      </c>
      <c r="L39" s="1">
        <f>'BRF harvest'!V360</f>
        <v>9123.2044032943159</v>
      </c>
      <c r="M39" s="2">
        <f>'BRF harvest'!W360</f>
        <v>1857626.9033395059</v>
      </c>
      <c r="N39" s="2">
        <f t="shared" si="8"/>
        <v>38530.505895866932</v>
      </c>
      <c r="O39" s="1">
        <f t="shared" si="9"/>
        <v>5203557.0739783179</v>
      </c>
      <c r="P39">
        <f t="shared" si="10"/>
        <v>2281.1306569283397</v>
      </c>
      <c r="Q39" s="14">
        <f t="shared" si="11"/>
        <v>5.9203236601495818E-2</v>
      </c>
    </row>
    <row r="40" spans="1:17" x14ac:dyDescent="0.25">
      <c r="A40">
        <v>2006</v>
      </c>
      <c r="B40" s="1">
        <f>'BRF harvest'!V236</f>
        <v>22682.73202205935</v>
      </c>
      <c r="C40" s="1">
        <f>'BRF harvest'!W236</f>
        <v>851062.76397291198</v>
      </c>
      <c r="D40" s="1">
        <f>'BRF harvest'!V261</f>
        <v>2688.8985904128322</v>
      </c>
      <c r="E40" s="1">
        <f>'BRF harvest'!W261</f>
        <v>84888.28610775547</v>
      </c>
      <c r="F40" s="1">
        <f>'BRF harvest'!V286</f>
        <v>4438.9726879623568</v>
      </c>
      <c r="G40" s="1">
        <f>'BRF harvest'!W286</f>
        <v>137630.34522689457</v>
      </c>
      <c r="H40" s="1">
        <f>'BRF harvest'!V311</f>
        <v>1962.5133875616009</v>
      </c>
      <c r="I40" s="1">
        <f>'BRF harvest'!W311</f>
        <v>106520.93594076874</v>
      </c>
      <c r="J40" s="1">
        <f>'BRF harvest'!V336</f>
        <v>7642.4116841430741</v>
      </c>
      <c r="K40" s="1">
        <f>'BRF harvest'!W336</f>
        <v>241258.32232878779</v>
      </c>
      <c r="L40" s="1">
        <f>'BRF harvest'!V361</f>
        <v>7054.3156164025404</v>
      </c>
      <c r="M40" s="2">
        <f>'BRF harvest'!W361</f>
        <v>699328.23628966359</v>
      </c>
      <c r="N40" s="2">
        <f t="shared" si="8"/>
        <v>46469.843988541754</v>
      </c>
      <c r="O40" s="1">
        <f t="shared" si="9"/>
        <v>2120688.8898667824</v>
      </c>
      <c r="P40">
        <f t="shared" si="10"/>
        <v>1456.2585243928299</v>
      </c>
      <c r="Q40" s="14">
        <f t="shared" si="11"/>
        <v>3.1337710639870134E-2</v>
      </c>
    </row>
    <row r="41" spans="1:17" x14ac:dyDescent="0.25">
      <c r="A41">
        <v>2007</v>
      </c>
      <c r="B41" s="1">
        <f>'BRF harvest'!V237</f>
        <v>27069.196654343843</v>
      </c>
      <c r="C41" s="1">
        <f>'BRF harvest'!W237</f>
        <v>1239208.3016819682</v>
      </c>
      <c r="D41" s="1">
        <f>'BRF harvest'!V262</f>
        <v>2522.2917795093531</v>
      </c>
      <c r="E41" s="1">
        <f>'BRF harvest'!W262</f>
        <v>75223.138286768197</v>
      </c>
      <c r="F41" s="1">
        <f>'BRF harvest'!V287</f>
        <v>4775.7531153372838</v>
      </c>
      <c r="G41" s="1">
        <f>'BRF harvest'!W287</f>
        <v>57904.408455965582</v>
      </c>
      <c r="H41" s="1">
        <f>'BRF harvest'!V312</f>
        <v>3195.8458360784375</v>
      </c>
      <c r="I41" s="1">
        <f>'BRF harvest'!W312</f>
        <v>158842.37720045101</v>
      </c>
      <c r="J41" s="1">
        <f>'BRF harvest'!V337</f>
        <v>8023.8485794306507</v>
      </c>
      <c r="K41" s="1">
        <f>'BRF harvest'!W337</f>
        <v>254572.84391713925</v>
      </c>
      <c r="L41" s="1">
        <f>'BRF harvest'!V362</f>
        <v>9451.4036474529166</v>
      </c>
      <c r="M41" s="2">
        <f>'BRF harvest'!W362</f>
        <v>1565504.8068756938</v>
      </c>
      <c r="N41" s="2">
        <f t="shared" si="8"/>
        <v>55038.339612152486</v>
      </c>
      <c r="O41" s="1">
        <f t="shared" si="9"/>
        <v>3351255.8764179861</v>
      </c>
      <c r="P41">
        <f t="shared" si="10"/>
        <v>1830.6435689172226</v>
      </c>
      <c r="Q41" s="14">
        <f t="shared" si="11"/>
        <v>3.3261242650441725E-2</v>
      </c>
    </row>
    <row r="42" spans="1:17" x14ac:dyDescent="0.25">
      <c r="A42">
        <v>2008</v>
      </c>
      <c r="B42" s="1">
        <f>'BRF harvest'!V238</f>
        <v>41752.648530161903</v>
      </c>
      <c r="C42" s="1">
        <f>'BRF harvest'!W238</f>
        <v>2419591.9296150478</v>
      </c>
      <c r="D42" s="1">
        <f>'BRF harvest'!V263</f>
        <v>3043.2162623164641</v>
      </c>
      <c r="E42" s="1">
        <f>'BRF harvest'!W263</f>
        <v>82318.933364598168</v>
      </c>
      <c r="F42" s="1">
        <f>'BRF harvest'!V288</f>
        <v>7353.6442227897951</v>
      </c>
      <c r="G42" s="1">
        <f>'BRF harvest'!W288</f>
        <v>82549.978259496027</v>
      </c>
      <c r="H42" s="1">
        <f>'BRF harvest'!V313</f>
        <v>4710.1009184342602</v>
      </c>
      <c r="I42" s="1">
        <f>'BRF harvest'!W313</f>
        <v>758230.25982389948</v>
      </c>
      <c r="J42" s="1">
        <f>'BRF harvest'!V338</f>
        <v>10189.302581632935</v>
      </c>
      <c r="K42" s="1">
        <f>'BRF harvest'!W338</f>
        <v>424166.80281274224</v>
      </c>
      <c r="L42" s="1">
        <f>'BRF harvest'!V363</f>
        <v>16216.445896090258</v>
      </c>
      <c r="M42" s="2">
        <f>'BRF harvest'!W363</f>
        <v>3657036.8465510556</v>
      </c>
      <c r="N42" s="2">
        <f t="shared" si="8"/>
        <v>83265.358411425608</v>
      </c>
      <c r="O42" s="1">
        <f t="shared" si="9"/>
        <v>7423894.7504268391</v>
      </c>
      <c r="P42">
        <f t="shared" si="10"/>
        <v>2724.6825045180658</v>
      </c>
      <c r="Q42" s="14">
        <f t="shared" si="11"/>
        <v>3.2722882078463342E-2</v>
      </c>
    </row>
    <row r="43" spans="1:17" x14ac:dyDescent="0.25">
      <c r="A43">
        <v>2009</v>
      </c>
      <c r="B43" s="1">
        <f>'BRF harvest'!V239</f>
        <v>24307.666775303973</v>
      </c>
      <c r="C43" s="1">
        <f>'BRF harvest'!W239</f>
        <v>898317.97174187622</v>
      </c>
      <c r="D43" s="1">
        <f>'BRF harvest'!V264</f>
        <v>2800.3494704252598</v>
      </c>
      <c r="E43" s="1">
        <f>'BRF harvest'!W264</f>
        <v>88036.673264922792</v>
      </c>
      <c r="F43" s="1">
        <f>'BRF harvest'!V289</f>
        <v>5802.7027354693046</v>
      </c>
      <c r="G43" s="1">
        <f>'BRF harvest'!W289</f>
        <v>77856.055335923797</v>
      </c>
      <c r="H43" s="1">
        <f>'BRF harvest'!V314</f>
        <v>2449.2800469054973</v>
      </c>
      <c r="I43" s="1">
        <f>'BRF harvest'!W314</f>
        <v>80786.287012453337</v>
      </c>
      <c r="J43" s="1">
        <f>'BRF harvest'!V339</f>
        <v>7132.9300841933937</v>
      </c>
      <c r="K43" s="1">
        <f>'BRF harvest'!W339</f>
        <v>153512.61531756967</v>
      </c>
      <c r="L43" s="1">
        <f>'BRF harvest'!V364</f>
        <v>8820.912730723081</v>
      </c>
      <c r="M43" s="2">
        <f>'BRF harvest'!W364</f>
        <v>1062889.8239489344</v>
      </c>
      <c r="N43" s="2">
        <f t="shared" si="8"/>
        <v>51313.841843020506</v>
      </c>
      <c r="O43" s="1">
        <f t="shared" si="9"/>
        <v>2361399.4266216801</v>
      </c>
      <c r="P43">
        <f t="shared" si="10"/>
        <v>1536.6845566418895</v>
      </c>
      <c r="Q43" s="14">
        <f t="shared" si="11"/>
        <v>2.9946784365569832E-2</v>
      </c>
    </row>
    <row r="44" spans="1:17" x14ac:dyDescent="0.25">
      <c r="A44">
        <v>2010</v>
      </c>
      <c r="B44" s="1">
        <f>'BRF harvest'!V240</f>
        <v>33554.270625346166</v>
      </c>
      <c r="C44" s="1">
        <f>'BRF harvest'!W240</f>
        <v>1710643.261248311</v>
      </c>
      <c r="D44" s="1">
        <f>'BRF harvest'!V265</f>
        <v>2457.5723339449796</v>
      </c>
      <c r="E44" s="1">
        <f>'BRF harvest'!W265</f>
        <v>75905.984281490644</v>
      </c>
      <c r="F44" s="1">
        <f>'BRF harvest'!V290</f>
        <v>7658.6840301610364</v>
      </c>
      <c r="G44" s="1">
        <f>'BRF harvest'!W290</f>
        <v>196205.65562090435</v>
      </c>
      <c r="H44" s="1">
        <f>'BRF harvest'!V315</f>
        <v>4214.0900257706062</v>
      </c>
      <c r="I44" s="1">
        <f>'BRF harvest'!W315</f>
        <v>482558.85570332408</v>
      </c>
      <c r="J44" s="1">
        <f>'BRF harvest'!V340</f>
        <v>10378.466905572745</v>
      </c>
      <c r="K44" s="1">
        <f>'BRF harvest'!W340</f>
        <v>301718.19010462821</v>
      </c>
      <c r="L44" s="1">
        <f>'BRF harvest'!V365</f>
        <v>10594.470819155009</v>
      </c>
      <c r="M44" s="2">
        <f>'BRF harvest'!W365</f>
        <v>1253559.2030088222</v>
      </c>
      <c r="N44" s="2">
        <f t="shared" si="8"/>
        <v>68857.554739950545</v>
      </c>
      <c r="O44" s="1">
        <f t="shared" si="9"/>
        <v>4020591.1499674805</v>
      </c>
      <c r="P44">
        <f t="shared" si="10"/>
        <v>2005.1411795600529</v>
      </c>
      <c r="Q44" s="14">
        <f t="shared" si="11"/>
        <v>2.9120133399054435E-2</v>
      </c>
    </row>
    <row r="45" spans="1:17" x14ac:dyDescent="0.25">
      <c r="A45">
        <v>2011</v>
      </c>
      <c r="B45" s="1">
        <f>'BRF harvest'!V241</f>
        <v>50769.780446855933</v>
      </c>
      <c r="C45" s="1">
        <f>'BRF harvest'!W241</f>
        <v>2101611.4748695502</v>
      </c>
      <c r="D45" s="1">
        <f>'BRF harvest'!V266</f>
        <v>3516.3919194144455</v>
      </c>
      <c r="E45" s="1">
        <f>'BRF harvest'!W266</f>
        <v>277090.96281859517</v>
      </c>
      <c r="F45" s="1">
        <f>'BRF harvest'!V291</f>
        <v>9376.7482891199343</v>
      </c>
      <c r="G45" s="1">
        <f>'BRF harvest'!W291</f>
        <v>159743.8596166207</v>
      </c>
      <c r="H45" s="1">
        <f>'BRF harvest'!V316</f>
        <v>7835.2318261751498</v>
      </c>
      <c r="I45" s="1">
        <f>'BRF harvest'!W316</f>
        <v>230212.8721536235</v>
      </c>
      <c r="J45" s="1">
        <f>'BRF harvest'!V341</f>
        <v>10330.75373913351</v>
      </c>
      <c r="K45" s="1">
        <f>'BRF harvest'!W341</f>
        <v>268459.65805665462</v>
      </c>
      <c r="L45" s="1">
        <f>'BRF harvest'!V366</f>
        <v>11432.008772355892</v>
      </c>
      <c r="M45" s="2">
        <f>'BRF harvest'!W366</f>
        <v>1285166.4785709742</v>
      </c>
      <c r="N45" s="2">
        <f t="shared" si="8"/>
        <v>93260.914993054874</v>
      </c>
      <c r="O45" s="1">
        <f t="shared" si="9"/>
        <v>4322285.3060860187</v>
      </c>
      <c r="P45">
        <f t="shared" si="10"/>
        <v>2079.0106555970365</v>
      </c>
      <c r="Q45" s="14">
        <f t="shared" si="11"/>
        <v>2.2292411089381441E-2</v>
      </c>
    </row>
    <row r="46" spans="1:17" x14ac:dyDescent="0.25">
      <c r="A46">
        <v>2012</v>
      </c>
      <c r="B46" s="1">
        <f>'BRF harvest'!V242</f>
        <v>45759.208903555111</v>
      </c>
      <c r="C46" s="1">
        <f>'BRF harvest'!W242</f>
        <v>376211.30861221708</v>
      </c>
      <c r="D46" s="1">
        <f>'BRF harvest'!V267</f>
        <v>3087.2658493389422</v>
      </c>
      <c r="E46" s="1">
        <f>'BRF harvest'!W267</f>
        <v>30748.447451267741</v>
      </c>
      <c r="F46" s="1">
        <f>'BRF harvest'!V292</f>
        <v>13142.249323951939</v>
      </c>
      <c r="G46" s="1">
        <f>'BRF harvest'!W292</f>
        <v>1446255.9536675732</v>
      </c>
      <c r="H46" s="1">
        <f>'BRF harvest'!V317</f>
        <v>8951.0314088624382</v>
      </c>
      <c r="I46" s="1">
        <f>'BRF harvest'!W317</f>
        <v>1137482.3420611382</v>
      </c>
      <c r="J46" s="1">
        <f>'BRF harvest'!V342</f>
        <v>9132.7127243967952</v>
      </c>
      <c r="K46" s="1">
        <f>'BRF harvest'!W342</f>
        <v>70596.627847037278</v>
      </c>
      <c r="L46" s="1">
        <f>'BRF harvest'!V367</f>
        <v>14048.918638176565</v>
      </c>
      <c r="M46" s="2">
        <f>'BRF harvest'!W367</f>
        <v>1557986.3192452134</v>
      </c>
      <c r="N46" s="2">
        <f t="shared" si="8"/>
        <v>94121.386848281778</v>
      </c>
      <c r="O46" s="1">
        <f t="shared" si="9"/>
        <v>4619280.9988844469</v>
      </c>
      <c r="P46">
        <f t="shared" si="10"/>
        <v>2149.2512647162607</v>
      </c>
      <c r="Q46" s="14">
        <f t="shared" si="11"/>
        <v>2.2834887337356485E-2</v>
      </c>
    </row>
    <row r="47" spans="1:17" x14ac:dyDescent="0.25">
      <c r="A47">
        <v>2013</v>
      </c>
      <c r="B47" s="1">
        <f>'BRF harvest'!V243</f>
        <v>53329.116116007412</v>
      </c>
      <c r="C47" s="1">
        <f>'BRF harvest'!W243</f>
        <v>1418097.6121264661</v>
      </c>
      <c r="D47" s="1">
        <f>'BRF harvest'!V268</f>
        <v>3930.506975198984</v>
      </c>
      <c r="E47" s="1">
        <f>'BRF harvest'!W268</f>
        <v>67062.402703950429</v>
      </c>
      <c r="F47" s="1">
        <f>'BRF harvest'!V293</f>
        <v>10262.346287632536</v>
      </c>
      <c r="G47" s="1">
        <f>'BRF harvest'!W293</f>
        <v>424143.50798383879</v>
      </c>
      <c r="H47" s="1">
        <f>'BRF harvest'!V318</f>
        <v>7334.2180377142668</v>
      </c>
      <c r="I47" s="1">
        <f>'BRF harvest'!W318</f>
        <v>925090.70943436236</v>
      </c>
      <c r="J47" s="1">
        <f>'BRF harvest'!V343</f>
        <v>13438.762813164891</v>
      </c>
      <c r="K47" s="1">
        <f>'BRF harvest'!W343</f>
        <v>725418.32480739569</v>
      </c>
      <c r="L47" s="1">
        <f>'BRF harvest'!V368</f>
        <v>15766.799257114304</v>
      </c>
      <c r="M47" s="2">
        <f>'BRF harvest'!W368</f>
        <v>1588202.7674775075</v>
      </c>
      <c r="N47" s="2">
        <f t="shared" si="8"/>
        <v>104061.74948683238</v>
      </c>
      <c r="O47" s="1">
        <f t="shared" si="9"/>
        <v>5148015.3245335212</v>
      </c>
      <c r="P47">
        <f t="shared" si="10"/>
        <v>2268.9238251941206</v>
      </c>
      <c r="Q47" s="14">
        <f t="shared" si="11"/>
        <v>2.1803629444854013E-2</v>
      </c>
    </row>
    <row r="48" spans="1:17" x14ac:dyDescent="0.25">
      <c r="A48">
        <v>2014</v>
      </c>
      <c r="B48" s="1">
        <f>'BRF harvest'!V244</f>
        <v>65132.033713635894</v>
      </c>
      <c r="C48" s="1">
        <f>'BRF harvest'!W244</f>
        <v>3336104.4617851307</v>
      </c>
      <c r="D48" s="1">
        <f>'BRF harvest'!V269</f>
        <v>4904.2041329687736</v>
      </c>
      <c r="E48" s="1">
        <f>'BRF harvest'!W269</f>
        <v>180865.67397812507</v>
      </c>
      <c r="F48" s="1">
        <f>'BRF harvest'!V294</f>
        <v>13291.577311781086</v>
      </c>
      <c r="G48" s="1">
        <f>'BRF harvest'!W294</f>
        <v>925047.14470013825</v>
      </c>
      <c r="H48" s="1">
        <f>'BRF harvest'!V319</f>
        <v>13519.430448069656</v>
      </c>
      <c r="I48" s="1">
        <f>'BRF harvest'!W319</f>
        <v>5833448.1388199218</v>
      </c>
      <c r="J48" s="1">
        <f>'BRF harvest'!V344</f>
        <v>11516.913987580756</v>
      </c>
      <c r="K48" s="1">
        <f>'BRF harvest'!W344</f>
        <v>175633.6857043248</v>
      </c>
      <c r="L48" s="1">
        <f>'BRF harvest'!V369</f>
        <v>16445.401669606108</v>
      </c>
      <c r="M48" s="2">
        <f>'BRF harvest'!W369</f>
        <v>2060382.7362097367</v>
      </c>
      <c r="N48" s="2">
        <f t="shared" si="8"/>
        <v>124809.56126364227</v>
      </c>
      <c r="O48" s="1">
        <f t="shared" si="9"/>
        <v>12511481.841197377</v>
      </c>
      <c r="P48">
        <f t="shared" si="10"/>
        <v>3537.1573107790073</v>
      </c>
      <c r="Q48" s="14">
        <f t="shared" si="11"/>
        <v>2.8340435419905614E-2</v>
      </c>
    </row>
    <row r="49" spans="1:17" x14ac:dyDescent="0.25">
      <c r="A49">
        <v>2015</v>
      </c>
      <c r="B49" s="1">
        <f>'BRF harvest'!V245</f>
        <v>66092.534663024664</v>
      </c>
      <c r="C49" s="1">
        <f>'BRF harvest'!W245</f>
        <v>1082603.3179139975</v>
      </c>
      <c r="D49" s="1">
        <f>'BRF harvest'!V270</f>
        <v>7054.4903416582492</v>
      </c>
      <c r="E49" s="1">
        <f>'BRF harvest'!W270</f>
        <v>1076459.9802907803</v>
      </c>
      <c r="F49" s="1">
        <f>'BRF harvest'!V295</f>
        <v>13707.06742366379</v>
      </c>
      <c r="G49" s="1">
        <f>'BRF harvest'!W295</f>
        <v>328882.73630488123</v>
      </c>
      <c r="H49" s="1">
        <f>'BRF harvest'!V320</f>
        <v>9065.0575213470729</v>
      </c>
      <c r="I49" s="1">
        <f>'BRF harvest'!W320</f>
        <v>1438353.9418206492</v>
      </c>
      <c r="J49" s="1">
        <f>'BRF harvest'!V345</f>
        <v>11916.402701481784</v>
      </c>
      <c r="K49" s="1">
        <f>'BRF harvest'!W345</f>
        <v>113087.89053354476</v>
      </c>
      <c r="L49" s="1">
        <f>'BRF harvest'!V370</f>
        <v>22605.065662922541</v>
      </c>
      <c r="M49" s="2">
        <f>'BRF harvest'!W370</f>
        <v>9817746.1188584063</v>
      </c>
      <c r="N49" s="2">
        <f t="shared" si="8"/>
        <v>130440.6183140981</v>
      </c>
      <c r="O49" s="1">
        <f t="shared" si="9"/>
        <v>13857133.985722259</v>
      </c>
      <c r="P49">
        <f t="shared" si="10"/>
        <v>3722.5171572099248</v>
      </c>
      <c r="Q49" s="14">
        <f t="shared" si="11"/>
        <v>2.8538021402552589E-2</v>
      </c>
    </row>
    <row r="50" spans="1:17" x14ac:dyDescent="0.25">
      <c r="A50">
        <v>2016</v>
      </c>
      <c r="B50" s="1">
        <f>'BRF harvest'!V246</f>
        <v>44433.393824987477</v>
      </c>
      <c r="C50" s="1">
        <f>'BRF harvest'!W246</f>
        <v>661735.28959338891</v>
      </c>
      <c r="D50" s="1">
        <f>'BRF harvest'!V271</f>
        <v>8025.2509537542774</v>
      </c>
      <c r="E50" s="1">
        <f>'BRF harvest'!W271</f>
        <v>383361.83917104348</v>
      </c>
      <c r="F50" s="1">
        <f>'BRF harvest'!V296</f>
        <v>10696.551293926825</v>
      </c>
      <c r="G50" s="1">
        <f>'BRF harvest'!W296</f>
        <v>268160.93197817821</v>
      </c>
      <c r="H50" s="1">
        <f>'BRF harvest'!V321</f>
        <v>5047.2935321359719</v>
      </c>
      <c r="I50" s="1">
        <f>'BRF harvest'!W321</f>
        <v>185481.87521562946</v>
      </c>
      <c r="J50" s="1">
        <f>'BRF harvest'!V346</f>
        <v>13195.704225544891</v>
      </c>
      <c r="K50" s="1">
        <f>'BRF harvest'!W346</f>
        <v>215379.41710057048</v>
      </c>
      <c r="L50" s="1">
        <f>'BRF harvest'!V371</f>
        <v>19470.20343475249</v>
      </c>
      <c r="M50" s="2">
        <f>'BRF harvest'!W371</f>
        <v>4751787.7227155725</v>
      </c>
      <c r="N50" s="2">
        <f t="shared" si="8"/>
        <v>100868.39726510193</v>
      </c>
      <c r="O50" s="1">
        <f t="shared" si="9"/>
        <v>6465907.0757743837</v>
      </c>
      <c r="P50">
        <f t="shared" si="10"/>
        <v>2542.814793840555</v>
      </c>
      <c r="Q50" s="14">
        <f t="shared" si="11"/>
        <v>2.5209231660115895E-2</v>
      </c>
    </row>
    <row r="51" spans="1:17" x14ac:dyDescent="0.25">
      <c r="A51">
        <v>2017</v>
      </c>
      <c r="B51" s="1">
        <f>'BRF harvest'!V247</f>
        <v>50392.762800125296</v>
      </c>
      <c r="C51" s="1">
        <f>'BRF harvest'!W247</f>
        <v>3446909.0799098909</v>
      </c>
      <c r="D51" s="1">
        <f>'BRF harvest'!V272</f>
        <v>6490.8694410252392</v>
      </c>
      <c r="E51" s="1">
        <f>'BRF harvest'!W272</f>
        <v>157551.18714598884</v>
      </c>
      <c r="F51" s="1">
        <f>'BRF harvest'!V297</f>
        <v>12258.097150997084</v>
      </c>
      <c r="G51" s="1">
        <f>'BRF harvest'!W297</f>
        <v>1214856.1900409218</v>
      </c>
      <c r="H51" s="1">
        <f>'BRF harvest'!V322</f>
        <v>11868.906769601883</v>
      </c>
      <c r="I51" s="1">
        <f>'BRF harvest'!W322</f>
        <v>2602980.862854247</v>
      </c>
      <c r="J51" s="1">
        <f>'BRF harvest'!V347</f>
        <v>15084.5663312591</v>
      </c>
      <c r="K51" s="1">
        <f>'BRF harvest'!W347</f>
        <v>363086.36586366629</v>
      </c>
      <c r="L51" s="1">
        <f>'BRF harvest'!V372</f>
        <v>21141.518353635885</v>
      </c>
      <c r="M51" s="2">
        <f>'BRF harvest'!W372</f>
        <v>4246775.9294629302</v>
      </c>
      <c r="N51" s="2">
        <f t="shared" si="8"/>
        <v>117236.72084664449</v>
      </c>
      <c r="O51" s="1">
        <f t="shared" si="9"/>
        <v>12032159.615277646</v>
      </c>
      <c r="P51">
        <f t="shared" si="10"/>
        <v>3468.7403499365078</v>
      </c>
      <c r="Q51" s="14">
        <f t="shared" si="11"/>
        <v>2.9587490377472367E-2</v>
      </c>
    </row>
    <row r="52" spans="1:17" x14ac:dyDescent="0.25">
      <c r="A52">
        <v>2018</v>
      </c>
      <c r="B52" s="1">
        <f>'BRF harvest'!V248</f>
        <v>45639.668896178824</v>
      </c>
      <c r="C52" s="1">
        <f>'BRF harvest'!W248</f>
        <v>496449.89066874661</v>
      </c>
      <c r="D52" s="1">
        <f>'BRF harvest'!V273</f>
        <v>9020.7627217825593</v>
      </c>
      <c r="E52" s="1">
        <f>'BRF harvest'!W273</f>
        <v>294543.30883285316</v>
      </c>
      <c r="F52" s="1">
        <f>'BRF harvest'!V298</f>
        <v>10279.09612061026</v>
      </c>
      <c r="G52" s="1">
        <f>'BRF harvest'!W298</f>
        <v>377929.69025908469</v>
      </c>
      <c r="H52" s="1">
        <f>'BRF harvest'!V323</f>
        <v>14177.892546843908</v>
      </c>
      <c r="I52" s="1">
        <f>'BRF harvest'!W323</f>
        <v>4076052.6038994072</v>
      </c>
      <c r="J52" s="1">
        <f>'BRF harvest'!V348</f>
        <v>24352.02165571817</v>
      </c>
      <c r="K52" s="1">
        <f>'BRF harvest'!W348</f>
        <v>735613.99218858941</v>
      </c>
      <c r="L52" s="1">
        <f>'BRF harvest'!V373</f>
        <v>31373.066871077182</v>
      </c>
      <c r="M52" s="2">
        <f>'BRF harvest'!W373</f>
        <v>6377656.5980010023</v>
      </c>
      <c r="N52" s="2">
        <f t="shared" si="8"/>
        <v>134842.50881221093</v>
      </c>
      <c r="O52" s="1">
        <f t="shared" si="9"/>
        <v>12358246.083849683</v>
      </c>
      <c r="P52">
        <f t="shared" si="10"/>
        <v>3515.4297153903794</v>
      </c>
      <c r="Q52" s="14">
        <f t="shared" si="11"/>
        <v>2.6070634152069654E-2</v>
      </c>
    </row>
    <row r="53" spans="1:17" x14ac:dyDescent="0.25">
      <c r="A53">
        <v>2019</v>
      </c>
      <c r="B53" s="1">
        <f>'BRF harvest'!V249</f>
        <v>53287.147799392013</v>
      </c>
      <c r="C53" s="1">
        <f>'BRF harvest'!W249</f>
        <v>1381727.2648010899</v>
      </c>
      <c r="D53" s="1">
        <f>'BRF harvest'!V274</f>
        <v>9465.8571552228022</v>
      </c>
      <c r="E53" s="1">
        <f>'BRF harvest'!W274</f>
        <v>907414.39872977813</v>
      </c>
      <c r="F53" s="1">
        <f>'BRF harvest'!V299</f>
        <v>12931.933964741216</v>
      </c>
      <c r="G53" s="1">
        <f>'BRF harvest'!W299</f>
        <v>1260919.3673879085</v>
      </c>
      <c r="H53" s="1">
        <f>'BRF harvest'!V324</f>
        <v>13947.828265085333</v>
      </c>
      <c r="I53" s="1">
        <f>'BRF harvest'!W324</f>
        <v>2940660.6408554232</v>
      </c>
      <c r="J53" s="1">
        <f>'BRF harvest'!V349</f>
        <v>31064.06631338712</v>
      </c>
      <c r="K53" s="1">
        <f>'BRF harvest'!W349</f>
        <v>5927358.1599193849</v>
      </c>
      <c r="L53" s="1">
        <f>'BRF harvest'!V374</f>
        <v>28436.467670498958</v>
      </c>
      <c r="M53" s="2">
        <f>'BRF harvest'!W374</f>
        <v>9547345.0968456715</v>
      </c>
      <c r="N53" s="2">
        <f t="shared" si="8"/>
        <v>149133.30116832745</v>
      </c>
      <c r="O53" s="1">
        <f t="shared" si="9"/>
        <v>21965424.928539257</v>
      </c>
      <c r="P53">
        <f t="shared" si="10"/>
        <v>4686.7285955706093</v>
      </c>
      <c r="Q53" s="14">
        <f t="shared" si="11"/>
        <v>3.1426439023707231E-2</v>
      </c>
    </row>
    <row r="54" spans="1:17" x14ac:dyDescent="0.25">
      <c r="A54">
        <v>2020</v>
      </c>
      <c r="B54" s="1">
        <f>'BRF harvest'!V250</f>
        <v>27429.026898153828</v>
      </c>
      <c r="C54" s="1">
        <f>'BRF harvest'!W250</f>
        <v>2477111.5816803463</v>
      </c>
      <c r="D54" s="1">
        <f>'BRF harvest'!V275</f>
        <v>4818.0518071193155</v>
      </c>
      <c r="E54" s="1">
        <f>'BRF harvest'!W275</f>
        <v>107502.04758361253</v>
      </c>
      <c r="F54" s="1">
        <f>'BRF harvest'!V300</f>
        <v>9519.8411725382866</v>
      </c>
      <c r="G54" s="1">
        <f>'BRF harvest'!W300</f>
        <v>123398.31147399628</v>
      </c>
      <c r="H54" s="1">
        <f>'BRF harvest'!V325</f>
        <v>4008.9990910922984</v>
      </c>
      <c r="I54" s="1">
        <f>'BRF harvest'!W325</f>
        <v>87551.941152852203</v>
      </c>
      <c r="J54" s="1">
        <f>'BRF harvest'!V350</f>
        <v>19234.474597945387</v>
      </c>
      <c r="K54" s="1">
        <f>'BRF harvest'!W350</f>
        <v>3645155.4881636947</v>
      </c>
      <c r="L54" s="1">
        <f>'BRF harvest'!V375</f>
        <v>15013.58393140593</v>
      </c>
      <c r="M54" s="2">
        <f>'BRF harvest'!W375</f>
        <v>1180347.670185098</v>
      </c>
      <c r="N54" s="2">
        <f t="shared" ref="N54:N55" si="12">L54+J54+H54+F54+D54+B54</f>
        <v>80023.977498255044</v>
      </c>
      <c r="O54" s="1">
        <f t="shared" ref="O54:O55" si="13">SUM(G54,I54,K54,M54,E54,C54)</f>
        <v>7621067.0402395995</v>
      </c>
      <c r="P54">
        <f t="shared" ref="P54:P55" si="14">SQRT(O54)</f>
        <v>2760.6280155500126</v>
      </c>
      <c r="Q54" s="14">
        <f t="shared" ref="Q54:Q55" si="15">P54/N54</f>
        <v>3.4497510644359179E-2</v>
      </c>
    </row>
    <row r="55" spans="1:17" x14ac:dyDescent="0.25">
      <c r="A55">
        <v>2021</v>
      </c>
      <c r="B55" s="1">
        <f>'BRF harvest'!V251</f>
        <v>57830.014973251484</v>
      </c>
      <c r="C55" s="1">
        <f>'BRF harvest'!W251</f>
        <v>1200249.4184751771</v>
      </c>
      <c r="D55" s="1">
        <f>'BRF harvest'!V276</f>
        <v>8662.3338727041883</v>
      </c>
      <c r="E55" s="1">
        <f>'BRF harvest'!W276</f>
        <v>301645.89733104693</v>
      </c>
      <c r="F55" s="1">
        <f>'BRF harvest'!V301</f>
        <v>12379.102755669761</v>
      </c>
      <c r="G55" s="1">
        <f>'BRF harvest'!W301</f>
        <v>131432.60190826457</v>
      </c>
      <c r="H55" s="1">
        <f>'BRF harvest'!V326</f>
        <v>13379.926961517056</v>
      </c>
      <c r="I55" s="1">
        <f>'BRF harvest'!W326</f>
        <v>2960959.7679083431</v>
      </c>
      <c r="J55" s="1">
        <f>'BRF harvest'!V351</f>
        <v>19830.006245034267</v>
      </c>
      <c r="K55" s="1">
        <f>'BRF harvest'!W351</f>
        <v>1946502.397658885</v>
      </c>
      <c r="L55" s="1">
        <f>'BRF harvest'!V376</f>
        <v>30072.205736176547</v>
      </c>
      <c r="M55" s="2">
        <f>'BRF harvest'!W376</f>
        <v>441885.86957723781</v>
      </c>
      <c r="N55" s="2">
        <f t="shared" si="12"/>
        <v>142153.5905443533</v>
      </c>
      <c r="O55" s="1">
        <f t="shared" si="13"/>
        <v>6982675.9528589547</v>
      </c>
      <c r="P55">
        <f t="shared" si="14"/>
        <v>2642.4753457428801</v>
      </c>
      <c r="Q55" s="14">
        <f t="shared" si="15"/>
        <v>1.858887514289273E-2</v>
      </c>
    </row>
    <row r="56" spans="1:17" x14ac:dyDescent="0.25">
      <c r="A56">
        <v>2022</v>
      </c>
      <c r="B56" s="1">
        <f>'BRF harvest'!V252</f>
        <v>72670.37461058468</v>
      </c>
      <c r="C56" s="1">
        <f>'BRF harvest'!W252</f>
        <v>4190933.5929228184</v>
      </c>
      <c r="D56" s="1">
        <f>'BRF harvest'!V277</f>
        <v>9129.3757467144533</v>
      </c>
      <c r="E56" s="1">
        <f>'BRF harvest'!W277</f>
        <v>932572.43973986455</v>
      </c>
      <c r="F56" s="1">
        <f>'BRF harvest'!V302</f>
        <v>30879.61782255349</v>
      </c>
      <c r="G56" s="1">
        <f>'BRF harvest'!W302</f>
        <v>12003982.704072356</v>
      </c>
      <c r="H56" s="1">
        <f>'BRF harvest'!V327</f>
        <v>12881.784326442157</v>
      </c>
      <c r="I56" s="1">
        <f>'BRF harvest'!W327</f>
        <v>2520395.6628460353</v>
      </c>
      <c r="J56" s="1">
        <f>'BRF harvest'!V352</f>
        <v>24521.608015873622</v>
      </c>
      <c r="K56" s="1">
        <f>'BRF harvest'!W352</f>
        <v>2421644.6924036243</v>
      </c>
      <c r="L56" s="1">
        <f>'BRF harvest'!V377</f>
        <v>42911.661198098991</v>
      </c>
      <c r="M56" s="2">
        <f>'BRF harvest'!W377</f>
        <v>5784489.4156321492</v>
      </c>
      <c r="N56" s="2">
        <f t="shared" ref="N56" si="16">L56+J56+H56+F56+D56+B56</f>
        <v>192994.42172026739</v>
      </c>
      <c r="O56" s="1">
        <f t="shared" ref="O56" si="17">SUM(G56,I56,K56,M56,E56,C56)</f>
        <v>27854018.507616848</v>
      </c>
      <c r="P56">
        <f t="shared" ref="P56" si="18">SQRT(O56)</f>
        <v>5277.6906415227531</v>
      </c>
      <c r="Q56" s="14">
        <f t="shared" ref="Q56" si="19">P56/N56</f>
        <v>2.7346337756706852E-2</v>
      </c>
    </row>
    <row r="57" spans="1:17" x14ac:dyDescent="0.25">
      <c r="A57" s="109" t="s">
        <v>96</v>
      </c>
      <c r="B57" s="109"/>
      <c r="C57" s="109"/>
      <c r="D57" s="109"/>
      <c r="E57" s="109"/>
      <c r="F57" s="109"/>
      <c r="G57" s="109"/>
      <c r="H57" s="109"/>
      <c r="I57" s="109"/>
      <c r="J57" s="109"/>
      <c r="K57" s="9"/>
      <c r="L57" s="9"/>
    </row>
    <row r="58" spans="1:17" x14ac:dyDescent="0.25">
      <c r="A58" t="s">
        <v>34</v>
      </c>
      <c r="B58" s="109" t="s">
        <v>42</v>
      </c>
      <c r="C58" s="109"/>
      <c r="D58" s="109" t="s">
        <v>83</v>
      </c>
      <c r="E58" s="109"/>
      <c r="F58" s="109" t="s">
        <v>38</v>
      </c>
      <c r="G58" s="109"/>
      <c r="H58" s="109" t="s">
        <v>41</v>
      </c>
      <c r="I58" s="109"/>
      <c r="J58" s="109" t="s">
        <v>39</v>
      </c>
      <c r="K58" s="109"/>
      <c r="L58" s="109" t="s">
        <v>40</v>
      </c>
      <c r="M58" s="109"/>
      <c r="N58" s="109" t="s">
        <v>158</v>
      </c>
      <c r="O58" s="109"/>
      <c r="P58" s="109"/>
      <c r="Q58" s="109"/>
    </row>
    <row r="59" spans="1:17" x14ac:dyDescent="0.25">
      <c r="B59" s="9" t="s">
        <v>138</v>
      </c>
      <c r="C59" s="9" t="s">
        <v>139</v>
      </c>
      <c r="D59" s="9" t="s">
        <v>138</v>
      </c>
      <c r="E59" s="9" t="s">
        <v>139</v>
      </c>
      <c r="F59" s="9" t="s">
        <v>138</v>
      </c>
      <c r="G59" s="9" t="s">
        <v>139</v>
      </c>
      <c r="H59" s="9" t="s">
        <v>138</v>
      </c>
      <c r="I59" s="9" t="s">
        <v>139</v>
      </c>
      <c r="J59" s="9" t="s">
        <v>138</v>
      </c>
      <c r="K59" s="9" t="s">
        <v>139</v>
      </c>
      <c r="L59" s="9" t="s">
        <v>138</v>
      </c>
      <c r="M59" s="9" t="s">
        <v>139</v>
      </c>
      <c r="N59" s="9" t="s">
        <v>138</v>
      </c>
      <c r="O59" s="9" t="s">
        <v>154</v>
      </c>
      <c r="P59" s="9" t="s">
        <v>155</v>
      </c>
      <c r="Q59" s="9" t="s">
        <v>156</v>
      </c>
    </row>
    <row r="60" spans="1:17" x14ac:dyDescent="0.25">
      <c r="A60">
        <v>1998</v>
      </c>
      <c r="B60" s="1">
        <f>'YE harvest'!Y228</f>
        <v>2515.5388090049355</v>
      </c>
      <c r="C60" s="1">
        <f>'YE harvest'!Z228</f>
        <v>592729.81380812265</v>
      </c>
      <c r="D60" s="1">
        <f>'YE harvest'!Y253</f>
        <v>121.34687293521577</v>
      </c>
      <c r="E60" s="1">
        <f>'YE harvest'!Z253</f>
        <v>742.82753048263589</v>
      </c>
      <c r="F60" s="1">
        <f>'YE harvest'!Y278</f>
        <v>1223.8929706589613</v>
      </c>
      <c r="G60" s="1">
        <f>'YE harvest'!Z278</f>
        <v>174254.76830886892</v>
      </c>
      <c r="H60" s="1">
        <f>'YE harvest'!Y303</f>
        <v>342.99732445552303</v>
      </c>
      <c r="I60" s="1">
        <f>'YE harvest'!Z303</f>
        <v>9142.0737047915591</v>
      </c>
      <c r="J60" s="1">
        <f>'YE harvest'!Y328</f>
        <v>2561.3131240817747</v>
      </c>
      <c r="K60" s="1">
        <f>'YE harvest'!Z328</f>
        <v>219492.65924015446</v>
      </c>
      <c r="L60" s="1">
        <f>'YE harvest'!Y353</f>
        <v>842.02559660895747</v>
      </c>
      <c r="M60" s="2">
        <f>'YE harvest'!Z353</f>
        <v>43819.492314402407</v>
      </c>
      <c r="N60" s="2">
        <f>L60+J60+H60+F60+D60+B60</f>
        <v>7607.1146977453682</v>
      </c>
      <c r="O60" s="1">
        <f>SUM(G60,I60,K60,M60,E60,C60)</f>
        <v>1040181.6349068226</v>
      </c>
      <c r="P60">
        <f>SQRT(O60)</f>
        <v>1019.8929526704371</v>
      </c>
      <c r="Q60" s="14">
        <f>P60/N60</f>
        <v>0.13407093138384224</v>
      </c>
    </row>
    <row r="61" spans="1:17" x14ac:dyDescent="0.25">
      <c r="A61">
        <v>1999</v>
      </c>
      <c r="B61" s="1">
        <f>'YE harvest'!Y229</f>
        <v>2944.9164004214335</v>
      </c>
      <c r="C61" s="1">
        <f>'YE harvest'!Z229</f>
        <v>827158.1352005587</v>
      </c>
      <c r="D61" s="1">
        <f>'YE harvest'!Y254</f>
        <v>24.875346804447553</v>
      </c>
      <c r="E61" s="1">
        <f>'YE harvest'!Z254</f>
        <v>33.240960277665302</v>
      </c>
      <c r="F61" s="1">
        <f>'YE harvest'!Y279</f>
        <v>1232.3572886370146</v>
      </c>
      <c r="G61" s="1">
        <f>'YE harvest'!Z279</f>
        <v>176893.85725129658</v>
      </c>
      <c r="H61" s="1">
        <f>'YE harvest'!Y304</f>
        <v>366.34864072453263</v>
      </c>
      <c r="I61" s="1">
        <f>'YE harvest'!Z304</f>
        <v>9147.7448687624019</v>
      </c>
      <c r="J61" s="1">
        <f>'YE harvest'!Y329</f>
        <v>2863.8109818297603</v>
      </c>
      <c r="K61" s="1">
        <f>'YE harvest'!Z329</f>
        <v>295365.30652926589</v>
      </c>
      <c r="L61" s="1">
        <f>'YE harvest'!Y354</f>
        <v>1417.4985746823245</v>
      </c>
      <c r="M61" s="2">
        <f>'YE harvest'!Z354</f>
        <v>127601.98579352285</v>
      </c>
      <c r="N61" s="2">
        <f t="shared" ref="N61:N81" si="20">L61+J61+H61+F61+D61+B61</f>
        <v>8849.8072330995128</v>
      </c>
      <c r="O61" s="1">
        <f t="shared" ref="O61:O81" si="21">SUM(G61,I61,K61,M61,E61,C61)</f>
        <v>1436200.270603684</v>
      </c>
      <c r="P61">
        <f t="shared" ref="P61:P81" si="22">SQRT(O61)</f>
        <v>1198.4157336265591</v>
      </c>
      <c r="Q61" s="14">
        <f t="shared" ref="Q61:Q81" si="23">P61/N61</f>
        <v>0.1354171567878131</v>
      </c>
    </row>
    <row r="62" spans="1:17" x14ac:dyDescent="0.25">
      <c r="A62">
        <v>2000</v>
      </c>
      <c r="B62" s="1">
        <f>'YE harvest'!Y230</f>
        <v>5591.0830746837464</v>
      </c>
      <c r="C62" s="1">
        <f>'YE harvest'!Z230</f>
        <v>3012761.345871089</v>
      </c>
      <c r="D62" s="1">
        <f>'YE harvest'!Y255</f>
        <v>31.995229369786756</v>
      </c>
      <c r="E62" s="1">
        <f>'YE harvest'!Z255</f>
        <v>62.249903655157453</v>
      </c>
      <c r="F62" s="1">
        <f>'YE harvest'!Y280</f>
        <v>1986.4636994332145</v>
      </c>
      <c r="G62" s="1">
        <f>'YE harvest'!Z280</f>
        <v>457778.25416819658</v>
      </c>
      <c r="H62" s="1">
        <f>'YE harvest'!Y305</f>
        <v>918.35018726442809</v>
      </c>
      <c r="I62" s="1">
        <f>'YE harvest'!Z305</f>
        <v>62297.90670226347</v>
      </c>
      <c r="J62" s="1">
        <f>'YE harvest'!Y330</f>
        <v>4954.8252235415457</v>
      </c>
      <c r="K62" s="1">
        <f>'YE harvest'!Z330</f>
        <v>809988.54551828455</v>
      </c>
      <c r="L62" s="1">
        <f>'YE harvest'!Y355</f>
        <v>2192.5427816172232</v>
      </c>
      <c r="M62" s="2">
        <f>'YE harvest'!Z355</f>
        <v>307352.1753385425</v>
      </c>
      <c r="N62" s="2">
        <f t="shared" si="20"/>
        <v>15675.260195909945</v>
      </c>
      <c r="O62" s="1">
        <f t="shared" si="21"/>
        <v>4650240.4775020313</v>
      </c>
      <c r="P62">
        <f t="shared" si="22"/>
        <v>2156.4416239495172</v>
      </c>
      <c r="Q62" s="14">
        <f t="shared" si="23"/>
        <v>0.13756974984773682</v>
      </c>
    </row>
    <row r="63" spans="1:17" x14ac:dyDescent="0.25">
      <c r="A63">
        <v>2001</v>
      </c>
      <c r="B63" s="1">
        <f>'YE harvest'!Y231</f>
        <v>5537.4506131992603</v>
      </c>
      <c r="C63" s="1">
        <f>'YE harvest'!Z231</f>
        <v>2990559.5706755701</v>
      </c>
      <c r="D63" s="1">
        <f>'YE harvest'!Y256</f>
        <v>33.28990312474027</v>
      </c>
      <c r="E63" s="1">
        <f>'YE harvest'!Z256</f>
        <v>62.394070422746644</v>
      </c>
      <c r="F63" s="1">
        <f>'YE harvest'!Y281</f>
        <v>1548.6288232976442</v>
      </c>
      <c r="G63" s="1">
        <f>'YE harvest'!Z281</f>
        <v>277969.45026073954</v>
      </c>
      <c r="H63" s="1">
        <f>'YE harvest'!Y306</f>
        <v>992.22681808320544</v>
      </c>
      <c r="I63" s="1">
        <f>'YE harvest'!Z306</f>
        <v>65583.7769862485</v>
      </c>
      <c r="J63" s="1">
        <f>'YE harvest'!Y331</f>
        <v>3723.900350612822</v>
      </c>
      <c r="K63" s="1">
        <f>'YE harvest'!Z331</f>
        <v>481652.24861797347</v>
      </c>
      <c r="L63" s="1">
        <f>'YE harvest'!Y356</f>
        <v>1794.8620336986423</v>
      </c>
      <c r="M63" s="2">
        <f>'YE harvest'!Z356</f>
        <v>205226.66906681051</v>
      </c>
      <c r="N63" s="2">
        <f t="shared" si="20"/>
        <v>13630.358542016314</v>
      </c>
      <c r="O63" s="1">
        <f t="shared" si="21"/>
        <v>4021054.1096777646</v>
      </c>
      <c r="P63">
        <f t="shared" si="22"/>
        <v>2005.2566194075423</v>
      </c>
      <c r="Q63" s="14">
        <f t="shared" si="23"/>
        <v>0.14711693850357865</v>
      </c>
    </row>
    <row r="64" spans="1:17" x14ac:dyDescent="0.25">
      <c r="A64">
        <v>2002</v>
      </c>
      <c r="B64" s="1">
        <f>'YE harvest'!Y232</f>
        <v>4453.8048147299869</v>
      </c>
      <c r="C64" s="1">
        <f>'YE harvest'!Z232</f>
        <v>1901731.4920014367</v>
      </c>
      <c r="D64" s="1">
        <f>'YE harvest'!Y257</f>
        <v>23.10904746988788</v>
      </c>
      <c r="E64" s="1">
        <f>'YE harvest'!Z257</f>
        <v>33.008330994888887</v>
      </c>
      <c r="F64" s="1">
        <f>'YE harvest'!Y282</f>
        <v>925.42055326575803</v>
      </c>
      <c r="G64" s="1">
        <f>'YE harvest'!Z282</f>
        <v>100263.71349173121</v>
      </c>
      <c r="H64" s="1">
        <f>'YE harvest'!Y307</f>
        <v>795.21101488297086</v>
      </c>
      <c r="I64" s="1">
        <f>'YE harvest'!Z307</f>
        <v>37689.465720853215</v>
      </c>
      <c r="J64" s="1">
        <f>'YE harvest'!Y332</f>
        <v>3176.2891099504222</v>
      </c>
      <c r="K64" s="1">
        <f>'YE harvest'!Z332</f>
        <v>354192.45312587678</v>
      </c>
      <c r="L64" s="1">
        <f>'YE harvest'!Y357</f>
        <v>2015.3003961255322</v>
      </c>
      <c r="M64" s="2">
        <f>'YE harvest'!Z357</f>
        <v>251043.34981045211</v>
      </c>
      <c r="N64" s="2">
        <f t="shared" si="20"/>
        <v>11389.134936424558</v>
      </c>
      <c r="O64" s="1">
        <f t="shared" si="21"/>
        <v>2644953.4824813446</v>
      </c>
      <c r="P64">
        <f t="shared" si="22"/>
        <v>1626.3312954257951</v>
      </c>
      <c r="Q64" s="14">
        <f t="shared" si="23"/>
        <v>0.14279673605626422</v>
      </c>
    </row>
    <row r="65" spans="1:17" x14ac:dyDescent="0.25">
      <c r="A65">
        <v>2003</v>
      </c>
      <c r="B65" s="1">
        <f>'YE harvest'!Y233</f>
        <v>4369.6124006404098</v>
      </c>
      <c r="C65" s="1">
        <f>'YE harvest'!Z233</f>
        <v>1804825.457777011</v>
      </c>
      <c r="D65" s="1">
        <f>'YE harvest'!Y258</f>
        <v>91.390371521632247</v>
      </c>
      <c r="E65" s="1">
        <f>'YE harvest'!Z258</f>
        <v>424.70107864406225</v>
      </c>
      <c r="F65" s="1">
        <f>'YE harvest'!Y283</f>
        <v>1214.2280504293637</v>
      </c>
      <c r="G65" s="1">
        <f>'YE harvest'!Z283</f>
        <v>171222.64780172327</v>
      </c>
      <c r="H65" s="1">
        <f>'YE harvest'!Y308</f>
        <v>1041.048890528622</v>
      </c>
      <c r="I65" s="1">
        <f>'YE harvest'!Z308</f>
        <v>74915.880503114458</v>
      </c>
      <c r="J65" s="1">
        <f>'YE harvest'!Y333</f>
        <v>4431.5043040824949</v>
      </c>
      <c r="K65" s="1">
        <f>'YE harvest'!Z333</f>
        <v>694409.95742878679</v>
      </c>
      <c r="L65" s="1">
        <f>'YE harvest'!Y358</f>
        <v>1951.7580529069596</v>
      </c>
      <c r="M65" s="2">
        <f>'YE harvest'!Z358</f>
        <v>238146.02668187808</v>
      </c>
      <c r="N65" s="2">
        <f t="shared" si="20"/>
        <v>13099.542070109483</v>
      </c>
      <c r="O65" s="1">
        <f t="shared" si="21"/>
        <v>2983944.6712711575</v>
      </c>
      <c r="P65">
        <f t="shared" si="22"/>
        <v>1727.4098156694483</v>
      </c>
      <c r="Q65" s="14">
        <f t="shared" si="23"/>
        <v>0.13186795434712559</v>
      </c>
    </row>
    <row r="66" spans="1:17" x14ac:dyDescent="0.25">
      <c r="A66">
        <v>2004</v>
      </c>
      <c r="B66" s="1">
        <f>'YE harvest'!Y234</f>
        <v>6136.674712454068</v>
      </c>
      <c r="C66" s="1">
        <f>'YE harvest'!Z234</f>
        <v>3551647.8946566046</v>
      </c>
      <c r="D66" s="1">
        <f>'YE harvest'!Y259</f>
        <v>78.430330777556222</v>
      </c>
      <c r="E66" s="1">
        <f>'YE harvest'!Z259</f>
        <v>314.41507420982413</v>
      </c>
      <c r="F66" s="1">
        <f>'YE harvest'!Y284</f>
        <v>1275.5342998595336</v>
      </c>
      <c r="G66" s="1">
        <f>'YE harvest'!Z284</f>
        <v>188576.42075069377</v>
      </c>
      <c r="H66" s="1">
        <f>'YE harvest'!Y309</f>
        <v>1141.4979449082671</v>
      </c>
      <c r="I66" s="1">
        <f>'YE harvest'!Z309</f>
        <v>77910.423599881789</v>
      </c>
      <c r="J66" s="1">
        <f>'YE harvest'!Y334</f>
        <v>5548.3638703764154</v>
      </c>
      <c r="K66" s="1">
        <f>'YE harvest'!Z334</f>
        <v>992323.04776676348</v>
      </c>
      <c r="L66" s="1">
        <f>'YE harvest'!Y359</f>
        <v>2829.9481871126836</v>
      </c>
      <c r="M66" s="2">
        <f>'YE harvest'!Z359</f>
        <v>500109.25707850896</v>
      </c>
      <c r="N66" s="2">
        <f t="shared" si="20"/>
        <v>17010.449345488523</v>
      </c>
      <c r="O66" s="1">
        <f t="shared" si="21"/>
        <v>5310881.4589266628</v>
      </c>
      <c r="P66">
        <f t="shared" si="22"/>
        <v>2304.534976720176</v>
      </c>
      <c r="Q66" s="14">
        <f t="shared" si="23"/>
        <v>0.13547760731737402</v>
      </c>
    </row>
    <row r="67" spans="1:17" x14ac:dyDescent="0.25">
      <c r="A67">
        <v>2005</v>
      </c>
      <c r="B67" s="1">
        <f>'YE harvest'!Y235</f>
        <v>7393.5234814908372</v>
      </c>
      <c r="C67" s="1">
        <f>'YE harvest'!Z235</f>
        <v>5126498.618541508</v>
      </c>
      <c r="D67" s="1">
        <f>'YE harvest'!Y260</f>
        <v>61.112173226217351</v>
      </c>
      <c r="E67" s="1">
        <f>'YE harvest'!Z260</f>
        <v>202.02945170711484</v>
      </c>
      <c r="F67" s="1">
        <f>'YE harvest'!Y285</f>
        <v>1544.473452688582</v>
      </c>
      <c r="G67" s="1">
        <f>'YE harvest'!Z285</f>
        <v>276927.76542991871</v>
      </c>
      <c r="H67" s="1">
        <f>'YE harvest'!Y310</f>
        <v>989.64744021132879</v>
      </c>
      <c r="I67" s="1">
        <f>'YE harvest'!Z310</f>
        <v>64388.539650869701</v>
      </c>
      <c r="J67" s="1">
        <f>'YE harvest'!Y335</f>
        <v>6544.0938598628691</v>
      </c>
      <c r="K67" s="1">
        <f>'YE harvest'!Z335</f>
        <v>1353279.3076285035</v>
      </c>
      <c r="L67" s="1">
        <f>'YE harvest'!Y360</f>
        <v>3488.489862243865</v>
      </c>
      <c r="M67" s="2">
        <f>'YE harvest'!Z360</f>
        <v>757155.21718139085</v>
      </c>
      <c r="N67" s="2">
        <f t="shared" si="20"/>
        <v>20021.3402697237</v>
      </c>
      <c r="O67" s="1">
        <f t="shared" si="21"/>
        <v>7578451.4778838977</v>
      </c>
      <c r="P67">
        <f t="shared" si="22"/>
        <v>2752.8987409426991</v>
      </c>
      <c r="Q67" s="14">
        <f t="shared" si="23"/>
        <v>0.13749822458717395</v>
      </c>
    </row>
    <row r="68" spans="1:17" x14ac:dyDescent="0.25">
      <c r="A68">
        <v>2006</v>
      </c>
      <c r="B68" s="1">
        <f>'YE harvest'!Y236</f>
        <v>10677.583109062649</v>
      </c>
      <c r="C68" s="1">
        <f>'YE harvest'!Z236</f>
        <v>96367.027629182907</v>
      </c>
      <c r="D68" s="1">
        <f>'YE harvest'!Y261</f>
        <v>167</v>
      </c>
      <c r="E68" s="1">
        <f>'YE harvest'!Z261</f>
        <v>0</v>
      </c>
      <c r="F68" s="1">
        <f>'YE harvest'!Y286</f>
        <v>2006.5489857885264</v>
      </c>
      <c r="G68" s="1">
        <f>'YE harvest'!Z286</f>
        <v>36256.862532107567</v>
      </c>
      <c r="H68" s="1">
        <f>'YE harvest'!Y311</f>
        <v>1569.972512726144</v>
      </c>
      <c r="I68" s="1">
        <f>'YE harvest'!Z311</f>
        <v>114553.53948738723</v>
      </c>
      <c r="J68" s="1">
        <f>'YE harvest'!Y336</f>
        <v>9387.9338506472886</v>
      </c>
      <c r="K68" s="1">
        <f>'YE harvest'!Z336</f>
        <v>1293972.0216125809</v>
      </c>
      <c r="L68" s="1">
        <f>'YE harvest'!Y361</f>
        <v>5454.9226157276134</v>
      </c>
      <c r="M68" s="2">
        <f>'YE harvest'!Z361</f>
        <v>203470.02741752932</v>
      </c>
      <c r="N68" s="2">
        <f t="shared" si="20"/>
        <v>29263.961073952221</v>
      </c>
      <c r="O68" s="1">
        <f t="shared" si="21"/>
        <v>1744619.4786787878</v>
      </c>
      <c r="P68">
        <f t="shared" si="22"/>
        <v>1320.840444065364</v>
      </c>
      <c r="Q68" s="14">
        <f t="shared" si="23"/>
        <v>4.5135395059045534E-2</v>
      </c>
    </row>
    <row r="69" spans="1:17" x14ac:dyDescent="0.25">
      <c r="A69">
        <v>2007</v>
      </c>
      <c r="B69" s="1">
        <f>'YE harvest'!Y237</f>
        <v>11046.580838639587</v>
      </c>
      <c r="C69" s="1">
        <f>'YE harvest'!Z237</f>
        <v>146799.28371703124</v>
      </c>
      <c r="D69" s="1">
        <f>'YE harvest'!Y262</f>
        <v>111.80061611803444</v>
      </c>
      <c r="E69" s="1">
        <f>'YE harvest'!Z262</f>
        <v>14.444682792605535</v>
      </c>
      <c r="F69" s="1">
        <f>'YE harvest'!Y287</f>
        <v>2237.0348480921975</v>
      </c>
      <c r="G69" s="1">
        <f>'YE harvest'!Z287</f>
        <v>102321.53239468503</v>
      </c>
      <c r="H69" s="1">
        <f>'YE harvest'!Y312</f>
        <v>2015.5440678710888</v>
      </c>
      <c r="I69" s="1">
        <f>'YE harvest'!Z312</f>
        <v>279457.36372001155</v>
      </c>
      <c r="J69" s="1">
        <f>'YE harvest'!Y337</f>
        <v>9282.8104111834873</v>
      </c>
      <c r="K69" s="1">
        <f>'YE harvest'!Z337</f>
        <v>1525462.6720868382</v>
      </c>
      <c r="L69" s="1">
        <f>'YE harvest'!Y362</f>
        <v>4433.0659266974953</v>
      </c>
      <c r="M69" s="2">
        <f>'YE harvest'!Z362</f>
        <v>100441.77031365418</v>
      </c>
      <c r="N69" s="2">
        <f t="shared" si="20"/>
        <v>29126.836708601892</v>
      </c>
      <c r="O69" s="1">
        <f t="shared" si="21"/>
        <v>2154497.0669150124</v>
      </c>
      <c r="P69">
        <f t="shared" si="22"/>
        <v>1467.8205159061554</v>
      </c>
      <c r="Q69" s="14">
        <f t="shared" si="23"/>
        <v>5.0394092931920438E-2</v>
      </c>
    </row>
    <row r="70" spans="1:17" x14ac:dyDescent="0.25">
      <c r="A70">
        <v>2008</v>
      </c>
      <c r="B70" s="1">
        <f>'YE harvest'!Y238</f>
        <v>9731.8635334912942</v>
      </c>
      <c r="C70" s="1">
        <f>'YE harvest'!Z238</f>
        <v>94523.670325266314</v>
      </c>
      <c r="D70" s="1">
        <f>'YE harvest'!Y263</f>
        <v>194.33303416475843</v>
      </c>
      <c r="E70" s="1">
        <f>'YE harvest'!Z263</f>
        <v>535.32694626601472</v>
      </c>
      <c r="F70" s="1">
        <f>'YE harvest'!Y288</f>
        <v>2668.2194903680274</v>
      </c>
      <c r="G70" s="1">
        <f>'YE harvest'!Z288</f>
        <v>183912.94237766354</v>
      </c>
      <c r="H70" s="1">
        <f>'YE harvest'!Y313</f>
        <v>1535.2130694031912</v>
      </c>
      <c r="I70" s="1">
        <f>'YE harvest'!Z313</f>
        <v>81124.66883933144</v>
      </c>
      <c r="J70" s="1">
        <f>'YE harvest'!Y338</f>
        <v>8134.3774814509916</v>
      </c>
      <c r="K70" s="1">
        <f>'YE harvest'!Z338</f>
        <v>1020525.6797863897</v>
      </c>
      <c r="L70" s="1">
        <f>'YE harvest'!Y363</f>
        <v>4501.5139761225073</v>
      </c>
      <c r="M70" s="2">
        <f>'YE harvest'!Z363</f>
        <v>150383.32702875804</v>
      </c>
      <c r="N70" s="2">
        <f t="shared" si="20"/>
        <v>26765.520585000773</v>
      </c>
      <c r="O70" s="1">
        <f t="shared" si="21"/>
        <v>1531005.6153036752</v>
      </c>
      <c r="P70">
        <f t="shared" si="22"/>
        <v>1237.3381168070734</v>
      </c>
      <c r="Q70" s="14">
        <f t="shared" si="23"/>
        <v>4.6228808174217609E-2</v>
      </c>
    </row>
    <row r="71" spans="1:17" x14ac:dyDescent="0.25">
      <c r="A71">
        <v>2009</v>
      </c>
      <c r="B71" s="1">
        <f>'YE harvest'!Y239</f>
        <v>6903.7183265325748</v>
      </c>
      <c r="C71" s="1">
        <f>'YE harvest'!Z239</f>
        <v>30467.53518351787</v>
      </c>
      <c r="D71" s="1">
        <f>'YE harvest'!Y264</f>
        <v>89.153940965522821</v>
      </c>
      <c r="E71" s="1">
        <f>'YE harvest'!Z264</f>
        <v>50.196969754863289</v>
      </c>
      <c r="F71" s="1">
        <f>'YE harvest'!Y289</f>
        <v>2160.0104384189572</v>
      </c>
      <c r="G71" s="1">
        <f>'YE harvest'!Z289</f>
        <v>136701.09682931178</v>
      </c>
      <c r="H71" s="1">
        <f>'YE harvest'!Y314</f>
        <v>924.9325461128285</v>
      </c>
      <c r="I71" s="1">
        <f>'YE harvest'!Z314</f>
        <v>35102.250108092703</v>
      </c>
      <c r="J71" s="1">
        <f>'YE harvest'!Y339</f>
        <v>6568.5722189691242</v>
      </c>
      <c r="K71" s="1">
        <f>'YE harvest'!Z339</f>
        <v>663780.69622595084</v>
      </c>
      <c r="L71" s="1">
        <f>'YE harvest'!Y364</f>
        <v>2352.5815805269799</v>
      </c>
      <c r="M71" s="2">
        <f>'YE harvest'!Z364</f>
        <v>40288.64028175448</v>
      </c>
      <c r="N71" s="2">
        <f t="shared" si="20"/>
        <v>18998.969051525986</v>
      </c>
      <c r="O71" s="1">
        <f t="shared" si="21"/>
        <v>906390.41559838247</v>
      </c>
      <c r="P71">
        <f t="shared" si="22"/>
        <v>952.04538526184899</v>
      </c>
      <c r="Q71" s="14">
        <f t="shared" si="23"/>
        <v>5.011037086695929E-2</v>
      </c>
    </row>
    <row r="72" spans="1:17" x14ac:dyDescent="0.25">
      <c r="A72">
        <v>2010</v>
      </c>
      <c r="B72" s="1">
        <f>'YE harvest'!Y240</f>
        <v>7814.7817334679958</v>
      </c>
      <c r="C72" s="1">
        <f>'YE harvest'!Z240</f>
        <v>53067.180268256263</v>
      </c>
      <c r="D72" s="1">
        <f>'YE harvest'!Y265</f>
        <v>128.46983294728582</v>
      </c>
      <c r="E72" s="1">
        <f>'YE harvest'!Z265</f>
        <v>43.671682971066836</v>
      </c>
      <c r="F72" s="1">
        <f>'YE harvest'!Y290</f>
        <v>2523.5439290308941</v>
      </c>
      <c r="G72" s="1">
        <f>'YE harvest'!Z290</f>
        <v>119344.90441414026</v>
      </c>
      <c r="H72" s="1">
        <f>'YE harvest'!Y315</f>
        <v>1401.5633682971802</v>
      </c>
      <c r="I72" s="1">
        <f>'YE harvest'!Z315</f>
        <v>121631.28038397437</v>
      </c>
      <c r="J72" s="1">
        <f>'YE harvest'!Y340</f>
        <v>9807.9321537632131</v>
      </c>
      <c r="K72" s="1">
        <f>'YE harvest'!Z340</f>
        <v>2125849.2522596791</v>
      </c>
      <c r="L72" s="1">
        <f>'YE harvest'!Y365</f>
        <v>3507.1100554541044</v>
      </c>
      <c r="M72" s="2">
        <f>'YE harvest'!Z365</f>
        <v>150833.7081402617</v>
      </c>
      <c r="N72" s="2">
        <f t="shared" si="20"/>
        <v>25183.401072960674</v>
      </c>
      <c r="O72" s="1">
        <f t="shared" si="21"/>
        <v>2570769.9971492831</v>
      </c>
      <c r="P72">
        <f t="shared" si="22"/>
        <v>1603.3620917151818</v>
      </c>
      <c r="Q72" s="14">
        <f t="shared" si="23"/>
        <v>6.3667416766701374E-2</v>
      </c>
    </row>
    <row r="73" spans="1:17" x14ac:dyDescent="0.25">
      <c r="A73">
        <v>2011</v>
      </c>
      <c r="B73" s="1">
        <f>'YE harvest'!Y241</f>
        <v>5902.3193343444473</v>
      </c>
      <c r="C73" s="1">
        <f>'YE harvest'!Z241</f>
        <v>236252.47988023041</v>
      </c>
      <c r="D73" s="1">
        <f>'YE harvest'!Y266</f>
        <v>137.02240360370305</v>
      </c>
      <c r="E73" s="1">
        <f>'YE harvest'!Z266</f>
        <v>240.09902750466935</v>
      </c>
      <c r="F73" s="1">
        <f>'YE harvest'!Y291</f>
        <v>2590.2563911614643</v>
      </c>
      <c r="G73" s="1">
        <f>'YE harvest'!Z291</f>
        <v>122955.42882592413</v>
      </c>
      <c r="H73" s="1">
        <f>'YE harvest'!Y316</f>
        <v>1278.5468817012531</v>
      </c>
      <c r="I73" s="1">
        <f>'YE harvest'!Z316</f>
        <v>36940.366583572082</v>
      </c>
      <c r="J73" s="1">
        <f>'YE harvest'!Y341</f>
        <v>9576.4097096110927</v>
      </c>
      <c r="K73" s="1">
        <f>'YE harvest'!Z341</f>
        <v>1822149.5515169683</v>
      </c>
      <c r="L73" s="1">
        <f>'YE harvest'!Y366</f>
        <v>2091.2986767456268</v>
      </c>
      <c r="M73" s="2">
        <f>'YE harvest'!Z366</f>
        <v>56170.470222282085</v>
      </c>
      <c r="N73" s="2">
        <f t="shared" si="20"/>
        <v>21575.85339716759</v>
      </c>
      <c r="O73" s="1">
        <f t="shared" si="21"/>
        <v>2274708.3960564816</v>
      </c>
      <c r="P73">
        <f t="shared" si="22"/>
        <v>1508.2136440360437</v>
      </c>
      <c r="Q73" s="14">
        <f t="shared" si="23"/>
        <v>6.9902850018161378E-2</v>
      </c>
    </row>
    <row r="74" spans="1:17" x14ac:dyDescent="0.25">
      <c r="A74">
        <v>2012</v>
      </c>
      <c r="B74" s="1">
        <f>'YE harvest'!Y242</f>
        <v>5442.0792233162138</v>
      </c>
      <c r="C74" s="1">
        <f>'YE harvest'!Z242</f>
        <v>28434.742874085961</v>
      </c>
      <c r="D74" s="1">
        <f>'YE harvest'!Y267</f>
        <v>158.89209492578712</v>
      </c>
      <c r="E74" s="1">
        <f>'YE harvest'!Z267</f>
        <v>62.457014773670508</v>
      </c>
      <c r="F74" s="1">
        <f>'YE harvest'!Y292</f>
        <v>2279.4500443035918</v>
      </c>
      <c r="G74" s="1">
        <f>'YE harvest'!Z292</f>
        <v>78331.806984549228</v>
      </c>
      <c r="H74" s="1">
        <f>'YE harvest'!Y317</f>
        <v>1289.3926530526314</v>
      </c>
      <c r="I74" s="1">
        <f>'YE harvest'!Z317</f>
        <v>51432.740313763592</v>
      </c>
      <c r="J74" s="1">
        <f>'YE harvest'!Y342</f>
        <v>11233.063873835945</v>
      </c>
      <c r="K74" s="1">
        <f>'YE harvest'!Z342</f>
        <v>1790106.7088317275</v>
      </c>
      <c r="L74" s="1">
        <f>'YE harvest'!Y367</f>
        <v>2750.5950075531855</v>
      </c>
      <c r="M74" s="2">
        <f>'YE harvest'!Z367</f>
        <v>77241.906955327577</v>
      </c>
      <c r="N74" s="2">
        <f t="shared" si="20"/>
        <v>23153.472896987354</v>
      </c>
      <c r="O74" s="1">
        <f t="shared" si="21"/>
        <v>2025610.3629742276</v>
      </c>
      <c r="P74">
        <f t="shared" si="22"/>
        <v>1423.2393906065936</v>
      </c>
      <c r="Q74" s="14">
        <f t="shared" si="23"/>
        <v>6.1469801827948686E-2</v>
      </c>
    </row>
    <row r="75" spans="1:17" x14ac:dyDescent="0.25">
      <c r="A75">
        <v>2013</v>
      </c>
      <c r="B75" s="1">
        <f>'YE harvest'!Y243</f>
        <v>5170.6065677676406</v>
      </c>
      <c r="C75" s="1">
        <f>'YE harvest'!Z243</f>
        <v>46331.625601584572</v>
      </c>
      <c r="D75" s="1">
        <f>'YE harvest'!Y268</f>
        <v>65.047638196801842</v>
      </c>
      <c r="E75" s="1">
        <f>'YE harvest'!Z268</f>
        <v>82.243544317031592</v>
      </c>
      <c r="F75" s="1">
        <f>'YE harvest'!Y293</f>
        <v>1815.7719908065669</v>
      </c>
      <c r="G75" s="1">
        <f>'YE harvest'!Z293</f>
        <v>22994.537514500465</v>
      </c>
      <c r="H75" s="1">
        <f>'YE harvest'!Y318</f>
        <v>1178.8122609784828</v>
      </c>
      <c r="I75" s="1">
        <f>'YE harvest'!Z318</f>
        <v>37892.422559306637</v>
      </c>
      <c r="J75" s="1">
        <f>'YE harvest'!Y343</f>
        <v>9576.9507179541833</v>
      </c>
      <c r="K75" s="1">
        <f>'YE harvest'!Z343</f>
        <v>1426826.2953609792</v>
      </c>
      <c r="L75" s="1">
        <f>'YE harvest'!Y368</f>
        <v>2866.9837745270725</v>
      </c>
      <c r="M75" s="2">
        <f>'YE harvest'!Z368</f>
        <v>89081.3512580815</v>
      </c>
      <c r="N75" s="2">
        <f t="shared" si="20"/>
        <v>20674.172950230746</v>
      </c>
      <c r="O75" s="1">
        <f t="shared" si="21"/>
        <v>1623208.4758387695</v>
      </c>
      <c r="P75">
        <f t="shared" si="22"/>
        <v>1274.0519910265709</v>
      </c>
      <c r="Q75" s="14">
        <f t="shared" si="23"/>
        <v>6.1625294230323785E-2</v>
      </c>
    </row>
    <row r="76" spans="1:17" x14ac:dyDescent="0.25">
      <c r="A76">
        <v>2014</v>
      </c>
      <c r="B76" s="1">
        <f>'YE harvest'!Y244</f>
        <v>5466.3257496092938</v>
      </c>
      <c r="C76" s="1">
        <f>'YE harvest'!Z244</f>
        <v>101881.33606809477</v>
      </c>
      <c r="D76" s="1">
        <f>'YE harvest'!Y269</f>
        <v>140.65357318107527</v>
      </c>
      <c r="E76" s="1">
        <f>'YE harvest'!Z269</f>
        <v>246.22176861654205</v>
      </c>
      <c r="F76" s="1">
        <f>'YE harvest'!Y294</f>
        <v>2013.2980849917385</v>
      </c>
      <c r="G76" s="1">
        <f>'YE harvest'!Z294</f>
        <v>48102.453239666713</v>
      </c>
      <c r="H76" s="1">
        <f>'YE harvest'!Y319</f>
        <v>1507.8951098995144</v>
      </c>
      <c r="I76" s="1">
        <f>'YE harvest'!Z319</f>
        <v>61682.134917297932</v>
      </c>
      <c r="J76" s="1">
        <f>'YE harvest'!Y344</f>
        <v>8484.6414185115264</v>
      </c>
      <c r="K76" s="1">
        <f>'YE harvest'!Z344</f>
        <v>626862.37860359205</v>
      </c>
      <c r="L76" s="1">
        <f>'YE harvest'!Y369</f>
        <v>2149.8134685894556</v>
      </c>
      <c r="M76" s="2">
        <f>'YE harvest'!Z369</f>
        <v>67056.045987090169</v>
      </c>
      <c r="N76" s="2">
        <f t="shared" si="20"/>
        <v>19762.627404782605</v>
      </c>
      <c r="O76" s="1">
        <f t="shared" si="21"/>
        <v>905830.57058435818</v>
      </c>
      <c r="P76">
        <f t="shared" si="22"/>
        <v>951.75131761629734</v>
      </c>
      <c r="Q76" s="14">
        <f t="shared" si="23"/>
        <v>4.8159148989773047E-2</v>
      </c>
    </row>
    <row r="77" spans="1:17" x14ac:dyDescent="0.25">
      <c r="A77">
        <v>2015</v>
      </c>
      <c r="B77" s="1">
        <f>'YE harvest'!Y245</f>
        <v>6345.524816385212</v>
      </c>
      <c r="C77" s="1">
        <f>'YE harvest'!Z245</f>
        <v>52936.884845720102</v>
      </c>
      <c r="D77" s="1">
        <f>'YE harvest'!Y270</f>
        <v>215</v>
      </c>
      <c r="E77" s="1">
        <f>'YE harvest'!Z270</f>
        <v>0</v>
      </c>
      <c r="F77" s="1">
        <f>'YE harvest'!Y295</f>
        <v>2262.6733731446816</v>
      </c>
      <c r="G77" s="1">
        <f>'YE harvest'!Z295</f>
        <v>28037.401419896178</v>
      </c>
      <c r="H77" s="1">
        <f>'YE harvest'!Y320</f>
        <v>1721.3862615861776</v>
      </c>
      <c r="I77" s="1">
        <f>'YE harvest'!Z320</f>
        <v>126636.25234288786</v>
      </c>
      <c r="J77" s="1">
        <f>'YE harvest'!Y345</f>
        <v>9919.0883221388831</v>
      </c>
      <c r="K77" s="1">
        <f>'YE harvest'!Z345</f>
        <v>655621.38774504093</v>
      </c>
      <c r="L77" s="1">
        <f>'YE harvest'!Y370</f>
        <v>2859.3397573578113</v>
      </c>
      <c r="M77" s="2">
        <f>'YE harvest'!Z370</f>
        <v>229503.47947427252</v>
      </c>
      <c r="N77" s="2">
        <f t="shared" si="20"/>
        <v>23323.012530612767</v>
      </c>
      <c r="O77" s="1">
        <f t="shared" si="21"/>
        <v>1092735.4058278177</v>
      </c>
      <c r="P77">
        <f t="shared" si="22"/>
        <v>1045.3398518318422</v>
      </c>
      <c r="Q77" s="14">
        <f t="shared" si="23"/>
        <v>4.4820104197936472E-2</v>
      </c>
    </row>
    <row r="78" spans="1:17" x14ac:dyDescent="0.25">
      <c r="A78">
        <v>2016</v>
      </c>
      <c r="B78" s="1">
        <f>'YE harvest'!Y246</f>
        <v>6477.1697656842371</v>
      </c>
      <c r="C78" s="1">
        <f>'YE harvest'!Z246</f>
        <v>43460.853607543191</v>
      </c>
      <c r="D78" s="1">
        <f>'YE harvest'!Y271</f>
        <v>393.04502865686516</v>
      </c>
      <c r="E78" s="1">
        <f>'YE harvest'!Z271</f>
        <v>2525.3863386992521</v>
      </c>
      <c r="F78" s="1">
        <f>'YE harvest'!Y296</f>
        <v>2551.1537156688955</v>
      </c>
      <c r="G78" s="1">
        <f>'YE harvest'!Z296</f>
        <v>36669.923837762319</v>
      </c>
      <c r="H78" s="1">
        <f>'YE harvest'!Y321</f>
        <v>879.94129841344034</v>
      </c>
      <c r="I78" s="1">
        <f>'YE harvest'!Z321</f>
        <v>5320.9128339188501</v>
      </c>
      <c r="J78" s="1">
        <f>'YE harvest'!Y346</f>
        <v>10566.120452679812</v>
      </c>
      <c r="K78" s="1">
        <f>'YE harvest'!Z346</f>
        <v>842671.40706758294</v>
      </c>
      <c r="L78" s="1">
        <f>'YE harvest'!Y371</f>
        <v>3005.0123283476919</v>
      </c>
      <c r="M78" s="2">
        <f>'YE harvest'!Z371</f>
        <v>367111.43027818284</v>
      </c>
      <c r="N78" s="2">
        <f t="shared" si="20"/>
        <v>23872.44258945094</v>
      </c>
      <c r="O78" s="1">
        <f t="shared" si="21"/>
        <v>1297759.9139636895</v>
      </c>
      <c r="P78">
        <f t="shared" si="22"/>
        <v>1139.1926588438364</v>
      </c>
      <c r="Q78" s="14">
        <f t="shared" si="23"/>
        <v>4.7719987369337621E-2</v>
      </c>
    </row>
    <row r="79" spans="1:17" x14ac:dyDescent="0.25">
      <c r="A79">
        <v>2017</v>
      </c>
      <c r="B79" s="1">
        <f>'YE harvest'!Y247</f>
        <v>7899.5093964802527</v>
      </c>
      <c r="C79" s="1">
        <f>'YE harvest'!Z247</f>
        <v>616731.50000770472</v>
      </c>
      <c r="D79" s="1">
        <f>'YE harvest'!Y272</f>
        <v>230</v>
      </c>
      <c r="E79" s="1">
        <f>'YE harvest'!Z272</f>
        <v>0</v>
      </c>
      <c r="F79" s="1">
        <f>'YE harvest'!Y297</f>
        <v>2552.4618918452034</v>
      </c>
      <c r="G79" s="1">
        <f>'YE harvest'!Z297</f>
        <v>103578.27984840766</v>
      </c>
      <c r="H79" s="1">
        <f>'YE harvest'!Y322</f>
        <v>1465.4579108223247</v>
      </c>
      <c r="I79" s="1">
        <f>'YE harvest'!Z322</f>
        <v>57455.091900560656</v>
      </c>
      <c r="J79" s="1">
        <f>'YE harvest'!Y347</f>
        <v>11051.378622936589</v>
      </c>
      <c r="K79" s="1">
        <f>'YE harvest'!Z347</f>
        <v>1237727.5768055581</v>
      </c>
      <c r="L79" s="1">
        <f>'YE harvest'!Y372</f>
        <v>2686.076787727111</v>
      </c>
      <c r="M79" s="2">
        <f>'YE harvest'!Z372</f>
        <v>111229.85118771985</v>
      </c>
      <c r="N79" s="2">
        <f t="shared" si="20"/>
        <v>25884.884609811481</v>
      </c>
      <c r="O79" s="1">
        <f t="shared" si="21"/>
        <v>2126722.2997499509</v>
      </c>
      <c r="P79">
        <f t="shared" si="22"/>
        <v>1458.328598001819</v>
      </c>
      <c r="Q79" s="14">
        <f t="shared" si="23"/>
        <v>5.6339003243964625E-2</v>
      </c>
    </row>
    <row r="80" spans="1:17" x14ac:dyDescent="0.25">
      <c r="A80">
        <v>2018</v>
      </c>
      <c r="B80" s="1">
        <f>'YE harvest'!Y248</f>
        <v>5408.5298174190739</v>
      </c>
      <c r="C80" s="1">
        <f>'YE harvest'!Z248</f>
        <v>45944.723499467829</v>
      </c>
      <c r="D80" s="1">
        <f>'YE harvest'!Y273</f>
        <v>326.56336494381389</v>
      </c>
      <c r="E80" s="1">
        <f>'YE harvest'!Z273</f>
        <v>494.66556076925315</v>
      </c>
      <c r="F80" s="1">
        <f>'YE harvest'!Y298</f>
        <v>2615.5254131869192</v>
      </c>
      <c r="G80" s="1">
        <f>'YE harvest'!Z298</f>
        <v>67480.013913464078</v>
      </c>
      <c r="H80" s="1">
        <f>'YE harvest'!Y323</f>
        <v>1656.6633007639875</v>
      </c>
      <c r="I80" s="1">
        <f>'YE harvest'!Z323</f>
        <v>87599.659211993101</v>
      </c>
      <c r="J80" s="1">
        <f>'YE harvest'!Y348</f>
        <v>10992.016273543904</v>
      </c>
      <c r="K80" s="1">
        <f>'YE harvest'!Z348</f>
        <v>941570.42468002858</v>
      </c>
      <c r="L80" s="1">
        <f>'YE harvest'!Y373</f>
        <v>3734.2355461517818</v>
      </c>
      <c r="M80" s="2">
        <f>'YE harvest'!Z373</f>
        <v>319991.14376777533</v>
      </c>
      <c r="N80" s="2">
        <f t="shared" si="20"/>
        <v>24733.533716009479</v>
      </c>
      <c r="O80" s="1">
        <f t="shared" si="21"/>
        <v>1463080.6306334981</v>
      </c>
      <c r="P80">
        <f t="shared" si="22"/>
        <v>1209.5786996444249</v>
      </c>
      <c r="Q80" s="14">
        <f t="shared" si="23"/>
        <v>4.8904402966952143E-2</v>
      </c>
    </row>
    <row r="81" spans="1:17" x14ac:dyDescent="0.25">
      <c r="A81">
        <v>2019</v>
      </c>
      <c r="B81" s="1">
        <f>'YE harvest'!Y249</f>
        <v>5829.247373041726</v>
      </c>
      <c r="C81" s="1">
        <f>'YE harvest'!Z249</f>
        <v>159672.49347811282</v>
      </c>
      <c r="D81" s="1">
        <f>'YE harvest'!Y274</f>
        <v>160.62802312037775</v>
      </c>
      <c r="E81" s="1">
        <f>'YE harvest'!Z274</f>
        <v>43.930690484262094</v>
      </c>
      <c r="F81" s="1">
        <f>'YE harvest'!Y299</f>
        <v>2865.0364244024122</v>
      </c>
      <c r="G81" s="1">
        <f>'YE harvest'!Z299</f>
        <v>110645.54053759474</v>
      </c>
      <c r="H81" s="1">
        <f>'YE harvest'!Y324</f>
        <v>1150.6473248087632</v>
      </c>
      <c r="I81" s="1">
        <f>'YE harvest'!Z324</f>
        <v>19651.426073588827</v>
      </c>
      <c r="J81" s="1">
        <f>'YE harvest'!Y349</f>
        <v>16546.1076110555</v>
      </c>
      <c r="K81" s="1">
        <f>'YE harvest'!Z349</f>
        <v>4974464.0372663839</v>
      </c>
      <c r="L81" s="1">
        <f>'YE harvest'!Y374</f>
        <v>5734.8680560534049</v>
      </c>
      <c r="M81" s="2">
        <f>'YE harvest'!Z374</f>
        <v>1780887.9698243369</v>
      </c>
      <c r="N81" s="2">
        <f t="shared" si="20"/>
        <v>32286.534812482187</v>
      </c>
      <c r="O81" s="1">
        <f t="shared" si="21"/>
        <v>7045365.3978705006</v>
      </c>
      <c r="P81">
        <f t="shared" si="22"/>
        <v>2654.3107199177907</v>
      </c>
      <c r="Q81" s="14">
        <f t="shared" si="23"/>
        <v>8.2211074534131082E-2</v>
      </c>
    </row>
    <row r="82" spans="1:17" x14ac:dyDescent="0.25">
      <c r="A82">
        <v>2020</v>
      </c>
      <c r="B82" s="1">
        <f>'YE harvest'!Y250</f>
        <v>24.079952737653379</v>
      </c>
      <c r="C82" s="1">
        <f>'YE harvest'!Z250</f>
        <v>227.40497456985997</v>
      </c>
      <c r="D82" s="1">
        <f>'YE harvest'!Y275</f>
        <v>0</v>
      </c>
      <c r="E82" s="1">
        <f>'YE harvest'!Z275</f>
        <v>0</v>
      </c>
      <c r="F82" s="1">
        <f>'YE harvest'!Y300</f>
        <v>73.381648414501143</v>
      </c>
      <c r="G82" s="1">
        <f>'YE harvest'!Z300</f>
        <v>809.13937453062499</v>
      </c>
      <c r="H82" s="1">
        <f>'YE harvest'!Y325</f>
        <v>5.9339781522880095</v>
      </c>
      <c r="I82" s="1">
        <f>'YE harvest'!Z325</f>
        <v>8.6082277981033748</v>
      </c>
      <c r="J82" s="1">
        <f>'YE harvest'!Y350</f>
        <v>164.20637897805707</v>
      </c>
      <c r="K82" s="1">
        <f>'YE harvest'!Z350</f>
        <v>4057.30299516795</v>
      </c>
      <c r="L82" s="1">
        <f>'YE harvest'!Y375</f>
        <v>1</v>
      </c>
      <c r="M82" s="2">
        <f>'YE harvest'!Z375</f>
        <v>0</v>
      </c>
      <c r="N82" s="2">
        <f t="shared" ref="N82:N83" si="24">L82+J82+H82+F82+D82+B82</f>
        <v>268.6019582824996</v>
      </c>
      <c r="O82" s="1">
        <f>SUM(G82,I82,K82,M82,E82,C82)</f>
        <v>5102.4555720665385</v>
      </c>
      <c r="P82">
        <f t="shared" ref="P82:P83" si="25">SQRT(O82)</f>
        <v>71.431474659750222</v>
      </c>
      <c r="Q82" s="14">
        <f>P82/N82</f>
        <v>0.26593802635133001</v>
      </c>
    </row>
    <row r="83" spans="1:17" x14ac:dyDescent="0.25">
      <c r="A83">
        <v>2021</v>
      </c>
      <c r="B83" s="1">
        <f>'YE harvest'!Y251</f>
        <v>10</v>
      </c>
      <c r="C83" s="1">
        <f>'YE harvest'!Z251</f>
        <v>0</v>
      </c>
      <c r="D83" s="1">
        <f>'YE harvest'!Y276</f>
        <v>0</v>
      </c>
      <c r="E83" s="1">
        <f>'YE harvest'!Z276</f>
        <v>0</v>
      </c>
      <c r="F83" s="1">
        <f>'YE harvest'!Y301</f>
        <v>98.36297595929662</v>
      </c>
      <c r="G83" s="1">
        <f>'YE harvest'!Z301</f>
        <v>2203.0257318570839</v>
      </c>
      <c r="H83" s="1">
        <f>'YE harvest'!Y326</f>
        <v>0</v>
      </c>
      <c r="I83" s="1">
        <f>'YE harvest'!Z326</f>
        <v>0</v>
      </c>
      <c r="J83" s="1">
        <f>'YE harvest'!Y351</f>
        <v>147.86636497865038</v>
      </c>
      <c r="K83" s="1">
        <f>'YE harvest'!Z351</f>
        <v>3402.3145931486479</v>
      </c>
      <c r="L83" s="1">
        <f>'YE harvest'!Y376</f>
        <v>1</v>
      </c>
      <c r="M83" s="2">
        <f>'YE harvest'!Z376</f>
        <v>0</v>
      </c>
      <c r="N83" s="2">
        <f t="shared" si="24"/>
        <v>257.22934093794697</v>
      </c>
      <c r="O83" s="1">
        <f t="shared" ref="O83" si="26">SUM(G83,I83,K83,M83,E83,C83)</f>
        <v>5605.3403250057318</v>
      </c>
      <c r="P83">
        <f t="shared" si="25"/>
        <v>74.868820780120018</v>
      </c>
      <c r="Q83" s="14">
        <f t="shared" ref="Q83" si="27">P83/N83</f>
        <v>0.29105863470754328</v>
      </c>
    </row>
    <row r="84" spans="1:17" x14ac:dyDescent="0.25">
      <c r="A84">
        <v>2022</v>
      </c>
      <c r="B84" s="1">
        <f>'YE harvest'!Y252</f>
        <v>51.523372914079772</v>
      </c>
      <c r="C84" s="1">
        <f>'YE harvest'!Z252</f>
        <v>381.16208994222376</v>
      </c>
      <c r="D84" s="1">
        <f>'YE harvest'!Y277</f>
        <v>8.8516352841838639</v>
      </c>
      <c r="E84" s="1">
        <f>'YE harvest'!Z277</f>
        <v>2.9690569012476864</v>
      </c>
      <c r="F84" s="1">
        <f>'YE harvest'!Y302</f>
        <v>20.028945468042153</v>
      </c>
      <c r="G84" s="1">
        <f>'YE harvest'!Z302</f>
        <v>289.98498375355348</v>
      </c>
      <c r="H84" s="1">
        <f>'YE harvest'!Y327</f>
        <v>0</v>
      </c>
      <c r="I84" s="1">
        <f>'YE harvest'!Z327</f>
        <v>0</v>
      </c>
      <c r="J84" s="1">
        <f>'YE harvest'!Y352</f>
        <v>617.28894630156515</v>
      </c>
      <c r="K84" s="1">
        <f>'YE harvest'!Z352</f>
        <v>34207.55858771679</v>
      </c>
      <c r="L84" s="1">
        <f>'YE harvest'!Y377</f>
        <v>1</v>
      </c>
      <c r="M84" s="2">
        <f>'YE harvest'!Z377</f>
        <v>0</v>
      </c>
      <c r="N84" s="2">
        <f t="shared" ref="N84" si="28">L84+J84+H84+F84+D84+B84</f>
        <v>698.69289996787097</v>
      </c>
      <c r="O84" s="1">
        <f t="shared" ref="O84" si="29">SUM(G84,I84,K84,M84,E84,C84)</f>
        <v>34881.674718313814</v>
      </c>
      <c r="P84">
        <f t="shared" ref="P84" si="30">SQRT(O84)</f>
        <v>186.76636399071921</v>
      </c>
      <c r="Q84" s="14">
        <f t="shared" ref="Q84" si="31">P84/N84</f>
        <v>0.26730823227101286</v>
      </c>
    </row>
  </sheetData>
  <mergeCells count="24">
    <mergeCell ref="N2:Q2"/>
    <mergeCell ref="N30:Q30"/>
    <mergeCell ref="N58:Q58"/>
    <mergeCell ref="A1:J1"/>
    <mergeCell ref="A29:J29"/>
    <mergeCell ref="A57:J57"/>
    <mergeCell ref="B2:C2"/>
    <mergeCell ref="D2:E2"/>
    <mergeCell ref="F2:G2"/>
    <mergeCell ref="H2:I2"/>
    <mergeCell ref="J2:K2"/>
    <mergeCell ref="L2:M2"/>
    <mergeCell ref="B30:C30"/>
    <mergeCell ref="D30:E30"/>
    <mergeCell ref="F30:G30"/>
    <mergeCell ref="H30:I30"/>
    <mergeCell ref="J30:K30"/>
    <mergeCell ref="L30:M30"/>
    <mergeCell ref="L58:M58"/>
    <mergeCell ref="B58:C58"/>
    <mergeCell ref="D58:E58"/>
    <mergeCell ref="F58:G58"/>
    <mergeCell ref="H58:I58"/>
    <mergeCell ref="J58:K58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85AD-B495-4406-86B4-CA91778252DC}">
  <sheetPr>
    <tabColor theme="0" tint="-0.499984740745262"/>
  </sheetPr>
  <dimension ref="A1:F232"/>
  <sheetViews>
    <sheetView workbookViewId="0">
      <selection activeCell="E12" sqref="E12"/>
    </sheetView>
  </sheetViews>
  <sheetFormatPr defaultRowHeight="15" x14ac:dyDescent="0.25"/>
  <cols>
    <col min="3" max="3" width="10.5703125" bestFit="1" customWidth="1"/>
  </cols>
  <sheetData>
    <row r="1" spans="1:6" x14ac:dyDescent="0.25">
      <c r="C1" t="s">
        <v>86</v>
      </c>
      <c r="D1" t="s">
        <v>85</v>
      </c>
      <c r="E1" t="s">
        <v>87</v>
      </c>
    </row>
    <row r="2" spans="1:6" x14ac:dyDescent="0.25">
      <c r="A2" t="s">
        <v>42</v>
      </c>
      <c r="B2">
        <v>2011</v>
      </c>
      <c r="C2" s="1">
        <f>'rockfish harvests'!K240</f>
        <v>68480.968038392311</v>
      </c>
      <c r="D2" s="1">
        <f>'rockfish harvests'!E240+'rockfish harvests'!G240</f>
        <v>48501</v>
      </c>
      <c r="E2" s="17">
        <f>(C2-D2)/C2</f>
        <v>0.29175942762945456</v>
      </c>
      <c r="F2" s="33">
        <f>AVERAGE(E2:E12)</f>
        <v>0.13077242643264769</v>
      </c>
    </row>
    <row r="3" spans="1:6" x14ac:dyDescent="0.25">
      <c r="A3" t="s">
        <v>42</v>
      </c>
      <c r="B3">
        <v>2012</v>
      </c>
      <c r="C3" s="1">
        <f>'rockfish harvests'!K241</f>
        <v>63827.587639698155</v>
      </c>
      <c r="D3" s="1">
        <f>'rockfish harvests'!E241+'rockfish harvests'!G241</f>
        <v>57929</v>
      </c>
      <c r="E3" s="17">
        <f t="shared" ref="E3:E64" si="0">(C3-D3)/C3</f>
        <v>9.2414390983961828E-2</v>
      </c>
    </row>
    <row r="4" spans="1:6" x14ac:dyDescent="0.25">
      <c r="A4" t="s">
        <v>42</v>
      </c>
      <c r="B4">
        <v>2013</v>
      </c>
      <c r="C4" s="1">
        <f>'rockfish harvests'!K242</f>
        <v>70364.987163814178</v>
      </c>
      <c r="D4" s="1">
        <f>'rockfish harvests'!E242+'rockfish harvests'!G242</f>
        <v>56862</v>
      </c>
      <c r="E4" s="17">
        <f t="shared" si="0"/>
        <v>0.19189923437885895</v>
      </c>
    </row>
    <row r="5" spans="1:6" x14ac:dyDescent="0.25">
      <c r="A5" t="s">
        <v>42</v>
      </c>
      <c r="B5">
        <v>2014</v>
      </c>
      <c r="C5" s="1">
        <f>'rockfish harvests'!K243</f>
        <v>86708.052896462119</v>
      </c>
      <c r="D5" s="1">
        <f>'rockfish harvests'!E243+'rockfish harvests'!G243</f>
        <v>78770</v>
      </c>
      <c r="E5" s="17">
        <f t="shared" si="0"/>
        <v>9.1549200233350059E-2</v>
      </c>
    </row>
    <row r="6" spans="1:6" x14ac:dyDescent="0.25">
      <c r="A6" t="s">
        <v>42</v>
      </c>
      <c r="B6">
        <v>2015</v>
      </c>
      <c r="C6" s="1">
        <f>'rockfish harvests'!K244</f>
        <v>88259.545990311773</v>
      </c>
      <c r="D6" s="1">
        <f>'rockfish harvests'!E244+'rockfish harvests'!G244</f>
        <v>76651</v>
      </c>
      <c r="E6" s="17">
        <f t="shared" si="0"/>
        <v>0.13152737032644651</v>
      </c>
    </row>
    <row r="7" spans="1:6" x14ac:dyDescent="0.25">
      <c r="A7" t="s">
        <v>42</v>
      </c>
      <c r="B7">
        <v>2016</v>
      </c>
      <c r="C7" s="1">
        <f>'rockfish harvests'!K245</f>
        <v>63347.772142219961</v>
      </c>
      <c r="D7" s="1">
        <f>'rockfish harvests'!E245+'rockfish harvests'!G245</f>
        <v>63372</v>
      </c>
      <c r="E7" s="17">
        <f t="shared" si="0"/>
        <v>-3.8245792962767107E-4</v>
      </c>
    </row>
    <row r="8" spans="1:6" x14ac:dyDescent="0.25">
      <c r="A8" t="s">
        <v>42</v>
      </c>
      <c r="B8">
        <v>2017</v>
      </c>
      <c r="C8" s="1">
        <f>'rockfish harvests'!K246</f>
        <v>71940.082903438393</v>
      </c>
      <c r="D8" s="1">
        <f>'rockfish harvests'!E246+'rockfish harvests'!G246</f>
        <v>55161</v>
      </c>
      <c r="E8" s="17">
        <f t="shared" si="0"/>
        <v>0.23323691364048224</v>
      </c>
    </row>
    <row r="9" spans="1:6" x14ac:dyDescent="0.25">
      <c r="A9" t="s">
        <v>42</v>
      </c>
      <c r="B9">
        <v>2018</v>
      </c>
      <c r="C9" s="1">
        <f>'rockfish harvests'!K247</f>
        <v>61699.047320720041</v>
      </c>
      <c r="D9" s="1">
        <f>'rockfish harvests'!E247+'rockfish harvests'!G247</f>
        <v>53273</v>
      </c>
      <c r="E9" s="17">
        <f t="shared" si="0"/>
        <v>0.13656689505950231</v>
      </c>
    </row>
    <row r="10" spans="1:6" x14ac:dyDescent="0.25">
      <c r="A10" t="s">
        <v>42</v>
      </c>
      <c r="B10">
        <v>2019</v>
      </c>
      <c r="C10" s="1">
        <f>'rockfish harvests'!K248</f>
        <v>69676.250304369401</v>
      </c>
      <c r="D10" s="1">
        <f>'rockfish harvests'!E248+'rockfish harvests'!G248</f>
        <v>51643</v>
      </c>
      <c r="E10" s="17">
        <f>(C10-D10)/C10</f>
        <v>0.25881487918184565</v>
      </c>
    </row>
    <row r="11" spans="1:6" x14ac:dyDescent="0.25">
      <c r="A11" t="s">
        <v>42</v>
      </c>
      <c r="B11">
        <v>2020</v>
      </c>
      <c r="C11" s="1">
        <f>'rockfish harvests'!K249</f>
        <v>30307.582512931756</v>
      </c>
      <c r="D11" s="1">
        <f>'rockfish harvests'!E249+'rockfish harvests'!G249</f>
        <v>29381</v>
      </c>
      <c r="E11" s="17">
        <f t="shared" ref="E11:E12" si="1">(C11-D11)/C11</f>
        <v>3.0572630216758417E-2</v>
      </c>
    </row>
    <row r="12" spans="1:6" x14ac:dyDescent="0.25">
      <c r="A12" t="s">
        <v>42</v>
      </c>
      <c r="B12">
        <v>2021</v>
      </c>
      <c r="C12" s="1">
        <f>'rockfish harvests'!K250</f>
        <v>62821.383245691672</v>
      </c>
      <c r="D12" s="1">
        <f>'rockfish harvests'!E250+'rockfish harvests'!G250</f>
        <v>64044</v>
      </c>
      <c r="E12" s="17">
        <f t="shared" si="1"/>
        <v>-1.9461792961908017E-2</v>
      </c>
    </row>
    <row r="13" spans="1:6" x14ac:dyDescent="0.25">
      <c r="A13" t="s">
        <v>83</v>
      </c>
      <c r="B13">
        <v>2011</v>
      </c>
      <c r="C13" s="1">
        <f>'rockfish harvests'!K265</f>
        <v>4284.4366812227072</v>
      </c>
      <c r="D13" s="1">
        <f>'rockfish harvests'!G265+'rockfish harvests'!E265</f>
        <v>2756</v>
      </c>
      <c r="E13" s="17">
        <f t="shared" si="0"/>
        <v>0.35674157303370785</v>
      </c>
      <c r="F13" s="33">
        <f>AVERAGE(E13:E23)</f>
        <v>0.22351982056994563</v>
      </c>
    </row>
    <row r="14" spans="1:6" x14ac:dyDescent="0.25">
      <c r="A14" t="s">
        <v>83</v>
      </c>
      <c r="B14">
        <v>2012</v>
      </c>
      <c r="C14" s="1">
        <f>'rockfish harvests'!K266</f>
        <v>3776.1442770118629</v>
      </c>
      <c r="D14" s="1">
        <f>'rockfish harvests'!G266+'rockfish harvests'!E266</f>
        <v>3634</v>
      </c>
      <c r="E14" s="17">
        <f t="shared" si="0"/>
        <v>3.7642702869484748E-2</v>
      </c>
    </row>
    <row r="15" spans="1:6" x14ac:dyDescent="0.25">
      <c r="A15" t="s">
        <v>83</v>
      </c>
      <c r="B15">
        <v>2013</v>
      </c>
      <c r="C15" s="1">
        <f>'rockfish harvests'!K267</f>
        <v>4475.3664881407803</v>
      </c>
      <c r="D15" s="1">
        <f>'rockfish harvests'!G267+'rockfish harvests'!E267</f>
        <v>4518</v>
      </c>
      <c r="E15" s="17">
        <f t="shared" si="0"/>
        <v>-9.5262615859938362E-3</v>
      </c>
    </row>
    <row r="16" spans="1:6" x14ac:dyDescent="0.25">
      <c r="A16" t="s">
        <v>83</v>
      </c>
      <c r="B16">
        <v>2014</v>
      </c>
      <c r="C16" s="1">
        <f>'rockfish harvests'!K268</f>
        <v>5718.1397849462364</v>
      </c>
      <c r="D16" s="1">
        <f>'rockfish harvests'!G268+'rockfish harvests'!E268</f>
        <v>6796</v>
      </c>
      <c r="E16" s="17">
        <f t="shared" si="0"/>
        <v>-0.18849840255591058</v>
      </c>
    </row>
    <row r="17" spans="1:6" x14ac:dyDescent="0.25">
      <c r="A17" t="s">
        <v>83</v>
      </c>
      <c r="B17">
        <v>2015</v>
      </c>
      <c r="C17" s="1">
        <f>'rockfish harvests'!K269</f>
        <v>8126.5678935972783</v>
      </c>
      <c r="D17" s="1">
        <f>'rockfish harvests'!G269+'rockfish harvests'!E269</f>
        <v>4586</v>
      </c>
      <c r="E17" s="17">
        <f t="shared" si="0"/>
        <v>0.43567812881829293</v>
      </c>
    </row>
    <row r="18" spans="1:6" x14ac:dyDescent="0.25">
      <c r="A18" t="s">
        <v>83</v>
      </c>
      <c r="B18">
        <v>2016</v>
      </c>
      <c r="C18" s="1">
        <f>'rockfish harvests'!K270</f>
        <v>9606.8674308497375</v>
      </c>
      <c r="D18" s="1">
        <f>'rockfish harvests'!G270+'rockfish harvests'!E270</f>
        <v>5141</v>
      </c>
      <c r="E18" s="17">
        <f t="shared" si="0"/>
        <v>0.46486198159754627</v>
      </c>
    </row>
    <row r="19" spans="1:6" x14ac:dyDescent="0.25">
      <c r="A19" t="s">
        <v>83</v>
      </c>
      <c r="B19">
        <v>2017</v>
      </c>
      <c r="C19" s="1">
        <f>'rockfish harvests'!K271</f>
        <v>7580.0488400488402</v>
      </c>
      <c r="D19" s="1">
        <f>'rockfish harvests'!G271+'rockfish harvests'!E271</f>
        <v>5890</v>
      </c>
      <c r="E19" s="17">
        <f t="shared" si="0"/>
        <v>0.22296015180265658</v>
      </c>
    </row>
    <row r="20" spans="1:6" x14ac:dyDescent="0.25">
      <c r="A20" t="s">
        <v>83</v>
      </c>
      <c r="B20">
        <v>2018</v>
      </c>
      <c r="C20" s="1">
        <f>'rockfish harvests'!K272</f>
        <v>10630.379506304387</v>
      </c>
      <c r="D20" s="1">
        <f>'rockfish harvests'!G272+'rockfish harvests'!E272</f>
        <v>6913</v>
      </c>
      <c r="E20" s="17">
        <f t="shared" si="0"/>
        <v>0.34969396004157527</v>
      </c>
    </row>
    <row r="21" spans="1:6" x14ac:dyDescent="0.25">
      <c r="A21" t="s">
        <v>83</v>
      </c>
      <c r="B21">
        <v>2019</v>
      </c>
      <c r="C21" s="1">
        <f>'rockfish harvests'!K273</f>
        <v>10910.494473531124</v>
      </c>
      <c r="D21" s="1">
        <f>'rockfish harvests'!G273+'rockfish harvests'!E273</f>
        <v>7115</v>
      </c>
      <c r="E21" s="17">
        <f>(C21-D21)/C21</f>
        <v>0.34787556904400613</v>
      </c>
    </row>
    <row r="22" spans="1:6" x14ac:dyDescent="0.25">
      <c r="A22" t="s">
        <v>83</v>
      </c>
      <c r="B22">
        <v>2020</v>
      </c>
      <c r="C22" s="1">
        <f>'rockfish harvests'!K274</f>
        <v>4973.6383877159315</v>
      </c>
      <c r="D22" s="1">
        <f>'rockfish harvests'!G274+'rockfish harvests'!E274</f>
        <v>3192</v>
      </c>
      <c r="E22" s="17">
        <f t="shared" ref="E22:E23" si="2">(C22-D22)/C22</f>
        <v>0.35821630943582172</v>
      </c>
    </row>
    <row r="23" spans="1:6" x14ac:dyDescent="0.25">
      <c r="A23" t="s">
        <v>83</v>
      </c>
      <c r="B23">
        <v>2021</v>
      </c>
      <c r="C23" s="1">
        <f>'rockfish harvests'!K275</f>
        <v>8856.750779741571</v>
      </c>
      <c r="D23" s="1">
        <f>'rockfish harvests'!G275+'rockfish harvests'!E275</f>
        <v>8121</v>
      </c>
      <c r="E23" s="17">
        <f t="shared" si="2"/>
        <v>8.3072313768214584E-2</v>
      </c>
    </row>
    <row r="24" spans="1:6" x14ac:dyDescent="0.25">
      <c r="A24" t="s">
        <v>38</v>
      </c>
      <c r="B24">
        <v>2011</v>
      </c>
      <c r="C24" s="1">
        <f>'rockfish harvests'!K290</f>
        <v>21134.144125958821</v>
      </c>
      <c r="D24" s="1">
        <f>'rockfish harvests'!G290+'rockfish harvests'!E290</f>
        <v>11825</v>
      </c>
      <c r="E24" s="17">
        <f t="shared" si="0"/>
        <v>0.44047887960243959</v>
      </c>
      <c r="F24" s="33">
        <f>AVERAGE(E24:E34)</f>
        <v>0.26212433580593059</v>
      </c>
    </row>
    <row r="25" spans="1:6" x14ac:dyDescent="0.25">
      <c r="A25" t="s">
        <v>38</v>
      </c>
      <c r="B25">
        <v>2012</v>
      </c>
      <c r="C25" s="1">
        <f>'rockfish harvests'!K291</f>
        <v>30331.837840909095</v>
      </c>
      <c r="D25" s="1">
        <f>'rockfish harvests'!G291+'rockfish harvests'!E291</f>
        <v>17511</v>
      </c>
      <c r="E25" s="17">
        <f t="shared" si="0"/>
        <v>0.42268582300072172</v>
      </c>
    </row>
    <row r="26" spans="1:6" x14ac:dyDescent="0.25">
      <c r="A26" t="s">
        <v>38</v>
      </c>
      <c r="B26">
        <v>2013</v>
      </c>
      <c r="C26" s="1">
        <f>'rockfish harvests'!K292</f>
        <v>22942.238805970148</v>
      </c>
      <c r="D26" s="1">
        <f>'rockfish harvests'!G292+'rockfish harvests'!E292</f>
        <v>21959</v>
      </c>
      <c r="E26" s="17">
        <f t="shared" si="0"/>
        <v>4.2857142857142802E-2</v>
      </c>
    </row>
    <row r="27" spans="1:6" x14ac:dyDescent="0.25">
      <c r="A27" t="s">
        <v>38</v>
      </c>
      <c r="B27">
        <v>2014</v>
      </c>
      <c r="C27" s="1">
        <f>'rockfish harvests'!K293</f>
        <v>32276.119924151324</v>
      </c>
      <c r="D27" s="1">
        <f>'rockfish harvests'!G293+'rockfish harvests'!E293</f>
        <v>35145</v>
      </c>
      <c r="E27" s="17">
        <f t="shared" si="0"/>
        <v>-8.8885531550586802E-2</v>
      </c>
    </row>
    <row r="28" spans="1:6" x14ac:dyDescent="0.25">
      <c r="A28" t="s">
        <v>38</v>
      </c>
      <c r="B28">
        <v>2015</v>
      </c>
      <c r="C28" s="1">
        <f>'rockfish harvests'!K294</f>
        <v>31763.885700148439</v>
      </c>
      <c r="D28" s="1">
        <f>'rockfish harvests'!G294+'rockfish harvests'!E294</f>
        <v>29054</v>
      </c>
      <c r="E28" s="17">
        <f t="shared" si="0"/>
        <v>8.5313419325639225E-2</v>
      </c>
    </row>
    <row r="29" spans="1:6" x14ac:dyDescent="0.25">
      <c r="A29" t="s">
        <v>38</v>
      </c>
      <c r="B29">
        <v>2016</v>
      </c>
      <c r="C29" s="1">
        <f>'rockfish harvests'!K295</f>
        <v>40066.291818701371</v>
      </c>
      <c r="D29" s="1">
        <f>'rockfish harvests'!G295+'rockfish harvests'!E295</f>
        <v>35220</v>
      </c>
      <c r="E29" s="17">
        <f t="shared" si="0"/>
        <v>0.12095683425435724</v>
      </c>
    </row>
    <row r="30" spans="1:6" x14ac:dyDescent="0.25">
      <c r="A30" t="s">
        <v>38</v>
      </c>
      <c r="B30">
        <v>2017</v>
      </c>
      <c r="C30" s="1">
        <f>'rockfish harvests'!K296</f>
        <v>41111.228360636691</v>
      </c>
      <c r="D30" s="1">
        <f>'rockfish harvests'!G296+'rockfish harvests'!E296</f>
        <v>29117</v>
      </c>
      <c r="E30" s="17">
        <f t="shared" si="0"/>
        <v>0.29175066858671056</v>
      </c>
    </row>
    <row r="31" spans="1:6" x14ac:dyDescent="0.25">
      <c r="A31" t="s">
        <v>38</v>
      </c>
      <c r="B31">
        <v>2018</v>
      </c>
      <c r="C31" s="1">
        <f>'rockfish harvests'!K297</f>
        <v>50022.26901059274</v>
      </c>
      <c r="D31" s="1">
        <f>'rockfish harvests'!G297+'rockfish harvests'!E297</f>
        <v>32006</v>
      </c>
      <c r="E31" s="17">
        <f t="shared" si="0"/>
        <v>0.36016496986127527</v>
      </c>
    </row>
    <row r="32" spans="1:6" x14ac:dyDescent="0.25">
      <c r="A32" t="s">
        <v>38</v>
      </c>
      <c r="B32">
        <v>2019</v>
      </c>
      <c r="C32" s="1">
        <f>'rockfish harvests'!K298</f>
        <v>59476.361216730038</v>
      </c>
      <c r="D32" s="1">
        <f>'rockfish harvests'!G298+'rockfish harvests'!E298</f>
        <v>24998</v>
      </c>
      <c r="E32" s="17">
        <f>(C32-D32)/C32</f>
        <v>0.57969856446146639</v>
      </c>
    </row>
    <row r="33" spans="1:6" x14ac:dyDescent="0.25">
      <c r="A33" t="s">
        <v>38</v>
      </c>
      <c r="B33">
        <v>2020</v>
      </c>
      <c r="C33" s="1">
        <f>'rockfish harvests'!K299</f>
        <v>22443.397890444958</v>
      </c>
      <c r="D33" s="1">
        <f>'rockfish harvests'!G299+'rockfish harvests'!E299</f>
        <v>14399</v>
      </c>
      <c r="E33" s="17">
        <f t="shared" ref="E33:E34" si="3">(C33-D33)/C33</f>
        <v>0.35843048052317317</v>
      </c>
    </row>
    <row r="34" spans="1:6" x14ac:dyDescent="0.25">
      <c r="A34" t="s">
        <v>38</v>
      </c>
      <c r="B34">
        <v>2021</v>
      </c>
      <c r="C34" s="1">
        <f>'rockfish harvests'!K300</f>
        <v>41077.489980580918</v>
      </c>
      <c r="D34" s="1">
        <f>'rockfish harvests'!G300+'rockfish harvests'!E300</f>
        <v>29990</v>
      </c>
      <c r="E34" s="17">
        <f t="shared" si="3"/>
        <v>0.26991644294289763</v>
      </c>
    </row>
    <row r="35" spans="1:6" x14ac:dyDescent="0.25">
      <c r="A35" t="s">
        <v>41</v>
      </c>
      <c r="B35">
        <v>2011</v>
      </c>
      <c r="C35" s="1">
        <f>'rockfish harvests'!K315</f>
        <v>11059.863872082973</v>
      </c>
      <c r="D35" s="1">
        <f>'rockfish harvests'!G315+'rockfish harvests'!E315</f>
        <v>5719</v>
      </c>
      <c r="E35" s="17">
        <f t="shared" si="0"/>
        <v>0.48290502793296086</v>
      </c>
      <c r="F35" s="33">
        <f>AVERAGE(E35:E45)</f>
        <v>0.10177733657180897</v>
      </c>
    </row>
    <row r="36" spans="1:6" x14ac:dyDescent="0.25">
      <c r="A36" t="s">
        <v>41</v>
      </c>
      <c r="B36">
        <v>2012</v>
      </c>
      <c r="C36" s="1">
        <f>'rockfish harvests'!K316</f>
        <v>12656.140350877193</v>
      </c>
      <c r="D36" s="1">
        <f>'rockfish harvests'!G316+'rockfish harvests'!E316</f>
        <v>7214</v>
      </c>
      <c r="E36" s="17">
        <f t="shared" si="0"/>
        <v>0.43</v>
      </c>
    </row>
    <row r="37" spans="1:6" x14ac:dyDescent="0.25">
      <c r="A37" t="s">
        <v>41</v>
      </c>
      <c r="B37">
        <v>2013</v>
      </c>
      <c r="C37" s="1">
        <f>'rockfish harvests'!K317</f>
        <v>10533.463803255974</v>
      </c>
      <c r="D37" s="1">
        <f>'rockfish harvests'!G317+'rockfish harvests'!E317</f>
        <v>8726</v>
      </c>
      <c r="E37" s="17">
        <f t="shared" si="0"/>
        <v>0.17159253945480624</v>
      </c>
    </row>
    <row r="38" spans="1:6" x14ac:dyDescent="0.25">
      <c r="A38" t="s">
        <v>41</v>
      </c>
      <c r="B38">
        <v>2014</v>
      </c>
      <c r="C38" s="1">
        <f>'rockfish harvests'!K318</f>
        <v>18410.250883987203</v>
      </c>
      <c r="D38" s="1">
        <f>'rockfish harvests'!G318+'rockfish harvests'!E318</f>
        <v>12585</v>
      </c>
      <c r="E38" s="17">
        <f t="shared" si="0"/>
        <v>0.31641344383057085</v>
      </c>
    </row>
    <row r="39" spans="1:6" x14ac:dyDescent="0.25">
      <c r="A39" t="s">
        <v>41</v>
      </c>
      <c r="B39">
        <v>2015</v>
      </c>
      <c r="C39" s="1">
        <f>'rockfish harvests'!K319</f>
        <v>13685.480355422331</v>
      </c>
      <c r="D39" s="1">
        <f>'rockfish harvests'!G319+'rockfish harvests'!E319</f>
        <v>13962</v>
      </c>
      <c r="E39" s="17">
        <f t="shared" si="0"/>
        <v>-2.0205329838357423E-2</v>
      </c>
    </row>
    <row r="40" spans="1:6" x14ac:dyDescent="0.25">
      <c r="A40" t="s">
        <v>41</v>
      </c>
      <c r="B40">
        <v>2016</v>
      </c>
      <c r="C40" s="1">
        <f>'rockfish harvests'!K320</f>
        <v>7499.6278507924235</v>
      </c>
      <c r="D40" s="1">
        <f>'rockfish harvests'!G320+'rockfish harvests'!E320</f>
        <v>13291</v>
      </c>
      <c r="E40" s="17">
        <f t="shared" si="0"/>
        <v>-0.77222127076554203</v>
      </c>
    </row>
    <row r="41" spans="1:6" x14ac:dyDescent="0.25">
      <c r="A41" t="s">
        <v>41</v>
      </c>
      <c r="B41">
        <v>2017</v>
      </c>
      <c r="C41" s="1">
        <f>'rockfish harvests'!K321</f>
        <v>16078.017147192715</v>
      </c>
      <c r="D41" s="1">
        <f>'rockfish harvests'!G321+'rockfish harvests'!E321</f>
        <v>11503</v>
      </c>
      <c r="E41" s="17">
        <f t="shared" si="0"/>
        <v>0.28455108023015957</v>
      </c>
    </row>
    <row r="42" spans="1:6" x14ac:dyDescent="0.25">
      <c r="A42" t="s">
        <v>41</v>
      </c>
      <c r="B42">
        <v>2018</v>
      </c>
      <c r="C42" s="1">
        <f>'rockfish harvests'!K322</f>
        <v>18860.883640705848</v>
      </c>
      <c r="D42" s="1">
        <f>'rockfish harvests'!G322+'rockfish harvests'!E322</f>
        <v>12895</v>
      </c>
      <c r="E42" s="17">
        <f t="shared" si="0"/>
        <v>0.31630986937590699</v>
      </c>
    </row>
    <row r="43" spans="1:6" x14ac:dyDescent="0.25">
      <c r="A43" t="s">
        <v>41</v>
      </c>
      <c r="B43">
        <v>2019</v>
      </c>
      <c r="C43" s="1">
        <f>'rockfish harvests'!K323</f>
        <v>18193.663451672481</v>
      </c>
      <c r="D43" s="1">
        <f>'rockfish harvests'!G323+'rockfish harvests'!E323</f>
        <v>15348</v>
      </c>
      <c r="E43" s="17">
        <f>(C43-D43)/C43</f>
        <v>0.15640959058253268</v>
      </c>
    </row>
    <row r="44" spans="1:6" x14ac:dyDescent="0.25">
      <c r="A44" t="s">
        <v>41</v>
      </c>
      <c r="B44">
        <v>2020</v>
      </c>
      <c r="C44" s="1">
        <f>'rockfish harvests'!K324</f>
        <v>4399.5719163465646</v>
      </c>
      <c r="D44" s="1">
        <f>'rockfish harvests'!G324+'rockfish harvests'!E324</f>
        <v>6221</v>
      </c>
      <c r="E44" s="17">
        <f t="shared" ref="E44:E45" si="4">(C44-D44)/C44</f>
        <v>-0.41400120700060339</v>
      </c>
    </row>
    <row r="45" spans="1:6" x14ac:dyDescent="0.25">
      <c r="A45" t="s">
        <v>41</v>
      </c>
      <c r="B45">
        <v>2021</v>
      </c>
      <c r="C45" s="1">
        <f>'rockfish harvests'!K325</f>
        <v>15994.894678355353</v>
      </c>
      <c r="D45" s="1">
        <f>'rockfish harvests'!G325+'rockfish harvests'!E325</f>
        <v>13311</v>
      </c>
      <c r="E45" s="17">
        <f t="shared" si="4"/>
        <v>0.16779695848746407</v>
      </c>
    </row>
    <row r="46" spans="1:6" x14ac:dyDescent="0.25">
      <c r="A46" t="s">
        <v>39</v>
      </c>
      <c r="B46">
        <v>2011</v>
      </c>
      <c r="C46" s="1">
        <f>'rockfish harvests'!K340</f>
        <v>43385.656259472569</v>
      </c>
      <c r="D46" s="1">
        <f>'rockfish harvests'!G340+'rockfish harvests'!E340</f>
        <v>24780</v>
      </c>
      <c r="E46" s="17">
        <f t="shared" si="0"/>
        <v>0.42884349030470914</v>
      </c>
      <c r="F46" s="33">
        <f>AVERAGE(E46:E56)</f>
        <v>0.32074732280220203</v>
      </c>
    </row>
    <row r="47" spans="1:6" x14ac:dyDescent="0.25">
      <c r="A47" t="s">
        <v>39</v>
      </c>
      <c r="B47">
        <v>2012</v>
      </c>
      <c r="C47" s="1">
        <f>'rockfish harvests'!K341</f>
        <v>51250.239687848378</v>
      </c>
      <c r="D47" s="1">
        <f>'rockfish harvests'!G341+'rockfish harvests'!E341</f>
        <v>26385</v>
      </c>
      <c r="E47" s="17">
        <f t="shared" si="0"/>
        <v>0.48517313946814611</v>
      </c>
    </row>
    <row r="48" spans="1:6" x14ac:dyDescent="0.25">
      <c r="A48" t="s">
        <v>39</v>
      </c>
      <c r="B48">
        <v>2013</v>
      </c>
      <c r="C48" s="1">
        <f>'rockfish harvests'!K342</f>
        <v>59046.842065821518</v>
      </c>
      <c r="D48" s="1">
        <f>'rockfish harvests'!G342+'rockfish harvests'!E342</f>
        <v>38158</v>
      </c>
      <c r="E48" s="17">
        <f t="shared" si="0"/>
        <v>0.35376730295815001</v>
      </c>
    </row>
    <row r="49" spans="1:6" x14ac:dyDescent="0.25">
      <c r="A49" t="s">
        <v>39</v>
      </c>
      <c r="B49">
        <v>2014</v>
      </c>
      <c r="C49" s="1">
        <f>'rockfish harvests'!K343</f>
        <v>58838.073336968373</v>
      </c>
      <c r="D49" s="1">
        <f>'rockfish harvests'!G343+'rockfish harvests'!E343</f>
        <v>50413</v>
      </c>
      <c r="E49" s="17">
        <f t="shared" si="0"/>
        <v>0.14319084326092033</v>
      </c>
    </row>
    <row r="50" spans="1:6" x14ac:dyDescent="0.25">
      <c r="A50" t="s">
        <v>39</v>
      </c>
      <c r="B50">
        <v>2015</v>
      </c>
      <c r="C50" s="1">
        <f>'rockfish harvests'!K344</f>
        <v>60956.645359656926</v>
      </c>
      <c r="D50" s="1">
        <f>'rockfish harvests'!G344+'rockfish harvests'!E344</f>
        <v>51671</v>
      </c>
      <c r="E50" s="17">
        <f t="shared" si="0"/>
        <v>0.15233196159122081</v>
      </c>
    </row>
    <row r="51" spans="1:6" x14ac:dyDescent="0.25">
      <c r="A51" t="s">
        <v>39</v>
      </c>
      <c r="B51">
        <v>2016</v>
      </c>
      <c r="C51" s="1">
        <f>'rockfish harvests'!K345</f>
        <v>66405.532446281708</v>
      </c>
      <c r="D51" s="1">
        <f>'rockfish harvests'!G345+'rockfish harvests'!E345</f>
        <v>47392</v>
      </c>
      <c r="E51" s="17">
        <f t="shared" si="0"/>
        <v>0.28632452366318384</v>
      </c>
    </row>
    <row r="52" spans="1:6" x14ac:dyDescent="0.25">
      <c r="A52" t="s">
        <v>39</v>
      </c>
      <c r="B52">
        <v>2017</v>
      </c>
      <c r="C52" s="1">
        <f>'rockfish harvests'!K346</f>
        <v>62909.834871736792</v>
      </c>
      <c r="D52" s="1">
        <f>'rockfish harvests'!G346+'rockfish harvests'!E346</f>
        <v>36726</v>
      </c>
      <c r="E52" s="17">
        <f t="shared" si="0"/>
        <v>0.41621210618532845</v>
      </c>
    </row>
    <row r="53" spans="1:6" x14ac:dyDescent="0.25">
      <c r="A53" t="s">
        <v>39</v>
      </c>
      <c r="B53">
        <v>2018</v>
      </c>
      <c r="C53" s="1">
        <f>'rockfish harvests'!K347</f>
        <v>76774.8595505618</v>
      </c>
      <c r="D53" s="1">
        <f>'rockfish harvests'!G347+'rockfish harvests'!E347</f>
        <v>47450</v>
      </c>
      <c r="E53" s="17">
        <f t="shared" si="0"/>
        <v>0.38195914290470645</v>
      </c>
    </row>
    <row r="54" spans="1:6" x14ac:dyDescent="0.25">
      <c r="A54" t="s">
        <v>39</v>
      </c>
      <c r="B54">
        <v>2019</v>
      </c>
      <c r="C54" s="1">
        <f>'rockfish harvests'!K348</f>
        <v>105817.34860446323</v>
      </c>
      <c r="D54" s="1">
        <f>'rockfish harvests'!G348+'rockfish harvests'!E348</f>
        <v>47461</v>
      </c>
      <c r="E54" s="17">
        <f>(C54-D54)/C54</f>
        <v>0.55148186355145401</v>
      </c>
    </row>
    <row r="55" spans="1:6" x14ac:dyDescent="0.25">
      <c r="A55" t="s">
        <v>39</v>
      </c>
      <c r="B55">
        <v>2020</v>
      </c>
      <c r="C55" s="1">
        <f>'rockfish harvests'!K349</f>
        <v>26303.649154865238</v>
      </c>
      <c r="D55" s="1">
        <f>'rockfish harvests'!G349+'rockfish harvests'!E349</f>
        <v>20736</v>
      </c>
      <c r="E55" s="17">
        <f t="shared" ref="E55:E56" si="5">(C55-D55)/C55</f>
        <v>0.21166831727739271</v>
      </c>
    </row>
    <row r="56" spans="1:6" x14ac:dyDescent="0.25">
      <c r="A56" t="s">
        <v>39</v>
      </c>
      <c r="B56">
        <v>2021</v>
      </c>
      <c r="C56" s="1">
        <f>'rockfish harvests'!K350</f>
        <v>42574.636497865038</v>
      </c>
      <c r="D56" s="1">
        <f>'rockfish harvests'!G350+'rockfish harvests'!E350</f>
        <v>37582</v>
      </c>
      <c r="E56" s="17">
        <f t="shared" si="5"/>
        <v>0.11726785965901085</v>
      </c>
    </row>
    <row r="57" spans="1:6" x14ac:dyDescent="0.25">
      <c r="A57" t="s">
        <v>40</v>
      </c>
      <c r="B57">
        <v>2011</v>
      </c>
      <c r="C57" s="1">
        <f>'rockfish harvests'!K365</f>
        <v>17425.832645403378</v>
      </c>
      <c r="D57" s="1">
        <f>'rockfish harvests'!G365+'rockfish harvests'!E365</f>
        <v>15576</v>
      </c>
      <c r="E57" s="17">
        <f t="shared" si="0"/>
        <v>0.1061546201576388</v>
      </c>
      <c r="F57" s="33">
        <f>AVERAGE(E57:E67)</f>
        <v>0.53123859916978333</v>
      </c>
    </row>
    <row r="58" spans="1:6" x14ac:dyDescent="0.25">
      <c r="A58" t="s">
        <v>40</v>
      </c>
      <c r="B58">
        <v>2012</v>
      </c>
      <c r="C58" s="1">
        <f>'rockfish harvests'!K366</f>
        <v>21501.484048613747</v>
      </c>
      <c r="D58" s="1">
        <f>'rockfish harvests'!G366+'rockfish harvests'!E366</f>
        <v>15847</v>
      </c>
      <c r="E58" s="17">
        <f t="shared" si="0"/>
        <v>0.26298110566829946</v>
      </c>
    </row>
    <row r="59" spans="1:6" x14ac:dyDescent="0.25">
      <c r="A59" t="s">
        <v>40</v>
      </c>
      <c r="B59">
        <v>2013</v>
      </c>
      <c r="C59" s="1">
        <f>'rockfish harvests'!K367</f>
        <v>22683.680191645457</v>
      </c>
      <c r="D59" s="1">
        <f>'rockfish harvests'!G367+'rockfish harvests'!E367</f>
        <v>9700</v>
      </c>
      <c r="E59" s="17">
        <f t="shared" si="0"/>
        <v>0.57237979384083493</v>
      </c>
    </row>
    <row r="60" spans="1:6" x14ac:dyDescent="0.25">
      <c r="A60" t="s">
        <v>40</v>
      </c>
      <c r="B60">
        <v>2014</v>
      </c>
      <c r="C60" s="1">
        <f>'rockfish harvests'!K368</f>
        <v>24422.057259158752</v>
      </c>
      <c r="D60" s="1">
        <f>'rockfish harvests'!G368+'rockfish harvests'!E368</f>
        <v>9754</v>
      </c>
      <c r="E60" s="17">
        <f t="shared" si="0"/>
        <v>0.60060694737982978</v>
      </c>
    </row>
    <row r="61" spans="1:6" x14ac:dyDescent="0.25">
      <c r="A61" t="s">
        <v>40</v>
      </c>
      <c r="B61">
        <v>2015</v>
      </c>
      <c r="C61" s="1">
        <f>'rockfish harvests'!K369</f>
        <v>33215.524335519505</v>
      </c>
      <c r="D61" s="1">
        <f>'rockfish harvests'!G369+'rockfish harvests'!E369</f>
        <v>10892</v>
      </c>
      <c r="E61" s="17">
        <f t="shared" si="0"/>
        <v>0.67208104589959816</v>
      </c>
    </row>
    <row r="62" spans="1:6" x14ac:dyDescent="0.25">
      <c r="A62" t="s">
        <v>40</v>
      </c>
      <c r="B62">
        <v>2016</v>
      </c>
      <c r="C62" s="1">
        <f>'rockfish harvests'!K370</f>
        <v>27237.761702821725</v>
      </c>
      <c r="D62" s="1">
        <f>'rockfish harvests'!G370+'rockfish harvests'!E370</f>
        <v>9431</v>
      </c>
      <c r="E62" s="17">
        <f t="shared" si="0"/>
        <v>0.65375275314847237</v>
      </c>
    </row>
    <row r="63" spans="1:6" x14ac:dyDescent="0.25">
      <c r="A63" t="s">
        <v>40</v>
      </c>
      <c r="B63">
        <v>2017</v>
      </c>
      <c r="C63" s="1">
        <f>'rockfish harvests'!K371</f>
        <v>28180.221332705438</v>
      </c>
      <c r="D63" s="1">
        <f>'rockfish harvests'!G371+'rockfish harvests'!E371</f>
        <v>11530</v>
      </c>
      <c r="E63" s="17">
        <f t="shared" si="0"/>
        <v>0.59084778420038531</v>
      </c>
    </row>
    <row r="64" spans="1:6" x14ac:dyDescent="0.25">
      <c r="A64" t="s">
        <v>40</v>
      </c>
      <c r="B64">
        <v>2018</v>
      </c>
      <c r="C64" s="1">
        <f>'rockfish harvests'!K372</f>
        <v>39816.635899450121</v>
      </c>
      <c r="D64" s="1">
        <f>'rockfish harvests'!G372+'rockfish harvests'!E372</f>
        <v>11285</v>
      </c>
      <c r="E64" s="17">
        <f t="shared" si="0"/>
        <v>0.71657575420238229</v>
      </c>
    </row>
    <row r="65" spans="1:5" x14ac:dyDescent="0.25">
      <c r="A65" t="s">
        <v>40</v>
      </c>
      <c r="B65">
        <v>2019</v>
      </c>
      <c r="C65" s="1">
        <f>'rockfish harvests'!K373</f>
        <v>39271.985999299963</v>
      </c>
      <c r="D65" s="1">
        <f>'rockfish harvests'!G373+'rockfish harvests'!E373</f>
        <v>9794</v>
      </c>
      <c r="E65" s="17">
        <f>(C65-D65)/C65</f>
        <v>0.75061103351955305</v>
      </c>
    </row>
    <row r="66" spans="1:5" x14ac:dyDescent="0.25">
      <c r="A66" t="s">
        <v>40</v>
      </c>
      <c r="B66">
        <v>2020</v>
      </c>
      <c r="C66" s="1">
        <f>'rockfish harvests'!K374</f>
        <v>15388.622535579058</v>
      </c>
      <c r="D66" s="1">
        <f>'rockfish harvests'!G374+'rockfish harvests'!E374</f>
        <v>9340</v>
      </c>
      <c r="E66" s="17">
        <f t="shared" ref="E66:E67" si="6">(C66-D66)/C66</f>
        <v>0.39305808701164913</v>
      </c>
    </row>
    <row r="67" spans="1:5" x14ac:dyDescent="0.25">
      <c r="A67" t="s">
        <v>40</v>
      </c>
      <c r="B67">
        <v>2021</v>
      </c>
      <c r="C67" s="1">
        <f>'rockfish harvests'!K375</f>
        <v>31069.087000071548</v>
      </c>
      <c r="D67" s="1">
        <f>'rockfish harvests'!G375+'rockfish harvests'!E375</f>
        <v>14771</v>
      </c>
      <c r="E67" s="17">
        <f t="shared" si="6"/>
        <v>0.52457566583897419</v>
      </c>
    </row>
    <row r="68" spans="1:5" x14ac:dyDescent="0.25">
      <c r="C68" s="1"/>
      <c r="D68" s="1"/>
    </row>
    <row r="69" spans="1:5" x14ac:dyDescent="0.25">
      <c r="C69" s="1"/>
      <c r="D69" s="1"/>
    </row>
    <row r="70" spans="1:5" x14ac:dyDescent="0.25">
      <c r="C70" s="1"/>
      <c r="D70" s="1"/>
    </row>
    <row r="71" spans="1:5" x14ac:dyDescent="0.25">
      <c r="C71" s="1"/>
      <c r="D71" s="1"/>
    </row>
    <row r="72" spans="1:5" x14ac:dyDescent="0.25">
      <c r="C72" s="1"/>
      <c r="D72" s="1"/>
    </row>
    <row r="73" spans="1:5" x14ac:dyDescent="0.25">
      <c r="C73" s="1"/>
      <c r="D73" s="1"/>
    </row>
    <row r="74" spans="1:5" x14ac:dyDescent="0.25">
      <c r="C74" s="1"/>
      <c r="D74" s="1"/>
    </row>
    <row r="75" spans="1:5" x14ac:dyDescent="0.25">
      <c r="C75" s="1"/>
      <c r="D75" s="1"/>
    </row>
    <row r="76" spans="1:5" x14ac:dyDescent="0.25">
      <c r="C76" s="1"/>
      <c r="D76" s="1"/>
    </row>
    <row r="77" spans="1:5" x14ac:dyDescent="0.25">
      <c r="C77" s="1"/>
      <c r="D77" s="1"/>
    </row>
    <row r="78" spans="1:5" x14ac:dyDescent="0.25">
      <c r="C78" s="1"/>
      <c r="D78" s="1"/>
    </row>
    <row r="79" spans="1:5" x14ac:dyDescent="0.25">
      <c r="C79" s="1"/>
      <c r="D79" s="1"/>
    </row>
    <row r="80" spans="1:5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7BC5-DBD7-41CA-80A3-7DD6FED4FBBE}">
  <sheetPr>
    <tabColor theme="0" tint="-0.499984740745262"/>
  </sheetPr>
  <dimension ref="A1:AN193"/>
  <sheetViews>
    <sheetView zoomScale="90" zoomScaleNormal="90" workbookViewId="0">
      <selection activeCell="K197" sqref="K197"/>
    </sheetView>
  </sheetViews>
  <sheetFormatPr defaultRowHeight="15" x14ac:dyDescent="0.25"/>
  <cols>
    <col min="39" max="39" width="13.28515625" customWidth="1"/>
  </cols>
  <sheetData>
    <row r="1" spans="1:40" ht="45" x14ac:dyDescent="0.25">
      <c r="A1" s="3" t="s">
        <v>2</v>
      </c>
      <c r="B1" s="3" t="s">
        <v>3</v>
      </c>
      <c r="C1" s="3" t="s">
        <v>4</v>
      </c>
      <c r="D1" s="3" t="s">
        <v>6</v>
      </c>
      <c r="E1" s="3" t="s">
        <v>7</v>
      </c>
      <c r="F1" s="3" t="s">
        <v>43</v>
      </c>
      <c r="G1" s="3" t="s">
        <v>37</v>
      </c>
    </row>
    <row r="2" spans="1:40" x14ac:dyDescent="0.25">
      <c r="A2">
        <v>2011</v>
      </c>
      <c r="B2" t="s">
        <v>40</v>
      </c>
      <c r="C2">
        <f>'rockfish harvests'!D365</f>
        <v>11926</v>
      </c>
      <c r="D2">
        <f>'rockfish harvests'!E365</f>
        <v>10660</v>
      </c>
      <c r="E2">
        <f>'rockfish harvests'!F365</f>
        <v>3867387.9387297141</v>
      </c>
      <c r="F2">
        <f>SQRT(E2)</f>
        <v>1966.56755254675</v>
      </c>
      <c r="G2">
        <f>1.96*F2</f>
        <v>3854.4724029916301</v>
      </c>
      <c r="AM2" s="19" t="s">
        <v>55</v>
      </c>
      <c r="AN2" s="19" t="s">
        <v>56</v>
      </c>
    </row>
    <row r="3" spans="1:40" x14ac:dyDescent="0.25">
      <c r="A3">
        <v>2012</v>
      </c>
      <c r="B3" t="s">
        <v>40</v>
      </c>
      <c r="C3">
        <f>'rockfish harvests'!D366</f>
        <v>14290</v>
      </c>
      <c r="D3">
        <f>'rockfish harvests'!E366</f>
        <v>10532</v>
      </c>
      <c r="E3">
        <f>'rockfish harvests'!F366</f>
        <v>1809865.8409519477</v>
      </c>
      <c r="F3">
        <f t="shared" ref="F3:F98" si="0">SQRT(E3)</f>
        <v>1345.31254396588</v>
      </c>
      <c r="G3">
        <f t="shared" ref="G3:G98" si="1">1.96*F3</f>
        <v>2636.8125861731246</v>
      </c>
      <c r="AM3" t="s">
        <v>35</v>
      </c>
      <c r="AN3" s="17">
        <f>7/8</f>
        <v>0.875</v>
      </c>
    </row>
    <row r="4" spans="1:40" x14ac:dyDescent="0.25">
      <c r="A4">
        <v>2013</v>
      </c>
      <c r="B4" t="s">
        <v>40</v>
      </c>
      <c r="C4">
        <f>'rockfish harvests'!D367</f>
        <v>15619</v>
      </c>
      <c r="D4">
        <f>'rockfish harvests'!E367</f>
        <v>6679</v>
      </c>
      <c r="E4">
        <f>'rockfish harvests'!F367</f>
        <v>1120758.7991991951</v>
      </c>
      <c r="F4">
        <f t="shared" si="0"/>
        <v>1058.6589626500099</v>
      </c>
      <c r="G4">
        <f t="shared" si="1"/>
        <v>2074.9715667940195</v>
      </c>
      <c r="AM4" t="s">
        <v>46</v>
      </c>
      <c r="AN4" s="17">
        <v>1</v>
      </c>
    </row>
    <row r="5" spans="1:40" x14ac:dyDescent="0.25">
      <c r="A5">
        <v>2014</v>
      </c>
      <c r="B5" t="s">
        <v>40</v>
      </c>
      <c r="C5">
        <f>'rockfish harvests'!D368</f>
        <v>18453</v>
      </c>
      <c r="D5">
        <f>'rockfish harvests'!E368</f>
        <v>7370</v>
      </c>
      <c r="E5">
        <f>'rockfish harvests'!F368</f>
        <v>1795956.444219216</v>
      </c>
      <c r="F5">
        <f t="shared" si="0"/>
        <v>1340.13299497446</v>
      </c>
      <c r="G5">
        <f t="shared" si="1"/>
        <v>2626.6606701499413</v>
      </c>
      <c r="AM5" t="s">
        <v>47</v>
      </c>
      <c r="AN5" s="17">
        <f>6/8</f>
        <v>0.75</v>
      </c>
    </row>
    <row r="6" spans="1:40" x14ac:dyDescent="0.25">
      <c r="A6">
        <v>2015</v>
      </c>
      <c r="B6" t="s">
        <v>40</v>
      </c>
      <c r="C6">
        <f>'rockfish harvests'!D369</f>
        <v>17669</v>
      </c>
      <c r="D6">
        <f>'rockfish harvests'!E369</f>
        <v>5794</v>
      </c>
      <c r="E6">
        <f>'rockfish harvests'!F369</f>
        <v>1165829.0123683619</v>
      </c>
      <c r="F6">
        <f t="shared" si="0"/>
        <v>1079.73562151499</v>
      </c>
      <c r="G6">
        <f t="shared" si="1"/>
        <v>2116.2818181693806</v>
      </c>
      <c r="AM6" t="s">
        <v>48</v>
      </c>
      <c r="AN6" s="17">
        <f>7/8</f>
        <v>0.875</v>
      </c>
    </row>
    <row r="7" spans="1:40" x14ac:dyDescent="0.25">
      <c r="A7">
        <v>2016</v>
      </c>
      <c r="B7" t="s">
        <v>40</v>
      </c>
      <c r="C7">
        <f>'rockfish harvests'!D370</f>
        <v>17707</v>
      </c>
      <c r="D7">
        <f>'rockfish harvests'!E370</f>
        <v>6131</v>
      </c>
      <c r="E7">
        <f>'rockfish harvests'!F370</f>
        <v>1340603.0809649625</v>
      </c>
      <c r="F7">
        <f t="shared" si="0"/>
        <v>1157.84415227826</v>
      </c>
      <c r="G7">
        <f t="shared" si="1"/>
        <v>2269.3745384653898</v>
      </c>
      <c r="AM7" t="s">
        <v>49</v>
      </c>
      <c r="AN7" s="17">
        <f>6/8</f>
        <v>0.75</v>
      </c>
    </row>
    <row r="8" spans="1:40" x14ac:dyDescent="0.25">
      <c r="A8">
        <v>2017</v>
      </c>
      <c r="B8" t="s">
        <v>40</v>
      </c>
      <c r="C8">
        <f>'rockfish harvests'!D371</f>
        <v>20760</v>
      </c>
      <c r="D8">
        <f>'rockfish harvests'!E371</f>
        <v>8494</v>
      </c>
      <c r="E8">
        <f>'rockfish harvests'!F371</f>
        <v>2665750.1723964033</v>
      </c>
      <c r="F8">
        <f t="shared" si="0"/>
        <v>1632.71251982595</v>
      </c>
      <c r="G8">
        <f t="shared" si="1"/>
        <v>3200.116538858862</v>
      </c>
      <c r="AM8" t="s">
        <v>36</v>
      </c>
      <c r="AN8" s="17">
        <f>5/8</f>
        <v>0.625</v>
      </c>
    </row>
    <row r="9" spans="1:40" x14ac:dyDescent="0.25">
      <c r="A9">
        <v>2018</v>
      </c>
      <c r="B9" t="s">
        <v>40</v>
      </c>
      <c r="C9">
        <f>'rockfish harvests'!D372</f>
        <v>26949</v>
      </c>
      <c r="D9">
        <f>'rockfish harvests'!E372</f>
        <v>7638</v>
      </c>
      <c r="E9">
        <f>'rockfish harvests'!F372</f>
        <v>1429079.7715305276</v>
      </c>
      <c r="F9">
        <f>SQRT(E9)</f>
        <v>1195.4412455367799</v>
      </c>
      <c r="G9">
        <f>1.96*F9</f>
        <v>2343.0648412520886</v>
      </c>
      <c r="AM9" t="s">
        <v>51</v>
      </c>
      <c r="AN9" s="18">
        <v>0</v>
      </c>
    </row>
    <row r="10" spans="1:40" x14ac:dyDescent="0.25">
      <c r="A10">
        <v>2019</v>
      </c>
      <c r="B10" t="s">
        <v>40</v>
      </c>
      <c r="C10">
        <f>'rockfish harvests'!D373</f>
        <v>22912</v>
      </c>
      <c r="D10">
        <f>'rockfish harvests'!E373</f>
        <v>5714</v>
      </c>
      <c r="E10">
        <f>'rockfish harvests'!F373</f>
        <v>1122352.6726686719</v>
      </c>
      <c r="F10">
        <f>SQRT(E10)</f>
        <v>1059.4114746729299</v>
      </c>
      <c r="G10">
        <f>1.96*F10</f>
        <v>2076.4464903589424</v>
      </c>
      <c r="AN10" s="18"/>
    </row>
    <row r="11" spans="1:40" x14ac:dyDescent="0.25">
      <c r="A11">
        <v>2020</v>
      </c>
      <c r="B11" t="s">
        <v>40</v>
      </c>
      <c r="C11">
        <f>'rockfish harvests'!D374</f>
        <v>12619</v>
      </c>
      <c r="D11">
        <f>'rockfish harvests'!E374</f>
        <v>7659</v>
      </c>
      <c r="E11">
        <f>'rockfish harvests'!F374</f>
        <v>955013.16630230402</v>
      </c>
      <c r="F11">
        <f t="shared" ref="F11" si="2">SQRT(E11)</f>
        <v>977.24775072767704</v>
      </c>
      <c r="G11">
        <f t="shared" ref="G11" si="3">1.96*F11</f>
        <v>1915.4055914262469</v>
      </c>
      <c r="AN11" s="18"/>
    </row>
    <row r="12" spans="1:40" x14ac:dyDescent="0.25">
      <c r="A12">
        <v>2021</v>
      </c>
      <c r="B12" t="s">
        <v>40</v>
      </c>
      <c r="C12">
        <f>'rockfish harvests'!D375</f>
        <v>29399</v>
      </c>
      <c r="D12">
        <f>'rockfish harvests'!E375</f>
        <v>13977</v>
      </c>
      <c r="E12">
        <f>'rockfish harvests'!F375</f>
        <v>3885561.0306306407</v>
      </c>
      <c r="F12">
        <f>SQRT(E12)</f>
        <v>1971.1826477094</v>
      </c>
      <c r="G12">
        <f>1.96*F12</f>
        <v>3863.5179895104238</v>
      </c>
      <c r="AN12" s="18"/>
    </row>
    <row r="13" spans="1:40" x14ac:dyDescent="0.25">
      <c r="A13">
        <v>2022</v>
      </c>
      <c r="B13" t="s">
        <v>40</v>
      </c>
      <c r="C13">
        <f>'rockfish harvests'!D376</f>
        <v>38456</v>
      </c>
      <c r="D13">
        <f>'rockfish harvests'!E376</f>
        <v>16856</v>
      </c>
      <c r="E13">
        <f>'rockfish harvests'!F376</f>
        <v>5442889</v>
      </c>
      <c r="F13">
        <f>SQRT(E13)</f>
        <v>2333</v>
      </c>
      <c r="G13">
        <f>1.96*F13</f>
        <v>4572.68</v>
      </c>
      <c r="AN13" s="18"/>
    </row>
    <row r="14" spans="1:40" x14ac:dyDescent="0.25">
      <c r="A14">
        <v>2011</v>
      </c>
      <c r="B14" t="s">
        <v>39</v>
      </c>
      <c r="C14">
        <f>'rockfish harvests'!D340</f>
        <v>17328</v>
      </c>
      <c r="D14">
        <f>'rockfish harvests'!E340</f>
        <v>9897</v>
      </c>
      <c r="E14">
        <f>'rockfish harvests'!F340</f>
        <v>1560762.9575815795</v>
      </c>
      <c r="F14">
        <f t="shared" si="0"/>
        <v>1249.30498981697</v>
      </c>
      <c r="G14">
        <f t="shared" si="1"/>
        <v>2448.6377800412611</v>
      </c>
      <c r="AM14" t="s">
        <v>52</v>
      </c>
      <c r="AN14" s="18">
        <v>0</v>
      </c>
    </row>
    <row r="15" spans="1:40" x14ac:dyDescent="0.25">
      <c r="A15">
        <v>2012</v>
      </c>
      <c r="B15" t="s">
        <v>39</v>
      </c>
      <c r="C15">
        <f>'rockfish harvests'!D341</f>
        <v>20908</v>
      </c>
      <c r="D15">
        <f>'rockfish harvests'!E341</f>
        <v>10764</v>
      </c>
      <c r="E15">
        <f>'rockfish harvests'!F341</f>
        <v>1295199.6134174168</v>
      </c>
      <c r="F15">
        <f t="shared" si="0"/>
        <v>1138.06836939501</v>
      </c>
      <c r="G15">
        <f t="shared" si="1"/>
        <v>2230.6140040142195</v>
      </c>
      <c r="AM15" t="s">
        <v>53</v>
      </c>
      <c r="AN15" s="18">
        <f>1/8</f>
        <v>0.125</v>
      </c>
    </row>
    <row r="16" spans="1:40" x14ac:dyDescent="0.25">
      <c r="A16">
        <v>2013</v>
      </c>
      <c r="B16" t="s">
        <v>39</v>
      </c>
      <c r="C16">
        <f>'rockfish harvests'!D342</f>
        <v>24779</v>
      </c>
      <c r="D16">
        <f>'rockfish harvests'!E342</f>
        <v>16013</v>
      </c>
      <c r="E16">
        <f>'rockfish harvests'!F342</f>
        <v>3283614.9748748839</v>
      </c>
      <c r="F16">
        <f t="shared" si="0"/>
        <v>1812.0747707737901</v>
      </c>
      <c r="G16">
        <f t="shared" si="1"/>
        <v>3551.6665507166285</v>
      </c>
      <c r="AM16" t="s">
        <v>54</v>
      </c>
      <c r="AN16" s="17">
        <f>7/8</f>
        <v>0.875</v>
      </c>
    </row>
    <row r="17" spans="1:40" x14ac:dyDescent="0.25">
      <c r="A17">
        <v>2014</v>
      </c>
      <c r="B17" t="s">
        <v>39</v>
      </c>
      <c r="C17">
        <f>'rockfish harvests'!D343</f>
        <v>25686</v>
      </c>
      <c r="D17">
        <f>'rockfish harvests'!E343</f>
        <v>22008</v>
      </c>
      <c r="E17">
        <f>'rockfish harvests'!F343</f>
        <v>3750598.6105295285</v>
      </c>
      <c r="F17">
        <f t="shared" si="0"/>
        <v>1936.6462275102101</v>
      </c>
      <c r="G17">
        <f t="shared" si="1"/>
        <v>3795.8266059200118</v>
      </c>
      <c r="AM17" t="s">
        <v>42</v>
      </c>
      <c r="AN17" s="18">
        <f>3/8</f>
        <v>0.375</v>
      </c>
    </row>
    <row r="18" spans="1:40" x14ac:dyDescent="0.25">
      <c r="A18">
        <v>2015</v>
      </c>
      <c r="B18" t="s">
        <v>39</v>
      </c>
      <c r="C18">
        <f>'rockfish harvests'!D344</f>
        <v>29160</v>
      </c>
      <c r="D18">
        <f>'rockfish harvests'!E344</f>
        <v>24718</v>
      </c>
      <c r="E18">
        <f>'rockfish harvests'!F344</f>
        <v>4807157.7314104065</v>
      </c>
      <c r="F18">
        <f t="shared" si="0"/>
        <v>2192.5231427308599</v>
      </c>
      <c r="G18">
        <f t="shared" si="1"/>
        <v>4297.3453597524858</v>
      </c>
      <c r="AM18" t="s">
        <v>44</v>
      </c>
      <c r="AN18" s="18">
        <f>4/8</f>
        <v>0.5</v>
      </c>
    </row>
    <row r="19" spans="1:40" x14ac:dyDescent="0.25">
      <c r="A19">
        <v>2016</v>
      </c>
      <c r="B19" t="s">
        <v>39</v>
      </c>
      <c r="C19">
        <f>'rockfish harvests'!D345</f>
        <v>32540</v>
      </c>
      <c r="D19">
        <f>'rockfish harvests'!E345</f>
        <v>23223</v>
      </c>
      <c r="E19">
        <f>'rockfish harvests'!F345</f>
        <v>6399944.0870460356</v>
      </c>
      <c r="F19">
        <f t="shared" si="0"/>
        <v>2529.8110773427402</v>
      </c>
      <c r="G19">
        <f t="shared" si="1"/>
        <v>4958.4297115917707</v>
      </c>
      <c r="AM19" t="s">
        <v>38</v>
      </c>
      <c r="AN19" s="18">
        <f>4/8</f>
        <v>0.5</v>
      </c>
    </row>
    <row r="20" spans="1:40" x14ac:dyDescent="0.25">
      <c r="A20">
        <v>2017</v>
      </c>
      <c r="B20" t="s">
        <v>39</v>
      </c>
      <c r="C20">
        <f>'rockfish harvests'!D346</f>
        <v>30249</v>
      </c>
      <c r="D20">
        <f>'rockfish harvests'!E346</f>
        <v>17659</v>
      </c>
      <c r="E20">
        <f>'rockfish harvests'!F346</f>
        <v>2770446.5813773801</v>
      </c>
      <c r="F20">
        <f t="shared" si="0"/>
        <v>1664.46585467452</v>
      </c>
      <c r="G20">
        <f t="shared" si="1"/>
        <v>3262.3530751620592</v>
      </c>
      <c r="AM20" t="s">
        <v>41</v>
      </c>
      <c r="AN20" s="18">
        <f>3/8</f>
        <v>0.375</v>
      </c>
    </row>
    <row r="21" spans="1:40" x14ac:dyDescent="0.25">
      <c r="A21">
        <v>2018</v>
      </c>
      <c r="B21" t="s">
        <v>39</v>
      </c>
      <c r="C21">
        <f>'rockfish harvests'!D347</f>
        <v>42049</v>
      </c>
      <c r="D21">
        <f>'rockfish harvests'!E347</f>
        <v>25988</v>
      </c>
      <c r="E21">
        <f>'rockfish harvests'!F347</f>
        <v>4402089.9050961118</v>
      </c>
      <c r="F21">
        <f t="shared" si="0"/>
        <v>2098.1157987813999</v>
      </c>
      <c r="G21">
        <f t="shared" si="1"/>
        <v>4112.306965611544</v>
      </c>
      <c r="AM21" t="s">
        <v>39</v>
      </c>
      <c r="AN21" s="18">
        <f>1/8</f>
        <v>0.125</v>
      </c>
    </row>
    <row r="22" spans="1:40" x14ac:dyDescent="0.25">
      <c r="A22">
        <v>2019</v>
      </c>
      <c r="B22" t="s">
        <v>39</v>
      </c>
      <c r="C22">
        <f>'rockfish harvests'!D348</f>
        <v>35867</v>
      </c>
      <c r="D22">
        <f>'rockfish harvests'!E348</f>
        <v>16087</v>
      </c>
      <c r="E22">
        <f>'rockfish harvests'!F348</f>
        <v>2683845.0087837777</v>
      </c>
      <c r="F22">
        <f>SQRT(E22)</f>
        <v>1638.24448992932</v>
      </c>
      <c r="G22">
        <f>1.96*F22</f>
        <v>3210.9592002614672</v>
      </c>
      <c r="AN22" s="18"/>
    </row>
    <row r="23" spans="1:40" x14ac:dyDescent="0.25">
      <c r="A23">
        <v>2020</v>
      </c>
      <c r="B23" t="s">
        <v>39</v>
      </c>
      <c r="C23">
        <f>'rockfish harvests'!D349</f>
        <v>11107</v>
      </c>
      <c r="D23">
        <f>'rockfish harvests'!E349</f>
        <v>8756</v>
      </c>
      <c r="E23">
        <f>'rockfish harvests'!F349</f>
        <v>896354.9672382368</v>
      </c>
      <c r="F23">
        <f t="shared" ref="F23:F24" si="4">SQRT(E23)</f>
        <v>946.76024802387894</v>
      </c>
      <c r="G23">
        <f t="shared" ref="G23:G24" si="5">1.96*F23</f>
        <v>1855.6500861268028</v>
      </c>
      <c r="AN23" s="18"/>
    </row>
    <row r="24" spans="1:40" x14ac:dyDescent="0.25">
      <c r="A24">
        <v>2021</v>
      </c>
      <c r="B24" t="s">
        <v>39</v>
      </c>
      <c r="C24">
        <f>'rockfish harvests'!D350</f>
        <v>28388</v>
      </c>
      <c r="D24">
        <f>'rockfish harvests'!E350</f>
        <v>25059</v>
      </c>
      <c r="E24">
        <f>'rockfish harvests'!F350</f>
        <v>7645726.3204644928</v>
      </c>
      <c r="F24">
        <f t="shared" si="4"/>
        <v>2765.0906532091299</v>
      </c>
      <c r="G24">
        <f t="shared" si="5"/>
        <v>5419.5776802898945</v>
      </c>
      <c r="AN24" s="18"/>
    </row>
    <row r="25" spans="1:40" x14ac:dyDescent="0.25">
      <c r="A25">
        <v>2022</v>
      </c>
      <c r="B25" t="s">
        <v>39</v>
      </c>
      <c r="C25">
        <f>'rockfish harvests'!D351</f>
        <v>33837</v>
      </c>
      <c r="D25">
        <f>'rockfish harvests'!E351</f>
        <v>28204</v>
      </c>
      <c r="E25">
        <f>'rockfish harvests'!F351</f>
        <v>6817321</v>
      </c>
      <c r="F25">
        <f t="shared" ref="F25" si="6">SQRT(E25)</f>
        <v>2611</v>
      </c>
      <c r="G25">
        <f t="shared" ref="G25" si="7">1.96*F25</f>
        <v>5117.5599999999995</v>
      </c>
      <c r="AN25" s="18"/>
    </row>
    <row r="26" spans="1:40" x14ac:dyDescent="0.25">
      <c r="A26">
        <v>2011</v>
      </c>
      <c r="B26" t="s">
        <v>41</v>
      </c>
      <c r="C26">
        <f>'rockfish harvests'!D315</f>
        <v>8950</v>
      </c>
      <c r="D26">
        <f>'rockfish harvests'!E315</f>
        <v>4628</v>
      </c>
      <c r="E26">
        <f>'rockfish harvests'!F315</f>
        <v>1123011.175286294</v>
      </c>
      <c r="F26">
        <f t="shared" si="0"/>
        <v>1059.72221609547</v>
      </c>
      <c r="G26">
        <f t="shared" si="1"/>
        <v>2077.055543547121</v>
      </c>
      <c r="AM26" t="s">
        <v>40</v>
      </c>
      <c r="AN26" s="18">
        <f>1/8</f>
        <v>0.125</v>
      </c>
    </row>
    <row r="27" spans="1:40" x14ac:dyDescent="0.25">
      <c r="A27">
        <v>2012</v>
      </c>
      <c r="B27" t="s">
        <v>41</v>
      </c>
      <c r="C27">
        <f>'rockfish harvests'!D316</f>
        <v>8600</v>
      </c>
      <c r="D27">
        <f>'rockfish harvests'!E316</f>
        <v>4902</v>
      </c>
      <c r="E27">
        <f>'rockfish harvests'!F316</f>
        <v>817154.10041942052</v>
      </c>
      <c r="F27">
        <f t="shared" si="0"/>
        <v>903.96576285798596</v>
      </c>
      <c r="G27">
        <f t="shared" si="1"/>
        <v>1771.7728952016525</v>
      </c>
    </row>
    <row r="28" spans="1:40" x14ac:dyDescent="0.25">
      <c r="A28">
        <v>2013</v>
      </c>
      <c r="B28" t="s">
        <v>41</v>
      </c>
      <c r="C28">
        <f>'rockfish harvests'!D317</f>
        <v>6970</v>
      </c>
      <c r="D28">
        <f>'rockfish harvests'!E317</f>
        <v>5774</v>
      </c>
      <c r="E28">
        <f>'rockfish harvests'!F317</f>
        <v>1485966.2791901822</v>
      </c>
      <c r="F28">
        <f t="shared" si="0"/>
        <v>1219.00216537551</v>
      </c>
      <c r="G28">
        <f t="shared" si="1"/>
        <v>2389.2442441359995</v>
      </c>
    </row>
    <row r="29" spans="1:40" x14ac:dyDescent="0.25">
      <c r="A29">
        <v>2014</v>
      </c>
      <c r="B29" t="s">
        <v>41</v>
      </c>
      <c r="C29">
        <f>'rockfish harvests'!D318</f>
        <v>8688</v>
      </c>
      <c r="D29">
        <f>'rockfish harvests'!E318</f>
        <v>5939</v>
      </c>
      <c r="E29">
        <f>'rockfish harvests'!F318</f>
        <v>1847984.6003753652</v>
      </c>
      <c r="F29">
        <f t="shared" si="0"/>
        <v>1359.40597334842</v>
      </c>
      <c r="G29">
        <f t="shared" si="1"/>
        <v>2664.4357077629033</v>
      </c>
    </row>
    <row r="30" spans="1:40" x14ac:dyDescent="0.25">
      <c r="A30">
        <v>2015</v>
      </c>
      <c r="B30" t="s">
        <v>41</v>
      </c>
      <c r="C30">
        <f>'rockfish harvests'!D319</f>
        <v>9156</v>
      </c>
      <c r="D30">
        <f>'rockfish harvests'!E319</f>
        <v>9341</v>
      </c>
      <c r="E30">
        <f>'rockfish harvests'!F319</f>
        <v>2302346.3975565527</v>
      </c>
      <c r="F30">
        <f t="shared" si="0"/>
        <v>1517.34847597925</v>
      </c>
      <c r="G30">
        <f t="shared" si="1"/>
        <v>2974.0030129193301</v>
      </c>
    </row>
    <row r="31" spans="1:40" x14ac:dyDescent="0.25">
      <c r="A31">
        <v>2016</v>
      </c>
      <c r="B31" t="s">
        <v>41</v>
      </c>
      <c r="C31">
        <f>'rockfish harvests'!D320</f>
        <v>5839</v>
      </c>
      <c r="D31">
        <f>'rockfish harvests'!E320</f>
        <v>10348</v>
      </c>
      <c r="E31">
        <f>'rockfish harvests'!F320</f>
        <v>2978473.6189940036</v>
      </c>
      <c r="F31">
        <f t="shared" si="0"/>
        <v>1725.82548914831</v>
      </c>
      <c r="G31">
        <f t="shared" si="1"/>
        <v>3382.6179587306874</v>
      </c>
    </row>
    <row r="32" spans="1:40" x14ac:dyDescent="0.25">
      <c r="A32">
        <v>2017</v>
      </c>
      <c r="B32" t="s">
        <v>41</v>
      </c>
      <c r="C32">
        <f>'rockfish harvests'!D321</f>
        <v>9211</v>
      </c>
      <c r="D32">
        <f>'rockfish harvests'!E321</f>
        <v>6590</v>
      </c>
      <c r="E32">
        <f>'rockfish harvests'!F321</f>
        <v>2037305.5895645493</v>
      </c>
      <c r="F32">
        <f t="shared" si="0"/>
        <v>1427.3421417321599</v>
      </c>
      <c r="G32">
        <f t="shared" si="1"/>
        <v>2797.5905977950333</v>
      </c>
    </row>
    <row r="33" spans="1:7" x14ac:dyDescent="0.25">
      <c r="A33">
        <v>2018</v>
      </c>
      <c r="B33" t="s">
        <v>41</v>
      </c>
      <c r="C33">
        <f>'rockfish harvests'!D322</f>
        <v>11024</v>
      </c>
      <c r="D33">
        <f>'rockfish harvests'!E322</f>
        <v>7537</v>
      </c>
      <c r="E33">
        <f>'rockfish harvests'!F322</f>
        <v>2243253.1891891891</v>
      </c>
      <c r="F33">
        <f t="shared" si="0"/>
        <v>1497.7493746248699</v>
      </c>
      <c r="G33">
        <f t="shared" si="1"/>
        <v>2935.5887742647451</v>
      </c>
    </row>
    <row r="34" spans="1:7" x14ac:dyDescent="0.25">
      <c r="A34">
        <v>2019</v>
      </c>
      <c r="B34" t="s">
        <v>41</v>
      </c>
      <c r="C34">
        <f>'rockfish harvests'!D323</f>
        <v>11553</v>
      </c>
      <c r="D34">
        <f>'rockfish harvests'!E323</f>
        <v>9746</v>
      </c>
      <c r="E34">
        <f>'rockfish harvests'!F323</f>
        <v>2494165.4075986105</v>
      </c>
      <c r="F34">
        <f>SQRT(E34)</f>
        <v>1579.2926921880601</v>
      </c>
      <c r="G34">
        <f>1.96*F34</f>
        <v>3095.4136766885977</v>
      </c>
    </row>
    <row r="35" spans="1:7" x14ac:dyDescent="0.25">
      <c r="A35">
        <v>2020</v>
      </c>
      <c r="B35" t="s">
        <v>41</v>
      </c>
      <c r="C35">
        <f>'rockfish harvests'!D324</f>
        <v>3314</v>
      </c>
      <c r="D35">
        <f>'rockfish harvests'!E324</f>
        <v>4686</v>
      </c>
      <c r="E35">
        <f>'rockfish harvests'!F324</f>
        <v>538862.57535035186</v>
      </c>
      <c r="F35">
        <f t="shared" ref="F35" si="8">SQRT(E35)</f>
        <v>734.07259542251802</v>
      </c>
      <c r="G35">
        <f t="shared" ref="G35" si="9">1.96*F35</f>
        <v>1438.7822870281352</v>
      </c>
    </row>
    <row r="36" spans="1:7" x14ac:dyDescent="0.25">
      <c r="A36">
        <v>2021</v>
      </c>
      <c r="B36" t="s">
        <v>41</v>
      </c>
      <c r="C36">
        <f>'rockfish harvests'!D325</f>
        <v>9732</v>
      </c>
      <c r="D36">
        <f>'rockfish harvests'!E325</f>
        <v>8099</v>
      </c>
      <c r="E36">
        <f>'rockfish harvests'!F325</f>
        <v>1939914.5337327269</v>
      </c>
      <c r="F36">
        <f>SQRT(E36)</f>
        <v>1392.8081467785601</v>
      </c>
      <c r="G36">
        <f>1.96*F36</f>
        <v>2729.9039676859775</v>
      </c>
    </row>
    <row r="37" spans="1:7" x14ac:dyDescent="0.25">
      <c r="A37">
        <v>2022</v>
      </c>
      <c r="B37" t="s">
        <v>41</v>
      </c>
      <c r="C37">
        <f>'rockfish harvests'!D326</f>
        <v>10558</v>
      </c>
      <c r="D37">
        <f>'rockfish harvests'!E326</f>
        <v>9109</v>
      </c>
      <c r="E37">
        <f>'rockfish harvests'!F326</f>
        <v>2839225</v>
      </c>
      <c r="F37">
        <f>SQRT(E37)</f>
        <v>1685</v>
      </c>
      <c r="G37">
        <f>1.96*F37</f>
        <v>3302.6</v>
      </c>
    </row>
    <row r="38" spans="1:7" x14ac:dyDescent="0.25">
      <c r="A38">
        <v>2011</v>
      </c>
      <c r="B38" t="s">
        <v>38</v>
      </c>
      <c r="C38">
        <f>'rockfish harvests'!D290</f>
        <v>13281</v>
      </c>
      <c r="D38">
        <f>'rockfish harvests'!E290</f>
        <v>7431</v>
      </c>
      <c r="E38">
        <f>'rockfish harvests'!F290</f>
        <v>1243063.7045435496</v>
      </c>
      <c r="F38">
        <f t="shared" si="0"/>
        <v>1114.9276678527399</v>
      </c>
      <c r="G38">
        <f t="shared" si="1"/>
        <v>2185.2582289913703</v>
      </c>
    </row>
    <row r="39" spans="1:7" x14ac:dyDescent="0.25">
      <c r="A39">
        <v>2012</v>
      </c>
      <c r="B39" t="s">
        <v>38</v>
      </c>
      <c r="C39">
        <f>'rockfish harvests'!D291</f>
        <v>15243</v>
      </c>
      <c r="D39">
        <f>'rockfish harvests'!E291</f>
        <v>8800</v>
      </c>
      <c r="E39">
        <f>'rockfish harvests'!F291</f>
        <v>2020123.1363003007</v>
      </c>
      <c r="F39">
        <f t="shared" si="0"/>
        <v>1421.31035889432</v>
      </c>
      <c r="G39">
        <f t="shared" si="1"/>
        <v>2785.768303432867</v>
      </c>
    </row>
    <row r="40" spans="1:7" x14ac:dyDescent="0.25">
      <c r="A40">
        <v>2013</v>
      </c>
      <c r="B40" t="s">
        <v>38</v>
      </c>
      <c r="C40">
        <f>'rockfish harvests'!D292</f>
        <v>14770</v>
      </c>
      <c r="D40">
        <f>'rockfish harvests'!E292</f>
        <v>14137</v>
      </c>
      <c r="E40">
        <f>'rockfish harvests'!F292</f>
        <v>3387054.5871911976</v>
      </c>
      <c r="F40">
        <f t="shared" si="0"/>
        <v>1840.39522581189</v>
      </c>
      <c r="G40">
        <f t="shared" si="1"/>
        <v>3607.1746425913043</v>
      </c>
    </row>
    <row r="41" spans="1:7" x14ac:dyDescent="0.25">
      <c r="A41">
        <v>2014</v>
      </c>
      <c r="B41" t="s">
        <v>38</v>
      </c>
      <c r="C41">
        <f>'rockfish harvests'!D293</f>
        <v>19857</v>
      </c>
      <c r="D41">
        <f>'rockfish harvests'!E293</f>
        <v>21622</v>
      </c>
      <c r="E41">
        <f>'rockfish harvests'!F293</f>
        <v>8140018.4386776667</v>
      </c>
      <c r="F41">
        <f t="shared" si="0"/>
        <v>2853.07175491218</v>
      </c>
      <c r="G41">
        <f t="shared" si="1"/>
        <v>5592.0206396278727</v>
      </c>
    </row>
    <row r="42" spans="1:7" x14ac:dyDescent="0.25">
      <c r="A42">
        <v>2015</v>
      </c>
      <c r="B42" t="s">
        <v>38</v>
      </c>
      <c r="C42">
        <f>'rockfish harvests'!D294</f>
        <v>22095</v>
      </c>
      <c r="D42">
        <f>'rockfish harvests'!E294</f>
        <v>20210</v>
      </c>
      <c r="E42">
        <f>'rockfish harvests'!F294</f>
        <v>11318987.083259251</v>
      </c>
      <c r="F42">
        <f t="shared" si="0"/>
        <v>3364.3702357587299</v>
      </c>
      <c r="G42">
        <f t="shared" si="1"/>
        <v>6594.1656620871108</v>
      </c>
    </row>
    <row r="43" spans="1:7" x14ac:dyDescent="0.25">
      <c r="A43">
        <v>2016</v>
      </c>
      <c r="B43" t="s">
        <v>38</v>
      </c>
      <c r="C43">
        <f>'rockfish harvests'!D295</f>
        <v>25877</v>
      </c>
      <c r="D43">
        <f>'rockfish harvests'!E295</f>
        <v>22747</v>
      </c>
      <c r="E43">
        <f>'rockfish harvests'!F295</f>
        <v>6879956.9099939968</v>
      </c>
      <c r="F43">
        <f t="shared" si="0"/>
        <v>2622.9671957525502</v>
      </c>
      <c r="G43">
        <f t="shared" si="1"/>
        <v>5141.0157036749979</v>
      </c>
    </row>
    <row r="44" spans="1:7" x14ac:dyDescent="0.25">
      <c r="A44">
        <v>2017</v>
      </c>
      <c r="B44" t="s">
        <v>38</v>
      </c>
      <c r="C44">
        <f>'rockfish harvests'!D296</f>
        <v>24305</v>
      </c>
      <c r="D44">
        <f>'rockfish harvests'!E296</f>
        <v>17214</v>
      </c>
      <c r="E44">
        <f>'rockfish harvests'!F296</f>
        <v>5170433.2956546396</v>
      </c>
      <c r="F44">
        <f t="shared" si="0"/>
        <v>2273.8586797896301</v>
      </c>
      <c r="G44">
        <f t="shared" si="1"/>
        <v>4456.7630123876752</v>
      </c>
    </row>
    <row r="45" spans="1:7" x14ac:dyDescent="0.25">
      <c r="A45">
        <v>2018</v>
      </c>
      <c r="B45" t="s">
        <v>38</v>
      </c>
      <c r="C45">
        <f>'rockfish harvests'!D297</f>
        <v>34673</v>
      </c>
      <c r="D45">
        <f>'rockfish harvests'!E297</f>
        <v>22185</v>
      </c>
      <c r="E45">
        <f>'rockfish harvests'!F297</f>
        <v>7991398.7571571618</v>
      </c>
      <c r="F45">
        <f t="shared" si="0"/>
        <v>2826.9062165478999</v>
      </c>
      <c r="G45">
        <f t="shared" si="1"/>
        <v>5540.7361844338839</v>
      </c>
    </row>
    <row r="46" spans="1:7" x14ac:dyDescent="0.25">
      <c r="A46">
        <v>2019</v>
      </c>
      <c r="B46" t="s">
        <v>38</v>
      </c>
      <c r="C46">
        <f>'rockfish harvests'!D298</f>
        <v>36293</v>
      </c>
      <c r="D46">
        <f>'rockfish harvests'!E298</f>
        <v>15254</v>
      </c>
      <c r="E46">
        <f>'rockfish harvests'!F298</f>
        <v>4627249.9689599667</v>
      </c>
      <c r="F46">
        <f>SQRT(E46)</f>
        <v>2151.1043603135499</v>
      </c>
      <c r="G46">
        <f>1.96*F46</f>
        <v>4216.164546214558</v>
      </c>
    </row>
    <row r="47" spans="1:7" x14ac:dyDescent="0.25">
      <c r="A47">
        <v>2020</v>
      </c>
      <c r="B47" t="s">
        <v>38</v>
      </c>
      <c r="C47">
        <f>'rockfish harvests'!D299</f>
        <v>17585</v>
      </c>
      <c r="D47">
        <f>'rockfish harvests'!E299</f>
        <v>11282</v>
      </c>
      <c r="E47">
        <f>'rockfish harvests'!F299</f>
        <v>3378542.6395355295</v>
      </c>
      <c r="F47">
        <f t="shared" ref="F47:F48" si="10">SQRT(E47)</f>
        <v>1838.08123855708</v>
      </c>
      <c r="G47">
        <f t="shared" ref="G47:G48" si="11">1.96*F47</f>
        <v>3602.6392275718767</v>
      </c>
    </row>
    <row r="48" spans="1:7" x14ac:dyDescent="0.25">
      <c r="A48">
        <v>2021</v>
      </c>
      <c r="B48" t="s">
        <v>38</v>
      </c>
      <c r="C48">
        <f>'rockfish harvests'!D300</f>
        <v>33151</v>
      </c>
      <c r="D48">
        <f>'rockfish harvests'!E300</f>
        <v>24203</v>
      </c>
      <c r="E48">
        <f>'rockfish harvests'!F300</f>
        <v>9549873.3804114126</v>
      </c>
      <c r="F48">
        <f t="shared" si="10"/>
        <v>3090.2869414362499</v>
      </c>
      <c r="G48">
        <f t="shared" si="11"/>
        <v>6056.9624052150493</v>
      </c>
    </row>
    <row r="49" spans="1:7" x14ac:dyDescent="0.25">
      <c r="A49">
        <v>2022</v>
      </c>
      <c r="B49" t="s">
        <v>38</v>
      </c>
      <c r="C49">
        <f>'rockfish harvests'!D301</f>
        <v>34168</v>
      </c>
      <c r="D49">
        <f>'rockfish harvests'!E301</f>
        <v>20926</v>
      </c>
      <c r="E49">
        <f>'rockfish harvests'!F301</f>
        <v>7795264</v>
      </c>
      <c r="F49">
        <f t="shared" ref="F49" si="12">SQRT(E49)</f>
        <v>2792</v>
      </c>
      <c r="G49">
        <f t="shared" ref="G49" si="13">1.96*F49</f>
        <v>5472.32</v>
      </c>
    </row>
    <row r="50" spans="1:7" x14ac:dyDescent="0.25">
      <c r="A50">
        <v>2011</v>
      </c>
      <c r="B50" t="s">
        <v>44</v>
      </c>
      <c r="C50">
        <f>'rockfish harvests'!D265</f>
        <v>2848</v>
      </c>
      <c r="D50">
        <f>'rockfish harvests'!E265</f>
        <v>1832</v>
      </c>
      <c r="E50">
        <f>'rockfish harvests'!F265</f>
        <v>176053.86633733797</v>
      </c>
      <c r="F50">
        <f t="shared" si="0"/>
        <v>419.58773377845301</v>
      </c>
      <c r="G50">
        <f t="shared" si="1"/>
        <v>822.39195820576788</v>
      </c>
    </row>
    <row r="51" spans="1:7" x14ac:dyDescent="0.25">
      <c r="A51">
        <v>2012</v>
      </c>
      <c r="B51" t="s">
        <v>44</v>
      </c>
      <c r="C51">
        <f>'rockfish harvests'!D266</f>
        <v>3241</v>
      </c>
      <c r="D51">
        <f>'rockfish harvests'!E266</f>
        <v>3119</v>
      </c>
      <c r="E51">
        <f>'rockfish harvests'!F266</f>
        <v>542335.47303203226</v>
      </c>
      <c r="F51">
        <f t="shared" si="0"/>
        <v>736.434296480027</v>
      </c>
      <c r="G51">
        <f t="shared" si="1"/>
        <v>1443.4112211008528</v>
      </c>
    </row>
    <row r="52" spans="1:7" x14ac:dyDescent="0.25">
      <c r="A52">
        <v>2013</v>
      </c>
      <c r="B52" t="s">
        <v>44</v>
      </c>
      <c r="C52">
        <f>'rockfish harvests'!D267</f>
        <v>3884</v>
      </c>
      <c r="D52">
        <f>'rockfish harvests'!E267</f>
        <v>3921</v>
      </c>
      <c r="E52">
        <f>'rockfish harvests'!F267</f>
        <v>740603.94434434373</v>
      </c>
      <c r="F52">
        <f t="shared" si="0"/>
        <v>860.58349062966795</v>
      </c>
      <c r="G52">
        <f t="shared" si="1"/>
        <v>1686.7436416341491</v>
      </c>
    </row>
    <row r="53" spans="1:7" x14ac:dyDescent="0.25">
      <c r="A53">
        <v>2014</v>
      </c>
      <c r="B53" t="s">
        <v>44</v>
      </c>
      <c r="C53">
        <f>'rockfish harvests'!D268</f>
        <v>4695</v>
      </c>
      <c r="D53">
        <f>'rockfish harvests'!E268</f>
        <v>5580</v>
      </c>
      <c r="E53">
        <f>'rockfish harvests'!F268</f>
        <v>939072.82569669676</v>
      </c>
      <c r="F53">
        <f t="shared" si="0"/>
        <v>969.05769987998997</v>
      </c>
      <c r="G53">
        <f t="shared" si="1"/>
        <v>1899.3530917647804</v>
      </c>
    </row>
    <row r="54" spans="1:7" x14ac:dyDescent="0.25">
      <c r="A54">
        <v>2015</v>
      </c>
      <c r="B54" t="s">
        <v>44</v>
      </c>
      <c r="C54">
        <f>'rockfish harvests'!D269</f>
        <v>5729</v>
      </c>
      <c r="D54">
        <f>'rockfish harvests'!E269</f>
        <v>3233</v>
      </c>
      <c r="E54">
        <f>'rockfish harvests'!F269</f>
        <v>480192.66438838851</v>
      </c>
      <c r="F54">
        <f t="shared" si="0"/>
        <v>692.95935262350599</v>
      </c>
      <c r="G54">
        <f t="shared" si="1"/>
        <v>1358.2003311420717</v>
      </c>
    </row>
    <row r="55" spans="1:7" x14ac:dyDescent="0.25">
      <c r="A55">
        <v>2016</v>
      </c>
      <c r="B55" t="s">
        <v>44</v>
      </c>
      <c r="C55">
        <f>'rockfish harvests'!D270</f>
        <v>7499</v>
      </c>
      <c r="D55">
        <f>'rockfish harvests'!E270</f>
        <v>4013</v>
      </c>
      <c r="E55">
        <f>'rockfish harvests'!F270</f>
        <v>586930.85270870931</v>
      </c>
      <c r="F55">
        <f t="shared" si="0"/>
        <v>766.11412512021298</v>
      </c>
      <c r="G55">
        <f t="shared" si="1"/>
        <v>1501.5836852356174</v>
      </c>
    </row>
    <row r="56" spans="1:7" x14ac:dyDescent="0.25">
      <c r="A56">
        <v>2017</v>
      </c>
      <c r="B56" t="s">
        <v>44</v>
      </c>
      <c r="C56">
        <f>'rockfish harvests'!D271</f>
        <v>6324</v>
      </c>
      <c r="D56">
        <f>'rockfish harvests'!E271</f>
        <v>4914</v>
      </c>
      <c r="E56">
        <f>'rockfish harvests'!F271</f>
        <v>953920.55854254263</v>
      </c>
      <c r="F56">
        <f t="shared" si="0"/>
        <v>976.68856783651495</v>
      </c>
      <c r="G56">
        <f t="shared" si="1"/>
        <v>1914.3095929595693</v>
      </c>
    </row>
    <row r="57" spans="1:7" x14ac:dyDescent="0.25">
      <c r="A57">
        <v>2018</v>
      </c>
      <c r="B57" t="s">
        <v>44</v>
      </c>
      <c r="C57">
        <f>'rockfish harvests'!D272</f>
        <v>8659</v>
      </c>
      <c r="D57">
        <f>'rockfish harvests'!E272</f>
        <v>5631</v>
      </c>
      <c r="E57">
        <f>'rockfish harvests'!F272</f>
        <v>802849.63153153332</v>
      </c>
      <c r="F57">
        <f t="shared" si="0"/>
        <v>896.01876739917304</v>
      </c>
      <c r="G57">
        <f t="shared" si="1"/>
        <v>1756.1967841023791</v>
      </c>
    </row>
    <row r="58" spans="1:7" x14ac:dyDescent="0.25">
      <c r="A58">
        <v>2019</v>
      </c>
      <c r="B58" t="s">
        <v>44</v>
      </c>
      <c r="C58">
        <f>'rockfish harvests'!D273</f>
        <v>7908</v>
      </c>
      <c r="D58">
        <f>'rockfish harvests'!E273</f>
        <v>5157</v>
      </c>
      <c r="E58">
        <f>'rockfish harvests'!F273</f>
        <v>902980.76940040092</v>
      </c>
      <c r="F58">
        <f>SQRT(E58)</f>
        <v>950.25300283682395</v>
      </c>
      <c r="G58">
        <f>1.96*F58</f>
        <v>1862.4958855601749</v>
      </c>
    </row>
    <row r="59" spans="1:7" x14ac:dyDescent="0.25">
      <c r="A59">
        <v>2020</v>
      </c>
      <c r="B59" t="s">
        <v>44</v>
      </c>
      <c r="C59">
        <f>'rockfish harvests'!D274</f>
        <v>4059</v>
      </c>
      <c r="D59">
        <f>'rockfish harvests'!E274</f>
        <v>2605</v>
      </c>
      <c r="E59">
        <f>'rockfish harvests'!F274</f>
        <v>215364.23074975031</v>
      </c>
      <c r="F59">
        <f t="shared" ref="F59:F60" si="14">SQRT(E59)</f>
        <v>464.07351869046602</v>
      </c>
      <c r="G59">
        <f t="shared" ref="G59:G60" si="15">1.96*F59</f>
        <v>909.58409663331338</v>
      </c>
    </row>
    <row r="60" spans="1:7" x14ac:dyDescent="0.25">
      <c r="A60">
        <v>2021</v>
      </c>
      <c r="B60" t="s">
        <v>44</v>
      </c>
      <c r="C60">
        <f>'rockfish harvests'!D275</f>
        <v>7343</v>
      </c>
      <c r="D60">
        <f>'rockfish harvests'!E275</f>
        <v>6733</v>
      </c>
      <c r="E60">
        <f>'rockfish harvests'!F275</f>
        <v>1258320.732851845</v>
      </c>
      <c r="F60">
        <f t="shared" si="14"/>
        <v>1121.74896160052</v>
      </c>
      <c r="G60">
        <f t="shared" si="15"/>
        <v>2198.6279647370193</v>
      </c>
    </row>
    <row r="61" spans="1:7" x14ac:dyDescent="0.25">
      <c r="A61">
        <v>2022</v>
      </c>
      <c r="B61" t="s">
        <v>44</v>
      </c>
      <c r="C61">
        <f>'rockfish harvests'!D276</f>
        <v>6780</v>
      </c>
      <c r="D61">
        <f>'rockfish harvests'!E276</f>
        <v>7254</v>
      </c>
      <c r="E61">
        <f>'rockfish harvests'!F276</f>
        <v>1882384</v>
      </c>
      <c r="F61">
        <f t="shared" ref="F61" si="16">SQRT(E61)</f>
        <v>1372</v>
      </c>
      <c r="G61">
        <f t="shared" ref="G61" si="17">1.96*F61</f>
        <v>2689.12</v>
      </c>
    </row>
    <row r="62" spans="1:7" x14ac:dyDescent="0.25">
      <c r="A62">
        <v>2011</v>
      </c>
      <c r="B62" t="s">
        <v>42</v>
      </c>
      <c r="C62">
        <f>'rockfish harvests'!D240</f>
        <v>58843</v>
      </c>
      <c r="D62">
        <f>'rockfish harvests'!E240</f>
        <v>41675</v>
      </c>
      <c r="E62">
        <f>'rockfish harvests'!F240</f>
        <v>10242682.237273294</v>
      </c>
      <c r="F62">
        <f t="shared" si="0"/>
        <v>3200.4190721331001</v>
      </c>
      <c r="G62">
        <f t="shared" si="1"/>
        <v>6272.8213813808761</v>
      </c>
    </row>
    <row r="63" spans="1:7" x14ac:dyDescent="0.25">
      <c r="A63">
        <v>2012</v>
      </c>
      <c r="B63" t="s">
        <v>42</v>
      </c>
      <c r="C63">
        <f>'rockfish harvests'!D241</f>
        <v>57675</v>
      </c>
      <c r="D63">
        <f>'rockfish harvests'!E241</f>
        <v>52345</v>
      </c>
      <c r="E63">
        <f>'rockfish harvests'!F241</f>
        <v>13685724.066841852</v>
      </c>
      <c r="F63">
        <f t="shared" si="0"/>
        <v>3699.4221260680501</v>
      </c>
      <c r="G63">
        <f t="shared" si="1"/>
        <v>7250.8673670933786</v>
      </c>
    </row>
    <row r="64" spans="1:7" x14ac:dyDescent="0.25">
      <c r="A64">
        <v>2013</v>
      </c>
      <c r="B64" t="s">
        <v>42</v>
      </c>
      <c r="C64">
        <f>'rockfish harvests'!D242</f>
        <v>60735</v>
      </c>
      <c r="D64">
        <f>'rockfish harvests'!E242</f>
        <v>49080</v>
      </c>
      <c r="E64">
        <f>'rockfish harvests'!F242</f>
        <v>12607924.147123162</v>
      </c>
      <c r="F64">
        <f t="shared" si="0"/>
        <v>3550.76388219819</v>
      </c>
      <c r="G64">
        <f t="shared" si="1"/>
        <v>6959.4972091084519</v>
      </c>
    </row>
    <row r="65" spans="1:7" x14ac:dyDescent="0.25">
      <c r="A65">
        <v>2014</v>
      </c>
      <c r="B65" t="s">
        <v>42</v>
      </c>
      <c r="C65">
        <f>'rockfish harvests'!D243</f>
        <v>73709</v>
      </c>
      <c r="D65">
        <f>'rockfish harvests'!E243</f>
        <v>66961</v>
      </c>
      <c r="E65">
        <f>'rockfish harvests'!F243</f>
        <v>20277301.63682786</v>
      </c>
      <c r="F65">
        <f t="shared" si="0"/>
        <v>4503.0324934234995</v>
      </c>
      <c r="G65">
        <f t="shared" si="1"/>
        <v>8825.9436871100588</v>
      </c>
    </row>
    <row r="66" spans="1:7" x14ac:dyDescent="0.25">
      <c r="A66">
        <v>2015</v>
      </c>
      <c r="B66" t="s">
        <v>42</v>
      </c>
      <c r="C66">
        <f>'rockfish harvests'!D244</f>
        <v>80105</v>
      </c>
      <c r="D66">
        <f>'rockfish harvests'!E244</f>
        <v>69569</v>
      </c>
      <c r="E66">
        <f>'rockfish harvests'!F244</f>
        <v>21055774.694533534</v>
      </c>
      <c r="F66">
        <f t="shared" si="0"/>
        <v>4588.65717770826</v>
      </c>
      <c r="G66">
        <f t="shared" si="1"/>
        <v>8993.768068308189</v>
      </c>
    </row>
    <row r="67" spans="1:7" x14ac:dyDescent="0.25">
      <c r="A67">
        <v>2016</v>
      </c>
      <c r="B67" t="s">
        <v>42</v>
      </c>
      <c r="C67">
        <f>'rockfish harvests'!D245</f>
        <v>54908</v>
      </c>
      <c r="D67">
        <f>'rockfish harvests'!E245</f>
        <v>54929</v>
      </c>
      <c r="E67">
        <f>'rockfish harvests'!F245</f>
        <v>12343701.534990964</v>
      </c>
      <c r="F67">
        <f t="shared" si="0"/>
        <v>3513.3604334014699</v>
      </c>
      <c r="G67">
        <f t="shared" si="1"/>
        <v>6886.1864494668807</v>
      </c>
    </row>
    <row r="68" spans="1:7" x14ac:dyDescent="0.25">
      <c r="A68">
        <v>2017</v>
      </c>
      <c r="B68" t="s">
        <v>42</v>
      </c>
      <c r="C68">
        <f>'rockfish harvests'!D246</f>
        <v>57388</v>
      </c>
      <c r="D68">
        <f>'rockfish harvests'!E246</f>
        <v>44003</v>
      </c>
      <c r="E68">
        <f>'rockfish harvests'!F246</f>
        <v>10063359.055830875</v>
      </c>
      <c r="F68">
        <f t="shared" si="0"/>
        <v>3172.2797883905</v>
      </c>
      <c r="G68">
        <f t="shared" si="1"/>
        <v>6217.6683852453798</v>
      </c>
    </row>
    <row r="69" spans="1:7" x14ac:dyDescent="0.25">
      <c r="A69">
        <v>2018</v>
      </c>
      <c r="B69" t="s">
        <v>42</v>
      </c>
      <c r="C69">
        <f>'rockfish harvests'!D247</f>
        <v>55460</v>
      </c>
      <c r="D69">
        <f>'rockfish harvests'!E247</f>
        <v>47886</v>
      </c>
      <c r="E69">
        <f>'rockfish harvests'!F247</f>
        <v>14252941.161912879</v>
      </c>
      <c r="F69">
        <f t="shared" si="0"/>
        <v>3775.3067639481801</v>
      </c>
      <c r="G69">
        <f t="shared" si="1"/>
        <v>7399.6012573384332</v>
      </c>
    </row>
    <row r="70" spans="1:7" x14ac:dyDescent="0.25">
      <c r="A70">
        <v>2019</v>
      </c>
      <c r="B70" t="s">
        <v>42</v>
      </c>
      <c r="C70">
        <f>'rockfish harvests'!D248</f>
        <v>59842</v>
      </c>
      <c r="D70">
        <f>'rockfish harvests'!E248</f>
        <v>44354</v>
      </c>
      <c r="E70">
        <f>'rockfish harvests'!F248</f>
        <v>9559839.3355916012</v>
      </c>
      <c r="F70">
        <f>SQRT(E70)</f>
        <v>3091.8989853472899</v>
      </c>
      <c r="G70">
        <f>1.96*F70</f>
        <v>6060.1220112806877</v>
      </c>
    </row>
    <row r="71" spans="1:7" x14ac:dyDescent="0.25">
      <c r="A71">
        <v>2020</v>
      </c>
      <c r="B71" t="s">
        <v>42</v>
      </c>
      <c r="C71">
        <f>'rockfish harvests'!D249</f>
        <v>24728</v>
      </c>
      <c r="D71">
        <f>'rockfish harvests'!E249</f>
        <v>23972</v>
      </c>
      <c r="E71">
        <f>'rockfish harvests'!F249</f>
        <v>2929407.5649889908</v>
      </c>
      <c r="F71">
        <f t="shared" ref="F71:F72" si="18">SQRT(E71)</f>
        <v>1711.55121599939</v>
      </c>
      <c r="G71">
        <f t="shared" ref="G71:G72" si="19">1.96*F71</f>
        <v>3354.6403833588042</v>
      </c>
    </row>
    <row r="72" spans="1:7" x14ac:dyDescent="0.25">
      <c r="A72">
        <v>2021</v>
      </c>
      <c r="B72" t="s">
        <v>42</v>
      </c>
      <c r="C72">
        <f>'rockfish harvests'!D250</f>
        <v>56521</v>
      </c>
      <c r="D72">
        <f>'rockfish harvests'!E250</f>
        <v>57621</v>
      </c>
      <c r="E72">
        <f>'rockfish harvests'!F250</f>
        <v>16759884.709748719</v>
      </c>
      <c r="F72">
        <f t="shared" si="18"/>
        <v>4093.8838173241702</v>
      </c>
      <c r="G72">
        <f t="shared" si="19"/>
        <v>8024.0122819553735</v>
      </c>
    </row>
    <row r="73" spans="1:7" x14ac:dyDescent="0.25">
      <c r="A73">
        <v>2022</v>
      </c>
      <c r="B73" t="s">
        <v>42</v>
      </c>
      <c r="C73">
        <f>'rockfish harvests'!D251</f>
        <v>67729</v>
      </c>
      <c r="D73">
        <f>'rockfish harvests'!E251</f>
        <v>62221</v>
      </c>
      <c r="E73">
        <f>'rockfish harvests'!F251</f>
        <v>17598025</v>
      </c>
      <c r="F73">
        <f t="shared" ref="F73" si="20">SQRT(E73)</f>
        <v>4195</v>
      </c>
      <c r="G73">
        <f t="shared" ref="G73" si="21">1.96*F73</f>
        <v>8222.2000000000007</v>
      </c>
    </row>
    <row r="74" spans="1:7" x14ac:dyDescent="0.25">
      <c r="A74">
        <v>2011</v>
      </c>
      <c r="B74" t="s">
        <v>45</v>
      </c>
      <c r="C74">
        <f>'rockfish harvests'!D15</f>
        <v>3052</v>
      </c>
      <c r="D74">
        <f>'rockfish harvests'!E15</f>
        <v>1879</v>
      </c>
      <c r="E74">
        <f>'rockfish harvests'!F15</f>
        <v>363784.7037397403</v>
      </c>
      <c r="F74">
        <f t="shared" si="0"/>
        <v>603.14567373043496</v>
      </c>
      <c r="G74">
        <f t="shared" si="1"/>
        <v>1182.1655205116524</v>
      </c>
    </row>
    <row r="75" spans="1:7" x14ac:dyDescent="0.25">
      <c r="A75">
        <v>2012</v>
      </c>
      <c r="B75" t="s">
        <v>45</v>
      </c>
      <c r="C75">
        <f>'rockfish harvests'!D16</f>
        <v>3025</v>
      </c>
      <c r="D75">
        <f>'rockfish harvests'!E16</f>
        <v>1969</v>
      </c>
      <c r="E75">
        <f>'rockfish harvests'!F16</f>
        <v>185157.30107707661</v>
      </c>
      <c r="F75">
        <f t="shared" si="0"/>
        <v>430.299083286354</v>
      </c>
      <c r="G75">
        <f t="shared" si="1"/>
        <v>843.38620324125384</v>
      </c>
    </row>
    <row r="76" spans="1:7" x14ac:dyDescent="0.25">
      <c r="A76">
        <v>2013</v>
      </c>
      <c r="B76" t="s">
        <v>45</v>
      </c>
      <c r="C76">
        <f>'rockfish harvests'!D17</f>
        <v>2487</v>
      </c>
      <c r="D76">
        <f>'rockfish harvests'!E17</f>
        <v>3854</v>
      </c>
      <c r="E76">
        <f>'rockfish harvests'!F17</f>
        <v>627331.7504664677</v>
      </c>
      <c r="F76">
        <f t="shared" si="0"/>
        <v>792.04277060425704</v>
      </c>
      <c r="G76">
        <f t="shared" si="1"/>
        <v>1552.4038303843438</v>
      </c>
    </row>
    <row r="77" spans="1:7" x14ac:dyDescent="0.25">
      <c r="A77">
        <v>2014</v>
      </c>
      <c r="B77" t="s">
        <v>45</v>
      </c>
      <c r="C77">
        <f>'rockfish harvests'!D18</f>
        <v>2843</v>
      </c>
      <c r="D77">
        <f>'rockfish harvests'!E18</f>
        <v>2246</v>
      </c>
      <c r="E77">
        <f>'rockfish harvests'!F18</f>
        <v>393472.21569970029</v>
      </c>
      <c r="F77">
        <f t="shared" si="0"/>
        <v>627.27363701952299</v>
      </c>
      <c r="G77">
        <f t="shared" si="1"/>
        <v>1229.4563285582651</v>
      </c>
    </row>
    <row r="78" spans="1:7" x14ac:dyDescent="0.25">
      <c r="A78">
        <v>2015</v>
      </c>
      <c r="B78" t="s">
        <v>45</v>
      </c>
      <c r="C78">
        <f>'rockfish harvests'!D19</f>
        <v>3919</v>
      </c>
      <c r="D78">
        <f>'rockfish harvests'!E19</f>
        <v>2803</v>
      </c>
      <c r="E78">
        <f>'rockfish harvests'!F19</f>
        <v>433491.106097096</v>
      </c>
      <c r="F78">
        <f t="shared" si="0"/>
        <v>658.40041471516099</v>
      </c>
      <c r="G78">
        <f t="shared" si="1"/>
        <v>1290.4648128417155</v>
      </c>
    </row>
    <row r="79" spans="1:7" x14ac:dyDescent="0.25">
      <c r="A79">
        <v>2016</v>
      </c>
      <c r="B79" t="s">
        <v>45</v>
      </c>
      <c r="C79">
        <f>'rockfish harvests'!D20</f>
        <v>5287</v>
      </c>
      <c r="D79">
        <f>'rockfish harvests'!E20</f>
        <v>5009</v>
      </c>
      <c r="E79">
        <f>'rockfish harvests'!F20</f>
        <v>1202196.1427988084</v>
      </c>
      <c r="F79">
        <f t="shared" si="0"/>
        <v>1096.44705426154</v>
      </c>
      <c r="G79">
        <f t="shared" si="1"/>
        <v>2149.0362263526181</v>
      </c>
    </row>
    <row r="80" spans="1:7" x14ac:dyDescent="0.25">
      <c r="A80">
        <v>2017</v>
      </c>
      <c r="B80" t="s">
        <v>45</v>
      </c>
      <c r="C80">
        <f>'rockfish harvests'!D21</f>
        <v>4756</v>
      </c>
      <c r="D80">
        <f>'rockfish harvests'!E21</f>
        <v>4033</v>
      </c>
      <c r="E80">
        <f>'rockfish harvests'!F21</f>
        <v>807947.31687587558</v>
      </c>
      <c r="F80">
        <f t="shared" si="0"/>
        <v>898.85889708890102</v>
      </c>
      <c r="G80">
        <f t="shared" si="1"/>
        <v>1761.763438294246</v>
      </c>
    </row>
    <row r="81" spans="1:7" x14ac:dyDescent="0.25">
      <c r="A81">
        <v>2018</v>
      </c>
      <c r="B81" t="s">
        <v>45</v>
      </c>
      <c r="C81">
        <f>'rockfish harvests'!D22</f>
        <v>5694</v>
      </c>
      <c r="D81">
        <f>'rockfish harvests'!E22</f>
        <v>4452</v>
      </c>
      <c r="E81">
        <f>'rockfish harvests'!F22</f>
        <v>1148849.8470910951</v>
      </c>
      <c r="F81">
        <f t="shared" si="0"/>
        <v>1071.84413376717</v>
      </c>
      <c r="G81">
        <f t="shared" si="1"/>
        <v>2100.8145021836531</v>
      </c>
    </row>
    <row r="82" spans="1:7" x14ac:dyDescent="0.25">
      <c r="A82">
        <v>2019</v>
      </c>
      <c r="B82" t="s">
        <v>45</v>
      </c>
      <c r="C82">
        <f>'rockfish harvests'!D23</f>
        <v>6782</v>
      </c>
      <c r="D82">
        <f>'rockfish harvests'!E23</f>
        <v>4471</v>
      </c>
      <c r="E82">
        <f>'rockfish harvests'!F23</f>
        <v>1079051.1470470487</v>
      </c>
      <c r="F82">
        <f>SQRT(E82)</f>
        <v>1038.7738671371401</v>
      </c>
      <c r="G82">
        <f>1.96*F82</f>
        <v>2035.9967795887944</v>
      </c>
    </row>
    <row r="83" spans="1:7" x14ac:dyDescent="0.25">
      <c r="A83">
        <v>2020</v>
      </c>
      <c r="B83" t="s">
        <v>45</v>
      </c>
      <c r="C83">
        <f>'rockfish harvests'!D24</f>
        <v>5835</v>
      </c>
      <c r="D83">
        <f>'rockfish harvests'!E24</f>
        <v>3343</v>
      </c>
      <c r="E83">
        <f>'rockfish harvests'!F24</f>
        <v>430086.30718318297</v>
      </c>
      <c r="F83">
        <f t="shared" ref="F83:F84" si="22">SQRT(E83)</f>
        <v>655.80965773857201</v>
      </c>
      <c r="G83">
        <f t="shared" ref="G83:G84" si="23">1.96*F83</f>
        <v>1285.386929167601</v>
      </c>
    </row>
    <row r="84" spans="1:7" x14ac:dyDescent="0.25">
      <c r="A84">
        <v>2021</v>
      </c>
      <c r="B84" t="s">
        <v>45</v>
      </c>
      <c r="C84">
        <f>'rockfish harvests'!D25</f>
        <v>9007</v>
      </c>
      <c r="D84">
        <f>'rockfish harvests'!E25</f>
        <v>8516</v>
      </c>
      <c r="E84">
        <f>'rockfish harvests'!F25</f>
        <v>2362897.2666416327</v>
      </c>
      <c r="F84">
        <f t="shared" si="22"/>
        <v>1537.17184030987</v>
      </c>
      <c r="G84">
        <f t="shared" si="23"/>
        <v>3012.8568070073452</v>
      </c>
    </row>
    <row r="85" spans="1:7" x14ac:dyDescent="0.25">
      <c r="A85">
        <v>2022</v>
      </c>
      <c r="B85" t="s">
        <v>45</v>
      </c>
      <c r="C85">
        <f>'rockfish harvests'!D26</f>
        <v>9241</v>
      </c>
      <c r="D85">
        <f>'rockfish harvests'!E26</f>
        <v>6339</v>
      </c>
      <c r="E85">
        <f>'rockfish harvests'!F26</f>
        <v>1466521</v>
      </c>
      <c r="F85">
        <f t="shared" ref="F85" si="24">SQRT(E85)</f>
        <v>1211</v>
      </c>
      <c r="G85">
        <f t="shared" ref="G85" si="25">1.96*F85</f>
        <v>2373.56</v>
      </c>
    </row>
    <row r="86" spans="1:7" x14ac:dyDescent="0.25">
      <c r="A86">
        <v>2011</v>
      </c>
      <c r="B86" t="s">
        <v>46</v>
      </c>
      <c r="C86">
        <v>5</v>
      </c>
      <c r="D86">
        <v>0</v>
      </c>
      <c r="E86">
        <v>0</v>
      </c>
      <c r="F86">
        <f t="shared" si="0"/>
        <v>0</v>
      </c>
      <c r="G86">
        <f t="shared" si="1"/>
        <v>0</v>
      </c>
    </row>
    <row r="87" spans="1:7" x14ac:dyDescent="0.25">
      <c r="A87">
        <v>2012</v>
      </c>
      <c r="B87" t="s">
        <v>46</v>
      </c>
      <c r="C87">
        <v>13</v>
      </c>
      <c r="D87">
        <v>70</v>
      </c>
      <c r="E87">
        <v>5074.1533373373331</v>
      </c>
      <c r="F87">
        <f t="shared" si="0"/>
        <v>71.233091589073496</v>
      </c>
      <c r="G87">
        <f t="shared" si="1"/>
        <v>139.61685951458404</v>
      </c>
    </row>
    <row r="88" spans="1:7" x14ac:dyDescent="0.25">
      <c r="A88">
        <v>2013</v>
      </c>
      <c r="B88" t="s">
        <v>46</v>
      </c>
      <c r="C88">
        <v>0</v>
      </c>
      <c r="D88">
        <v>137</v>
      </c>
      <c r="E88">
        <v>18419.363338338266</v>
      </c>
      <c r="F88">
        <f t="shared" si="0"/>
        <v>135.717955106678</v>
      </c>
      <c r="G88">
        <f t="shared" si="1"/>
        <v>266.0071920090889</v>
      </c>
    </row>
    <row r="89" spans="1:7" x14ac:dyDescent="0.25">
      <c r="A89">
        <v>2014</v>
      </c>
      <c r="B89" t="s">
        <v>46</v>
      </c>
      <c r="C89">
        <v>44</v>
      </c>
      <c r="D89">
        <v>71</v>
      </c>
      <c r="E89">
        <v>4782.3895805805823</v>
      </c>
      <c r="F89">
        <f t="shared" si="0"/>
        <v>69.1548232633168</v>
      </c>
      <c r="G89">
        <f t="shared" si="1"/>
        <v>135.54345359610093</v>
      </c>
    </row>
    <row r="90" spans="1:7" x14ac:dyDescent="0.25">
      <c r="A90">
        <v>2015</v>
      </c>
      <c r="B90" t="s">
        <v>46</v>
      </c>
      <c r="C90">
        <v>21</v>
      </c>
      <c r="D90">
        <v>274</v>
      </c>
      <c r="E90">
        <v>70467.053772772779</v>
      </c>
      <c r="F90">
        <f t="shared" si="0"/>
        <v>265.45631236188899</v>
      </c>
      <c r="G90">
        <f t="shared" si="1"/>
        <v>520.29437222930244</v>
      </c>
    </row>
    <row r="91" spans="1:7" x14ac:dyDescent="0.25">
      <c r="A91">
        <v>2016</v>
      </c>
      <c r="B91" t="s">
        <v>46</v>
      </c>
      <c r="C91">
        <v>1</v>
      </c>
      <c r="D91">
        <v>81</v>
      </c>
      <c r="E91">
        <v>6742.6158918919045</v>
      </c>
      <c r="F91">
        <f t="shared" si="0"/>
        <v>82.113433078223593</v>
      </c>
      <c r="G91">
        <f t="shared" si="1"/>
        <v>160.94232883331824</v>
      </c>
    </row>
    <row r="92" spans="1:7" x14ac:dyDescent="0.25">
      <c r="A92">
        <v>2017</v>
      </c>
      <c r="B92" t="s">
        <v>46</v>
      </c>
      <c r="C92">
        <f>6+1</f>
        <v>7</v>
      </c>
      <c r="D92">
        <v>0</v>
      </c>
      <c r="E92">
        <v>0</v>
      </c>
      <c r="F92">
        <f t="shared" si="0"/>
        <v>0</v>
      </c>
      <c r="G92">
        <f t="shared" si="1"/>
        <v>0</v>
      </c>
    </row>
    <row r="93" spans="1:7" x14ac:dyDescent="0.25">
      <c r="A93">
        <v>2018</v>
      </c>
      <c r="B93" t="s">
        <v>46</v>
      </c>
      <c r="C93">
        <f>13+92</f>
        <v>105</v>
      </c>
      <c r="D93">
        <v>35</v>
      </c>
      <c r="E93">
        <v>1320.36672572573</v>
      </c>
      <c r="F93">
        <f t="shared" si="0"/>
        <v>36.3368507953803</v>
      </c>
      <c r="G93">
        <f t="shared" si="1"/>
        <v>71.220227558945382</v>
      </c>
    </row>
    <row r="94" spans="1:7" x14ac:dyDescent="0.25">
      <c r="A94">
        <v>2019</v>
      </c>
      <c r="B94" t="s">
        <v>46</v>
      </c>
      <c r="C94">
        <v>91</v>
      </c>
      <c r="D94">
        <v>460</v>
      </c>
      <c r="E94">
        <v>64625.830934935024</v>
      </c>
      <c r="F94">
        <f>SQRT(E94)</f>
        <v>254.21611069114999</v>
      </c>
      <c r="G94">
        <f>1.96*F94</f>
        <v>498.26357695465396</v>
      </c>
    </row>
    <row r="95" spans="1:7" x14ac:dyDescent="0.25">
      <c r="A95">
        <v>2020</v>
      </c>
      <c r="B95" t="s">
        <v>46</v>
      </c>
      <c r="C95">
        <v>1</v>
      </c>
      <c r="D95">
        <v>437</v>
      </c>
      <c r="E95">
        <v>61914.706351851899</v>
      </c>
      <c r="F95">
        <f t="shared" ref="F95:F96" si="26">SQRT(E95)</f>
        <v>248.82665924665687</v>
      </c>
      <c r="G95">
        <f t="shared" ref="G95:G96" si="27">1.96*F95</f>
        <v>487.70025212344746</v>
      </c>
    </row>
    <row r="96" spans="1:7" x14ac:dyDescent="0.25">
      <c r="A96">
        <v>2021</v>
      </c>
      <c r="B96" t="s">
        <v>46</v>
      </c>
      <c r="C96">
        <v>1</v>
      </c>
      <c r="D96">
        <v>554.20000000000005</v>
      </c>
      <c r="E96">
        <v>79411.707537337395</v>
      </c>
      <c r="F96">
        <f t="shared" si="26"/>
        <v>281.80082955402634</v>
      </c>
      <c r="G96">
        <f t="shared" si="27"/>
        <v>552.32962592589161</v>
      </c>
    </row>
    <row r="97" spans="1:7" x14ac:dyDescent="0.25">
      <c r="A97">
        <v>2022</v>
      </c>
      <c r="B97" t="s">
        <v>46</v>
      </c>
      <c r="C97">
        <v>1</v>
      </c>
      <c r="D97">
        <v>554.20000000000005</v>
      </c>
      <c r="E97">
        <v>79411.707537337395</v>
      </c>
      <c r="F97">
        <f t="shared" ref="F97" si="28">SQRT(E97)</f>
        <v>281.80082955402634</v>
      </c>
      <c r="G97">
        <f t="shared" ref="G97" si="29">1.96*F97</f>
        <v>552.32962592589161</v>
      </c>
    </row>
    <row r="98" spans="1:7" x14ac:dyDescent="0.25">
      <c r="A98">
        <v>2011</v>
      </c>
      <c r="B98" t="s">
        <v>53</v>
      </c>
      <c r="C98">
        <f>689+60</f>
        <v>749</v>
      </c>
      <c r="D98">
        <v>77</v>
      </c>
      <c r="E98">
        <v>5927.6646396396372</v>
      </c>
      <c r="F98">
        <f t="shared" si="0"/>
        <v>76.991328340532206</v>
      </c>
      <c r="G98">
        <f t="shared" si="1"/>
        <v>150.90300354744312</v>
      </c>
    </row>
    <row r="99" spans="1:7" x14ac:dyDescent="0.25">
      <c r="A99">
        <v>2012</v>
      </c>
      <c r="B99" t="s">
        <v>53</v>
      </c>
      <c r="C99">
        <f>918+121</f>
        <v>1039</v>
      </c>
      <c r="D99">
        <v>257</v>
      </c>
      <c r="E99">
        <v>34927.817717717902</v>
      </c>
      <c r="F99">
        <f t="shared" ref="F99:F189" si="30">SQRT(E99)</f>
        <v>186.88985450718801</v>
      </c>
      <c r="G99">
        <f t="shared" ref="G99:G189" si="31">1.96*F99</f>
        <v>366.30411483408847</v>
      </c>
    </row>
    <row r="100" spans="1:7" x14ac:dyDescent="0.25">
      <c r="A100">
        <v>2013</v>
      </c>
      <c r="B100" t="s">
        <v>53</v>
      </c>
      <c r="C100">
        <f>1035+69</f>
        <v>1104</v>
      </c>
      <c r="D100">
        <v>396</v>
      </c>
      <c r="E100">
        <v>125493.79963563567</v>
      </c>
      <c r="F100">
        <f t="shared" si="30"/>
        <v>354.25104041574201</v>
      </c>
      <c r="G100">
        <f t="shared" si="31"/>
        <v>694.33203921485438</v>
      </c>
    </row>
    <row r="101" spans="1:7" x14ac:dyDescent="0.25">
      <c r="A101">
        <v>2014</v>
      </c>
      <c r="B101" t="s">
        <v>53</v>
      </c>
      <c r="C101">
        <f>653+62</f>
        <v>715</v>
      </c>
      <c r="D101">
        <v>390</v>
      </c>
      <c r="E101">
        <v>113569.70467967985</v>
      </c>
      <c r="F101">
        <f t="shared" si="30"/>
        <v>337.00104551719102</v>
      </c>
      <c r="G101">
        <f t="shared" si="31"/>
        <v>660.52204921369434</v>
      </c>
    </row>
    <row r="102" spans="1:7" x14ac:dyDescent="0.25">
      <c r="A102">
        <v>2015</v>
      </c>
      <c r="B102" t="s">
        <v>53</v>
      </c>
      <c r="C102">
        <f>619+43</f>
        <v>662</v>
      </c>
      <c r="D102">
        <v>107</v>
      </c>
      <c r="E102">
        <v>10932.453569569478</v>
      </c>
      <c r="F102">
        <f t="shared" si="30"/>
        <v>104.55837398109</v>
      </c>
      <c r="G102">
        <f t="shared" si="31"/>
        <v>204.9344130029364</v>
      </c>
    </row>
    <row r="103" spans="1:7" x14ac:dyDescent="0.25">
      <c r="A103">
        <v>2016</v>
      </c>
      <c r="B103" t="s">
        <v>53</v>
      </c>
      <c r="C103">
        <f>774+7+30</f>
        <v>811</v>
      </c>
      <c r="D103">
        <v>18</v>
      </c>
      <c r="E103">
        <v>331.22710610610517</v>
      </c>
      <c r="F103">
        <f t="shared" si="30"/>
        <v>18.199645768698499</v>
      </c>
      <c r="G103">
        <f t="shared" si="31"/>
        <v>35.671305706649058</v>
      </c>
    </row>
    <row r="104" spans="1:7" x14ac:dyDescent="0.25">
      <c r="A104">
        <v>2017</v>
      </c>
      <c r="B104" t="s">
        <v>53</v>
      </c>
      <c r="C104">
        <f>666+61</f>
        <v>727</v>
      </c>
      <c r="D104">
        <v>0</v>
      </c>
      <c r="E104">
        <v>0</v>
      </c>
      <c r="F104">
        <f t="shared" si="30"/>
        <v>0</v>
      </c>
      <c r="G104">
        <f t="shared" si="31"/>
        <v>0</v>
      </c>
    </row>
    <row r="105" spans="1:7" x14ac:dyDescent="0.25">
      <c r="A105">
        <v>2018</v>
      </c>
      <c r="B105" t="s">
        <v>53</v>
      </c>
      <c r="C105">
        <f>100+10+652+19</f>
        <v>781</v>
      </c>
      <c r="D105">
        <v>0</v>
      </c>
      <c r="E105">
        <v>0</v>
      </c>
      <c r="F105">
        <f t="shared" si="30"/>
        <v>0</v>
      </c>
      <c r="G105">
        <f t="shared" si="31"/>
        <v>0</v>
      </c>
    </row>
    <row r="106" spans="1:7" x14ac:dyDescent="0.25">
      <c r="A106">
        <v>2019</v>
      </c>
      <c r="B106" t="s">
        <v>53</v>
      </c>
      <c r="C106">
        <v>762</v>
      </c>
      <c r="D106">
        <v>325</v>
      </c>
      <c r="E106">
        <v>45534.35425425414</v>
      </c>
      <c r="F106">
        <f>SQRT(E106)</f>
        <v>213.38780249642701</v>
      </c>
      <c r="G106">
        <f>1.96*F106</f>
        <v>418.24009289299693</v>
      </c>
    </row>
    <row r="107" spans="1:7" x14ac:dyDescent="0.25">
      <c r="A107">
        <v>2020</v>
      </c>
      <c r="B107" t="s">
        <v>53</v>
      </c>
      <c r="C107">
        <f>774+7+30</f>
        <v>811</v>
      </c>
      <c r="D107">
        <v>316</v>
      </c>
      <c r="E107">
        <v>45368.740701201103</v>
      </c>
      <c r="F107">
        <f t="shared" ref="F107:F108" si="32">SQRT(E107)</f>
        <v>212.99939131650376</v>
      </c>
      <c r="G107">
        <f t="shared" ref="G107:G108" si="33">1.96*F107</f>
        <v>417.47880698034737</v>
      </c>
    </row>
    <row r="108" spans="1:7" x14ac:dyDescent="0.25">
      <c r="A108">
        <v>2021</v>
      </c>
      <c r="B108" t="s">
        <v>53</v>
      </c>
      <c r="C108">
        <f>100+10+652+19</f>
        <v>781</v>
      </c>
      <c r="D108">
        <v>529.66666666666697</v>
      </c>
      <c r="E108">
        <v>75669.772353019594</v>
      </c>
      <c r="F108">
        <f t="shared" si="32"/>
        <v>275.08139223331625</v>
      </c>
      <c r="G108">
        <f t="shared" si="33"/>
        <v>539.1595287772999</v>
      </c>
    </row>
    <row r="109" spans="1:7" x14ac:dyDescent="0.25">
      <c r="A109">
        <v>2022</v>
      </c>
      <c r="B109" t="s">
        <v>53</v>
      </c>
      <c r="C109">
        <f>100+10+652+19</f>
        <v>781</v>
      </c>
      <c r="D109">
        <v>529.66666666666697</v>
      </c>
      <c r="E109">
        <v>75669.772353019594</v>
      </c>
      <c r="F109">
        <f t="shared" ref="F109" si="34">SQRT(E109)</f>
        <v>275.08139223331625</v>
      </c>
      <c r="G109">
        <f t="shared" ref="G109" si="35">1.96*F109</f>
        <v>539.1595287772999</v>
      </c>
    </row>
    <row r="110" spans="1:7" x14ac:dyDescent="0.25">
      <c r="A110">
        <v>2011</v>
      </c>
      <c r="B110" t="s">
        <v>47</v>
      </c>
      <c r="C110">
        <f>'rockfish harvests'!D90</f>
        <v>3046</v>
      </c>
      <c r="D110">
        <f>'rockfish harvests'!E90</f>
        <v>3090</v>
      </c>
      <c r="E110">
        <f>'rockfish harvests'!F90</f>
        <v>271781.70067567605</v>
      </c>
      <c r="F110">
        <f t="shared" si="30"/>
        <v>521.32686548429103</v>
      </c>
      <c r="G110">
        <f t="shared" si="31"/>
        <v>1021.8006563492104</v>
      </c>
    </row>
    <row r="111" spans="1:7" x14ac:dyDescent="0.25">
      <c r="A111">
        <v>2012</v>
      </c>
      <c r="B111" t="s">
        <v>47</v>
      </c>
      <c r="C111">
        <f>'rockfish harvests'!D91</f>
        <v>4677</v>
      </c>
      <c r="D111">
        <f>'rockfish harvests'!E91</f>
        <v>3725</v>
      </c>
      <c r="E111">
        <f>'rockfish harvests'!F91</f>
        <v>397497.76136136171</v>
      </c>
      <c r="F111">
        <f t="shared" si="30"/>
        <v>630.47423528750301</v>
      </c>
      <c r="G111">
        <f t="shared" si="31"/>
        <v>1235.7295011635058</v>
      </c>
    </row>
    <row r="112" spans="1:7" x14ac:dyDescent="0.25">
      <c r="A112">
        <v>2013</v>
      </c>
      <c r="B112" t="s">
        <v>47</v>
      </c>
      <c r="C112">
        <f>'rockfish harvests'!D92</f>
        <v>4808</v>
      </c>
      <c r="D112">
        <f>'rockfish harvests'!E92</f>
        <v>4037</v>
      </c>
      <c r="E112">
        <f>'rockfish harvests'!F92</f>
        <v>420611.36510910874</v>
      </c>
      <c r="F112">
        <f t="shared" si="30"/>
        <v>648.54557674006901</v>
      </c>
      <c r="G112">
        <f t="shared" si="31"/>
        <v>1271.1493304105352</v>
      </c>
    </row>
    <row r="113" spans="1:7" x14ac:dyDescent="0.25">
      <c r="A113">
        <v>2014</v>
      </c>
      <c r="B113" t="s">
        <v>47</v>
      </c>
      <c r="C113">
        <f>'rockfish harvests'!D93</f>
        <v>4731</v>
      </c>
      <c r="D113">
        <f>'rockfish harvests'!E93</f>
        <v>6907</v>
      </c>
      <c r="E113">
        <f>'rockfish harvests'!F93</f>
        <v>856869.26777878113</v>
      </c>
      <c r="F113">
        <f t="shared" si="30"/>
        <v>925.67233283639905</v>
      </c>
      <c r="G113">
        <f t="shared" si="31"/>
        <v>1814.3177723593421</v>
      </c>
    </row>
    <row r="114" spans="1:7" x14ac:dyDescent="0.25">
      <c r="A114">
        <v>2015</v>
      </c>
      <c r="B114" t="s">
        <v>47</v>
      </c>
      <c r="C114">
        <f>'rockfish harvests'!D94</f>
        <v>6321</v>
      </c>
      <c r="D114">
        <f>'rockfish harvests'!E94</f>
        <v>6611</v>
      </c>
      <c r="E114">
        <f>'rockfish harvests'!F94</f>
        <v>769997.81975575699</v>
      </c>
      <c r="F114">
        <f t="shared" si="30"/>
        <v>877.49519642887901</v>
      </c>
      <c r="G114">
        <f t="shared" si="31"/>
        <v>1719.8905850006029</v>
      </c>
    </row>
    <row r="115" spans="1:7" x14ac:dyDescent="0.25">
      <c r="A115">
        <v>2016</v>
      </c>
      <c r="B115" t="s">
        <v>47</v>
      </c>
      <c r="C115">
        <f>'rockfish harvests'!D95</f>
        <v>10123</v>
      </c>
      <c r="D115">
        <f>'rockfish harvests'!E95</f>
        <v>9545</v>
      </c>
      <c r="E115">
        <f>'rockfish harvests'!F95</f>
        <v>1166196.6307867859</v>
      </c>
      <c r="F115">
        <f t="shared" si="30"/>
        <v>1079.9058434821</v>
      </c>
      <c r="G115">
        <f t="shared" si="31"/>
        <v>2116.6154532249157</v>
      </c>
    </row>
    <row r="116" spans="1:7" x14ac:dyDescent="0.25">
      <c r="A116">
        <v>2017</v>
      </c>
      <c r="B116" t="s">
        <v>47</v>
      </c>
      <c r="C116">
        <f>'rockfish harvests'!D96</f>
        <v>8376</v>
      </c>
      <c r="D116">
        <f>'rockfish harvests'!E96</f>
        <v>8163</v>
      </c>
      <c r="E116">
        <f>'rockfish harvests'!F96</f>
        <v>988291.94354254159</v>
      </c>
      <c r="F116">
        <f t="shared" si="30"/>
        <v>994.12873590020604</v>
      </c>
      <c r="G116">
        <f t="shared" si="31"/>
        <v>1948.4923223644039</v>
      </c>
    </row>
    <row r="117" spans="1:7" x14ac:dyDescent="0.25">
      <c r="A117">
        <v>2018</v>
      </c>
      <c r="B117" t="s">
        <v>47</v>
      </c>
      <c r="C117">
        <f>'rockfish harvests'!D97</f>
        <v>13009</v>
      </c>
      <c r="D117">
        <f>'rockfish harvests'!E97</f>
        <v>8296</v>
      </c>
      <c r="E117">
        <f>'rockfish harvests'!F97</f>
        <v>1244537.532476468</v>
      </c>
      <c r="F117">
        <f t="shared" si="30"/>
        <v>1115.58842431986</v>
      </c>
      <c r="G117">
        <f t="shared" si="31"/>
        <v>2186.5533116669258</v>
      </c>
    </row>
    <row r="118" spans="1:7" x14ac:dyDescent="0.25">
      <c r="A118">
        <v>2019</v>
      </c>
      <c r="B118" t="s">
        <v>47</v>
      </c>
      <c r="C118">
        <f>'rockfish harvests'!D98</f>
        <v>16061</v>
      </c>
      <c r="D118">
        <f>'rockfish harvests'!E98</f>
        <v>7349</v>
      </c>
      <c r="E118">
        <f>'rockfish harvests'!F98</f>
        <v>1026108.003002</v>
      </c>
      <c r="F118">
        <f>SQRT(E118)</f>
        <v>1012.96989244597</v>
      </c>
      <c r="G118">
        <f>1.96*F118</f>
        <v>1985.4209891941011</v>
      </c>
    </row>
    <row r="119" spans="1:7" x14ac:dyDescent="0.25">
      <c r="A119">
        <v>2020</v>
      </c>
      <c r="B119" t="s">
        <v>47</v>
      </c>
      <c r="C119">
        <f>'rockfish harvests'!D99</f>
        <v>9784</v>
      </c>
      <c r="D119">
        <f>'rockfish harvests'!E99</f>
        <v>4920</v>
      </c>
      <c r="E119">
        <f>'rockfish harvests'!F99</f>
        <v>431065.91887487448</v>
      </c>
      <c r="F119">
        <f t="shared" ref="F119:F120" si="36">SQRT(E119)</f>
        <v>656.55610489498497</v>
      </c>
      <c r="G119">
        <f t="shared" ref="G119:G120" si="37">1.96*F119</f>
        <v>1286.8499655941705</v>
      </c>
    </row>
    <row r="120" spans="1:7" x14ac:dyDescent="0.25">
      <c r="A120">
        <v>2021</v>
      </c>
      <c r="B120" t="s">
        <v>47</v>
      </c>
      <c r="C120">
        <f>'rockfish harvests'!D100</f>
        <v>14326</v>
      </c>
      <c r="D120">
        <f>'rockfish harvests'!E100</f>
        <v>12552</v>
      </c>
      <c r="E120">
        <f>'rockfish harvests'!F100</f>
        <v>2301376.8632142129</v>
      </c>
      <c r="F120">
        <f t="shared" si="36"/>
        <v>1517.0289592536501</v>
      </c>
      <c r="G120">
        <f t="shared" si="37"/>
        <v>2973.3767601371542</v>
      </c>
    </row>
    <row r="121" spans="1:7" x14ac:dyDescent="0.25">
      <c r="A121">
        <v>2022</v>
      </c>
      <c r="B121" t="s">
        <v>47</v>
      </c>
      <c r="C121">
        <f>'rockfish harvests'!D101</f>
        <v>13586</v>
      </c>
      <c r="D121">
        <f>'rockfish harvests'!E101</f>
        <v>11657</v>
      </c>
      <c r="E121">
        <f>'rockfish harvests'!F101</f>
        <v>2169729</v>
      </c>
      <c r="F121">
        <f t="shared" ref="F121" si="38">SQRT(E121)</f>
        <v>1473</v>
      </c>
      <c r="G121">
        <f t="shared" ref="G121" si="39">1.96*F121</f>
        <v>2887.08</v>
      </c>
    </row>
    <row r="122" spans="1:7" x14ac:dyDescent="0.25">
      <c r="A122">
        <v>2011</v>
      </c>
      <c r="B122" t="s">
        <v>48</v>
      </c>
      <c r="C122">
        <f>'rockfish harvests'!D115</f>
        <v>1928</v>
      </c>
      <c r="D122">
        <f>'rockfish harvests'!E115</f>
        <v>1611</v>
      </c>
      <c r="E122">
        <f>'rockfish harvests'!F115</f>
        <v>234019.09331731763</v>
      </c>
      <c r="F122">
        <f t="shared" si="30"/>
        <v>483.75519978323501</v>
      </c>
      <c r="G122">
        <f t="shared" si="31"/>
        <v>948.16019157514063</v>
      </c>
    </row>
    <row r="123" spans="1:7" x14ac:dyDescent="0.25">
      <c r="A123">
        <v>2012</v>
      </c>
      <c r="B123" t="s">
        <v>48</v>
      </c>
      <c r="C123">
        <f>'rockfish harvests'!D116</f>
        <v>3433</v>
      </c>
      <c r="D123">
        <f>'rockfish harvests'!E116</f>
        <v>3279</v>
      </c>
      <c r="E123">
        <f>'rockfish harvests'!F116</f>
        <v>722961.9843593596</v>
      </c>
      <c r="F123">
        <f t="shared" si="30"/>
        <v>850.27171207759204</v>
      </c>
      <c r="G123">
        <f t="shared" si="31"/>
        <v>1666.5325556720804</v>
      </c>
    </row>
    <row r="124" spans="1:7" x14ac:dyDescent="0.25">
      <c r="A124">
        <v>2013</v>
      </c>
      <c r="B124" t="s">
        <v>48</v>
      </c>
      <c r="C124">
        <f>'rockfish harvests'!D117</f>
        <v>2207</v>
      </c>
      <c r="D124">
        <f>'rockfish harvests'!E117</f>
        <v>2108</v>
      </c>
      <c r="E124">
        <f>'rockfish harvests'!F117</f>
        <v>348619.63040540554</v>
      </c>
      <c r="F124">
        <f t="shared" si="30"/>
        <v>590.44020053296299</v>
      </c>
      <c r="G124">
        <f t="shared" si="31"/>
        <v>1157.2627930446074</v>
      </c>
    </row>
    <row r="125" spans="1:7" x14ac:dyDescent="0.25">
      <c r="A125">
        <v>2014</v>
      </c>
      <c r="B125" t="s">
        <v>48</v>
      </c>
      <c r="C125">
        <f>'rockfish harvests'!D118</f>
        <v>3551</v>
      </c>
      <c r="D125">
        <f>'rockfish harvests'!E118</f>
        <v>3029</v>
      </c>
      <c r="E125">
        <f>'rockfish harvests'!F118</f>
        <v>593307.65881781862</v>
      </c>
      <c r="F125">
        <f t="shared" si="30"/>
        <v>770.26466803159201</v>
      </c>
      <c r="G125">
        <f t="shared" si="31"/>
        <v>1509.7187493419203</v>
      </c>
    </row>
    <row r="126" spans="1:7" x14ac:dyDescent="0.25">
      <c r="A126">
        <v>2015</v>
      </c>
      <c r="B126" t="s">
        <v>48</v>
      </c>
      <c r="C126">
        <f>'rockfish harvests'!D119</f>
        <v>2787</v>
      </c>
      <c r="D126">
        <f>'rockfish harvests'!E119</f>
        <v>2033</v>
      </c>
      <c r="E126">
        <f>'rockfish harvests'!F119</f>
        <v>412089.59622022061</v>
      </c>
      <c r="F126">
        <f t="shared" si="30"/>
        <v>641.94205051563699</v>
      </c>
      <c r="G126">
        <f t="shared" si="31"/>
        <v>1258.2064190106485</v>
      </c>
    </row>
    <row r="127" spans="1:7" x14ac:dyDescent="0.25">
      <c r="A127">
        <v>2016</v>
      </c>
      <c r="B127" t="s">
        <v>48</v>
      </c>
      <c r="C127">
        <f>'rockfish harvests'!D120</f>
        <v>3561</v>
      </c>
      <c r="D127">
        <f>'rockfish harvests'!E120</f>
        <v>2512</v>
      </c>
      <c r="E127">
        <f>'rockfish harvests'!F120</f>
        <v>737293.04611712019</v>
      </c>
      <c r="F127">
        <f t="shared" si="30"/>
        <v>858.65770020254297</v>
      </c>
      <c r="G127">
        <f t="shared" si="31"/>
        <v>1682.9690923969843</v>
      </c>
    </row>
    <row r="128" spans="1:7" x14ac:dyDescent="0.25">
      <c r="A128">
        <v>2017</v>
      </c>
      <c r="B128" t="s">
        <v>48</v>
      </c>
      <c r="C128">
        <f>'rockfish harvests'!D121</f>
        <v>3933</v>
      </c>
      <c r="D128">
        <f>'rockfish harvests'!E121</f>
        <v>2144</v>
      </c>
      <c r="E128">
        <f>'rockfish harvests'!F121</f>
        <v>280432.76311411388</v>
      </c>
      <c r="F128">
        <f t="shared" si="30"/>
        <v>529.55902703486595</v>
      </c>
      <c r="G128">
        <f t="shared" si="31"/>
        <v>1037.9356929883372</v>
      </c>
    </row>
    <row r="129" spans="1:7" x14ac:dyDescent="0.25">
      <c r="A129">
        <v>2018</v>
      </c>
      <c r="B129" t="s">
        <v>48</v>
      </c>
      <c r="C129">
        <f>'rockfish harvests'!D122</f>
        <v>3914</v>
      </c>
      <c r="D129">
        <f>'rockfish harvests'!E122</f>
        <v>3004</v>
      </c>
      <c r="E129">
        <f>'rockfish harvests'!F122</f>
        <v>672614.38643043162</v>
      </c>
      <c r="F129">
        <f t="shared" si="30"/>
        <v>820.13071301496302</v>
      </c>
      <c r="G129">
        <f t="shared" si="31"/>
        <v>1607.4561975093275</v>
      </c>
    </row>
    <row r="130" spans="1:7" x14ac:dyDescent="0.25">
      <c r="A130">
        <v>2019</v>
      </c>
      <c r="B130" t="s">
        <v>48</v>
      </c>
      <c r="C130">
        <f>'rockfish harvests'!D123</f>
        <v>5680</v>
      </c>
      <c r="D130">
        <f>'rockfish harvests'!E123</f>
        <v>1831</v>
      </c>
      <c r="E130">
        <f>'rockfish harvests'!F123</f>
        <v>541050.77915415505</v>
      </c>
      <c r="F130">
        <f>SQRT(E130)</f>
        <v>735.56154001834204</v>
      </c>
      <c r="G130">
        <f>1.96*F130</f>
        <v>1441.7006184359504</v>
      </c>
    </row>
    <row r="131" spans="1:7" x14ac:dyDescent="0.25">
      <c r="A131">
        <v>2020</v>
      </c>
      <c r="B131" t="s">
        <v>48</v>
      </c>
      <c r="C131">
        <f>'rockfish harvests'!D124</f>
        <v>1507</v>
      </c>
      <c r="D131">
        <f>'rockfish harvests'!E124</f>
        <v>2289</v>
      </c>
      <c r="E131">
        <f>'rockfish harvests'!F124</f>
        <v>233242.22538938923</v>
      </c>
      <c r="F131">
        <f t="shared" ref="F131:F132" si="40">SQRT(E131)</f>
        <v>482.951576650692</v>
      </c>
      <c r="G131">
        <f t="shared" ref="G131:G132" si="41">1.96*F131</f>
        <v>946.58509023535635</v>
      </c>
    </row>
    <row r="132" spans="1:7" x14ac:dyDescent="0.25">
      <c r="A132">
        <v>2021</v>
      </c>
      <c r="B132" t="s">
        <v>48</v>
      </c>
      <c r="C132">
        <f>'rockfish harvests'!D125</f>
        <v>2885</v>
      </c>
      <c r="D132">
        <f>'rockfish harvests'!E125</f>
        <v>8516</v>
      </c>
      <c r="E132">
        <f>'rockfish harvests'!F125</f>
        <v>2362897.2666416327</v>
      </c>
      <c r="F132">
        <f t="shared" si="40"/>
        <v>1537.17184030987</v>
      </c>
      <c r="G132">
        <f t="shared" si="41"/>
        <v>3012.8568070073452</v>
      </c>
    </row>
    <row r="133" spans="1:7" x14ac:dyDescent="0.25">
      <c r="A133">
        <v>2022</v>
      </c>
      <c r="B133" t="s">
        <v>48</v>
      </c>
      <c r="C133">
        <f>'rockfish harvests'!D126</f>
        <v>1829</v>
      </c>
      <c r="D133">
        <f>'rockfish harvests'!E126</f>
        <v>6339</v>
      </c>
      <c r="E133">
        <f>'rockfish harvests'!F126</f>
        <v>1466521</v>
      </c>
      <c r="F133">
        <f t="shared" ref="F133" si="42">SQRT(E133)</f>
        <v>1211</v>
      </c>
      <c r="G133">
        <f t="shared" ref="G133" si="43">1.96*F133</f>
        <v>2373.56</v>
      </c>
    </row>
    <row r="134" spans="1:7" x14ac:dyDescent="0.25">
      <c r="A134">
        <v>2011</v>
      </c>
      <c r="B134" t="s">
        <v>54</v>
      </c>
      <c r="C134">
        <f>'rockfish harvests'!D40</f>
        <v>1366</v>
      </c>
      <c r="D134">
        <f>'rockfish harvests'!E40</f>
        <v>991</v>
      </c>
      <c r="E134">
        <f>'rockfish harvests'!F40</f>
        <v>93606.430714714777</v>
      </c>
      <c r="F134">
        <f t="shared" si="30"/>
        <v>305.95168035935802</v>
      </c>
      <c r="G134">
        <f t="shared" si="31"/>
        <v>599.66529350434166</v>
      </c>
    </row>
    <row r="135" spans="1:7" x14ac:dyDescent="0.25">
      <c r="A135">
        <v>2012</v>
      </c>
      <c r="B135" t="s">
        <v>54</v>
      </c>
      <c r="C135">
        <f>'rockfish harvests'!D41</f>
        <v>1747</v>
      </c>
      <c r="D135">
        <f>'rockfish harvests'!E41</f>
        <v>612</v>
      </c>
      <c r="E135">
        <f>'rockfish harvests'!F41</f>
        <v>37368.602801802022</v>
      </c>
      <c r="F135">
        <f t="shared" si="30"/>
        <v>193.30960349088201</v>
      </c>
      <c r="G135">
        <f t="shared" si="31"/>
        <v>378.88682284212871</v>
      </c>
    </row>
    <row r="136" spans="1:7" x14ac:dyDescent="0.25">
      <c r="A136">
        <v>2013</v>
      </c>
      <c r="B136" t="s">
        <v>54</v>
      </c>
      <c r="C136">
        <f>'rockfish harvests'!D42</f>
        <v>1983</v>
      </c>
      <c r="D136">
        <f>'rockfish harvests'!E42</f>
        <v>2072</v>
      </c>
      <c r="E136">
        <f>'rockfish harvests'!F42</f>
        <v>290813.90840440401</v>
      </c>
      <c r="F136">
        <f t="shared" si="30"/>
        <v>539.27164620847998</v>
      </c>
      <c r="G136">
        <f t="shared" si="31"/>
        <v>1056.9724265686207</v>
      </c>
    </row>
    <row r="137" spans="1:7" x14ac:dyDescent="0.25">
      <c r="A137">
        <v>2014</v>
      </c>
      <c r="B137" t="s">
        <v>54</v>
      </c>
      <c r="C137">
        <f>'rockfish harvests'!D43</f>
        <v>2396</v>
      </c>
      <c r="D137">
        <f>'rockfish harvests'!E43</f>
        <v>2239</v>
      </c>
      <c r="E137">
        <f>'rockfish harvests'!F43</f>
        <v>356324.55903003004</v>
      </c>
      <c r="F137">
        <f t="shared" si="30"/>
        <v>596.92927473028999</v>
      </c>
      <c r="G137">
        <f t="shared" si="31"/>
        <v>1169.9813784713683</v>
      </c>
    </row>
    <row r="138" spans="1:7" x14ac:dyDescent="0.25">
      <c r="A138">
        <v>2015</v>
      </c>
      <c r="B138" t="s">
        <v>54</v>
      </c>
      <c r="C138">
        <f>'rockfish harvests'!D44</f>
        <v>2031</v>
      </c>
      <c r="D138">
        <f>'rockfish harvests'!E44</f>
        <v>1753</v>
      </c>
      <c r="E138">
        <f>'rockfish harvests'!F44</f>
        <v>589204.68546046084</v>
      </c>
      <c r="F138">
        <f t="shared" si="30"/>
        <v>767.59669453461095</v>
      </c>
      <c r="G138">
        <f t="shared" si="31"/>
        <v>1504.4895212878375</v>
      </c>
    </row>
    <row r="139" spans="1:7" x14ac:dyDescent="0.25">
      <c r="A139">
        <v>2016</v>
      </c>
      <c r="B139" t="s">
        <v>54</v>
      </c>
      <c r="C139">
        <f>'rockfish harvests'!D45</f>
        <v>3337</v>
      </c>
      <c r="D139">
        <f>'rockfish harvests'!E45</f>
        <v>5009</v>
      </c>
      <c r="E139">
        <f>'rockfish harvests'!F45</f>
        <v>1202196.1427988084</v>
      </c>
      <c r="F139">
        <f t="shared" si="30"/>
        <v>1096.44705426154</v>
      </c>
      <c r="G139">
        <f t="shared" si="31"/>
        <v>2149.0362263526181</v>
      </c>
    </row>
    <row r="140" spans="1:7" x14ac:dyDescent="0.25">
      <c r="A140">
        <v>2017</v>
      </c>
      <c r="B140" t="s">
        <v>54</v>
      </c>
      <c r="C140">
        <f>'rockfish harvests'!D46</f>
        <v>2899</v>
      </c>
      <c r="D140">
        <f>'rockfish harvests'!E46</f>
        <v>2144</v>
      </c>
      <c r="E140">
        <f>'rockfish harvests'!F46</f>
        <v>280432.76311411388</v>
      </c>
      <c r="F140">
        <f t="shared" si="30"/>
        <v>529.55902703486595</v>
      </c>
      <c r="G140">
        <f t="shared" si="31"/>
        <v>1037.9356929883372</v>
      </c>
    </row>
    <row r="141" spans="1:7" x14ac:dyDescent="0.25">
      <c r="A141">
        <v>2018</v>
      </c>
      <c r="B141" t="s">
        <v>54</v>
      </c>
      <c r="C141">
        <f>'rockfish harvests'!D47</f>
        <v>4291</v>
      </c>
      <c r="D141">
        <f>'rockfish harvests'!E47</f>
        <v>3896</v>
      </c>
      <c r="E141">
        <f>'rockfish harvests'!F47</f>
        <v>1060621.9609919984</v>
      </c>
      <c r="F141">
        <f t="shared" si="30"/>
        <v>1029.8650207634</v>
      </c>
      <c r="G141">
        <f t="shared" si="31"/>
        <v>2018.535440696264</v>
      </c>
    </row>
    <row r="142" spans="1:7" x14ac:dyDescent="0.25">
      <c r="A142">
        <v>2019</v>
      </c>
      <c r="B142" t="s">
        <v>54</v>
      </c>
      <c r="C142">
        <f>'rockfish harvests'!D48</f>
        <v>6954</v>
      </c>
      <c r="D142">
        <f>'rockfish harvests'!E48</f>
        <v>4471</v>
      </c>
      <c r="E142">
        <f>'rockfish harvests'!F48</f>
        <v>1079051.1470470487</v>
      </c>
      <c r="F142">
        <f>SQRT(E142)</f>
        <v>1038.7738671371401</v>
      </c>
      <c r="G142">
        <f>1.96*F142</f>
        <v>2035.9967795887944</v>
      </c>
    </row>
    <row r="143" spans="1:7" x14ac:dyDescent="0.25">
      <c r="A143">
        <v>2020</v>
      </c>
      <c r="B143" t="s">
        <v>54</v>
      </c>
      <c r="C143">
        <f>'rockfish harvests'!D49</f>
        <v>4035</v>
      </c>
      <c r="D143">
        <f>'rockfish harvests'!E49</f>
        <v>2289</v>
      </c>
      <c r="E143">
        <f>'rockfish harvests'!F49</f>
        <v>233242.22538938923</v>
      </c>
      <c r="F143">
        <f t="shared" ref="F143:F144" si="44">SQRT(E143)</f>
        <v>482.951576650692</v>
      </c>
      <c r="G143">
        <f t="shared" ref="G143:G144" si="45">1.96*F143</f>
        <v>946.58509023535635</v>
      </c>
    </row>
    <row r="144" spans="1:7" x14ac:dyDescent="0.25">
      <c r="A144">
        <v>2021</v>
      </c>
      <c r="B144" t="s">
        <v>54</v>
      </c>
      <c r="C144">
        <f>'rockfish harvests'!D50</f>
        <v>7924</v>
      </c>
      <c r="D144">
        <f>'rockfish harvests'!E50</f>
        <v>8516</v>
      </c>
      <c r="E144">
        <f>'rockfish harvests'!F50</f>
        <v>2362897.2666416327</v>
      </c>
      <c r="F144">
        <f t="shared" si="44"/>
        <v>1537.17184030987</v>
      </c>
      <c r="G144">
        <f t="shared" si="45"/>
        <v>3012.8568070073452</v>
      </c>
    </row>
    <row r="145" spans="1:7" x14ac:dyDescent="0.25">
      <c r="A145">
        <v>2022</v>
      </c>
      <c r="B145" t="s">
        <v>54</v>
      </c>
      <c r="C145">
        <f>'rockfish harvests'!D51</f>
        <v>11146</v>
      </c>
      <c r="D145">
        <f>'rockfish harvests'!E51</f>
        <v>5960</v>
      </c>
      <c r="E145">
        <f>'rockfish harvests'!F51</f>
        <v>2689600</v>
      </c>
      <c r="F145">
        <f t="shared" ref="F145" si="46">SQRT(E145)</f>
        <v>1640</v>
      </c>
      <c r="G145">
        <f t="shared" ref="G145" si="47">1.96*F145</f>
        <v>3214.4</v>
      </c>
    </row>
    <row r="146" spans="1:7" x14ac:dyDescent="0.25">
      <c r="A146">
        <v>2011</v>
      </c>
      <c r="B146" t="s">
        <v>49</v>
      </c>
      <c r="C146">
        <f>'rockfish harvests'!D140</f>
        <v>30322</v>
      </c>
      <c r="D146">
        <f>'rockfish harvests'!E140</f>
        <v>26745</v>
      </c>
      <c r="E146">
        <f>'rockfish harvests'!F140</f>
        <v>3371338.2992552528</v>
      </c>
      <c r="F146">
        <f t="shared" si="30"/>
        <v>1836.1204479160001</v>
      </c>
      <c r="G146">
        <f t="shared" si="31"/>
        <v>3598.79607791536</v>
      </c>
    </row>
    <row r="147" spans="1:7" x14ac:dyDescent="0.25">
      <c r="A147">
        <v>2012</v>
      </c>
      <c r="B147" t="s">
        <v>49</v>
      </c>
      <c r="C147">
        <f>'rockfish harvests'!D141</f>
        <v>27771</v>
      </c>
      <c r="D147">
        <f>'rockfish harvests'!E141</f>
        <v>25298</v>
      </c>
      <c r="E147">
        <f>'rockfish harvests'!F141</f>
        <v>2451631.8439079095</v>
      </c>
      <c r="F147">
        <f t="shared" si="30"/>
        <v>1565.7687708943199</v>
      </c>
      <c r="G147">
        <f t="shared" si="31"/>
        <v>3068.9067909528671</v>
      </c>
    </row>
    <row r="148" spans="1:7" x14ac:dyDescent="0.25">
      <c r="A148">
        <v>2013</v>
      </c>
      <c r="B148" t="s">
        <v>49</v>
      </c>
      <c r="C148">
        <f>'rockfish harvests'!D142</f>
        <v>30558</v>
      </c>
      <c r="D148">
        <f>'rockfish harvests'!E142</f>
        <v>29220</v>
      </c>
      <c r="E148">
        <f>'rockfish harvests'!F142</f>
        <v>2940937.0897137322</v>
      </c>
      <c r="F148">
        <f t="shared" si="30"/>
        <v>1714.91605908678</v>
      </c>
      <c r="G148">
        <f t="shared" si="31"/>
        <v>3361.2354758100887</v>
      </c>
    </row>
    <row r="149" spans="1:7" x14ac:dyDescent="0.25">
      <c r="A149">
        <v>2014</v>
      </c>
      <c r="B149" t="s">
        <v>49</v>
      </c>
      <c r="C149">
        <f>'rockfish harvests'!D143</f>
        <v>37025</v>
      </c>
      <c r="D149">
        <f>'rockfish harvests'!E143</f>
        <v>32841</v>
      </c>
      <c r="E149">
        <f>'rockfish harvests'!F143</f>
        <v>4288839.5662702508</v>
      </c>
      <c r="F149">
        <f t="shared" si="30"/>
        <v>2070.9513674324298</v>
      </c>
      <c r="G149">
        <f t="shared" si="31"/>
        <v>4059.0646801675625</v>
      </c>
    </row>
    <row r="150" spans="1:7" x14ac:dyDescent="0.25">
      <c r="A150">
        <v>2015</v>
      </c>
      <c r="B150" t="s">
        <v>49</v>
      </c>
      <c r="C150">
        <f>'rockfish harvests'!D144</f>
        <v>45883</v>
      </c>
      <c r="D150">
        <f>'rockfish harvests'!E144</f>
        <v>38015</v>
      </c>
      <c r="E150">
        <f>'rockfish harvests'!F144</f>
        <v>4690504.2996746805</v>
      </c>
      <c r="F150">
        <f t="shared" si="30"/>
        <v>2165.7572116178399</v>
      </c>
      <c r="G150">
        <f t="shared" si="31"/>
        <v>4244.8841347709658</v>
      </c>
    </row>
    <row r="151" spans="1:7" x14ac:dyDescent="0.25">
      <c r="A151">
        <v>2016</v>
      </c>
      <c r="B151" t="s">
        <v>49</v>
      </c>
      <c r="C151">
        <f>'rockfish harvests'!D145</f>
        <v>56991</v>
      </c>
      <c r="D151">
        <f>'rockfish harvests'!E145</f>
        <v>54312</v>
      </c>
      <c r="E151">
        <f>'rockfish harvests'!F145</f>
        <v>6811053.1334925136</v>
      </c>
      <c r="F151">
        <f t="shared" si="30"/>
        <v>2609.7994431550701</v>
      </c>
      <c r="G151">
        <f t="shared" si="31"/>
        <v>5115.2069085839375</v>
      </c>
    </row>
    <row r="152" spans="1:7" x14ac:dyDescent="0.25">
      <c r="A152">
        <v>2017</v>
      </c>
      <c r="B152" t="s">
        <v>49</v>
      </c>
      <c r="C152">
        <f>'rockfish harvests'!D146</f>
        <v>38626</v>
      </c>
      <c r="D152">
        <f>'rockfish harvests'!E146</f>
        <v>39626</v>
      </c>
      <c r="E152">
        <f>'rockfish harvests'!F146</f>
        <v>6115880.0231071012</v>
      </c>
      <c r="F152">
        <f t="shared" si="30"/>
        <v>2473.0305342043598</v>
      </c>
      <c r="G152">
        <f t="shared" si="31"/>
        <v>4847.1398470405447</v>
      </c>
    </row>
    <row r="153" spans="1:7" x14ac:dyDescent="0.25">
      <c r="A153">
        <v>2018</v>
      </c>
      <c r="B153" t="s">
        <v>49</v>
      </c>
      <c r="C153">
        <f>'rockfish harvests'!D147</f>
        <v>50115</v>
      </c>
      <c r="D153">
        <f>'rockfish harvests'!E147</f>
        <v>44958</v>
      </c>
      <c r="E153">
        <f>'rockfish harvests'!F147</f>
        <v>6589196.3836226137</v>
      </c>
      <c r="F153">
        <f t="shared" si="30"/>
        <v>2566.9430035788901</v>
      </c>
      <c r="G153">
        <f t="shared" si="31"/>
        <v>5031.2082870146241</v>
      </c>
    </row>
    <row r="154" spans="1:7" x14ac:dyDescent="0.25">
      <c r="A154">
        <v>2019</v>
      </c>
      <c r="B154" t="s">
        <v>49</v>
      </c>
      <c r="C154">
        <f>'rockfish harvests'!D148</f>
        <v>64565</v>
      </c>
      <c r="D154">
        <f>'rockfish harvests'!E148</f>
        <v>54358</v>
      </c>
      <c r="E154">
        <f>'rockfish harvests'!F148</f>
        <v>7817619.6806716658</v>
      </c>
      <c r="F154">
        <f>SQRT(E154)</f>
        <v>2796.0006582030101</v>
      </c>
      <c r="G154">
        <f>1.96*F154</f>
        <v>5480.1612900779</v>
      </c>
    </row>
    <row r="155" spans="1:7" x14ac:dyDescent="0.25">
      <c r="A155">
        <v>2020</v>
      </c>
      <c r="B155" t="s">
        <v>49</v>
      </c>
      <c r="C155">
        <f>'rockfish harvests'!D149</f>
        <v>43363</v>
      </c>
      <c r="D155">
        <f>'rockfish harvests'!E149</f>
        <v>38289</v>
      </c>
      <c r="E155">
        <f>'rockfish harvests'!F149</f>
        <v>3851267.7489399323</v>
      </c>
      <c r="F155">
        <f t="shared" ref="F155:F156" si="48">SQRT(E155)</f>
        <v>1962.46471278847</v>
      </c>
      <c r="G155">
        <f t="shared" ref="G155:G156" si="49">1.96*F155</f>
        <v>3846.4308370654012</v>
      </c>
    </row>
    <row r="156" spans="1:7" x14ac:dyDescent="0.25">
      <c r="A156">
        <v>2021</v>
      </c>
      <c r="B156" t="s">
        <v>49</v>
      </c>
      <c r="C156">
        <f>'rockfish harvests'!D150</f>
        <v>83097</v>
      </c>
      <c r="D156">
        <f>'rockfish harvests'!E150</f>
        <v>59688</v>
      </c>
      <c r="E156">
        <f>'rockfish harvests'!F150</f>
        <v>8990398.6151391603</v>
      </c>
      <c r="F156">
        <f t="shared" si="48"/>
        <v>2998.3993421722798</v>
      </c>
      <c r="G156">
        <f t="shared" si="49"/>
        <v>5876.8627106576687</v>
      </c>
    </row>
    <row r="157" spans="1:7" x14ac:dyDescent="0.25">
      <c r="A157">
        <v>2022</v>
      </c>
      <c r="B157" t="s">
        <v>49</v>
      </c>
      <c r="C157">
        <f>'rockfish harvests'!D151</f>
        <v>86545</v>
      </c>
      <c r="D157">
        <f>'rockfish harvests'!E151</f>
        <v>64214</v>
      </c>
      <c r="E157">
        <f>'rockfish harvests'!F151</f>
        <v>13118884</v>
      </c>
      <c r="F157">
        <f t="shared" ref="F157" si="50">SQRT(E157)</f>
        <v>3622</v>
      </c>
      <c r="G157">
        <f t="shared" ref="G157" si="51">1.96*F157</f>
        <v>7099.12</v>
      </c>
    </row>
    <row r="158" spans="1:7" x14ac:dyDescent="0.25">
      <c r="A158">
        <v>2011</v>
      </c>
      <c r="B158" t="s">
        <v>50</v>
      </c>
      <c r="C158">
        <f>'rockfish harvests'!D165</f>
        <v>6904</v>
      </c>
      <c r="D158">
        <f>'rockfish harvests'!E165</f>
        <v>5586</v>
      </c>
      <c r="E158">
        <f>'rockfish harvests'!F165</f>
        <v>1018027.7018928905</v>
      </c>
      <c r="F158">
        <f t="shared" si="30"/>
        <v>1008.97358830293</v>
      </c>
      <c r="G158">
        <f t="shared" si="31"/>
        <v>1977.5882330737427</v>
      </c>
    </row>
    <row r="159" spans="1:7" x14ac:dyDescent="0.25">
      <c r="A159">
        <v>2012</v>
      </c>
      <c r="B159" t="s">
        <v>50</v>
      </c>
      <c r="C159">
        <f>'rockfish harvests'!D166</f>
        <v>6813</v>
      </c>
      <c r="D159">
        <f>'rockfish harvests'!E166</f>
        <v>6484</v>
      </c>
      <c r="E159">
        <f>'rockfish harvests'!F166</f>
        <v>1240637.6038428419</v>
      </c>
      <c r="F159">
        <f t="shared" si="30"/>
        <v>1113.8391283497101</v>
      </c>
      <c r="G159">
        <f t="shared" si="31"/>
        <v>2183.1246915654319</v>
      </c>
    </row>
    <row r="160" spans="1:7" x14ac:dyDescent="0.25">
      <c r="A160">
        <v>2013</v>
      </c>
      <c r="B160" t="s">
        <v>50</v>
      </c>
      <c r="C160">
        <f>'rockfish harvests'!D167</f>
        <v>9965</v>
      </c>
      <c r="D160">
        <f>'rockfish harvests'!E167</f>
        <v>5313</v>
      </c>
      <c r="E160">
        <f>'rockfish harvests'!F167</f>
        <v>736780.25336436427</v>
      </c>
      <c r="F160">
        <f t="shared" si="30"/>
        <v>858.35904688210996</v>
      </c>
      <c r="G160">
        <f t="shared" si="31"/>
        <v>1682.3837318889355</v>
      </c>
    </row>
    <row r="161" spans="1:7" x14ac:dyDescent="0.25">
      <c r="A161">
        <v>2014</v>
      </c>
      <c r="B161" t="s">
        <v>50</v>
      </c>
      <c r="C161">
        <f>'rockfish harvests'!D168</f>
        <v>11896</v>
      </c>
      <c r="D161">
        <f>'rockfish harvests'!E168</f>
        <v>14189</v>
      </c>
      <c r="E161">
        <f>'rockfish harvests'!F168</f>
        <v>3624990.0104104094</v>
      </c>
      <c r="F161">
        <f t="shared" si="30"/>
        <v>1903.94065306942</v>
      </c>
      <c r="G161">
        <f t="shared" si="31"/>
        <v>3731.7236800160631</v>
      </c>
    </row>
    <row r="162" spans="1:7" x14ac:dyDescent="0.25">
      <c r="A162">
        <v>2015</v>
      </c>
      <c r="B162" t="s">
        <v>50</v>
      </c>
      <c r="C162">
        <f>'rockfish harvests'!D169</f>
        <v>12377</v>
      </c>
      <c r="D162">
        <f>'rockfish harvests'!E169</f>
        <v>8808</v>
      </c>
      <c r="E162">
        <f>'rockfish harvests'!F169</f>
        <v>1555658.3352462491</v>
      </c>
      <c r="F162">
        <f t="shared" si="30"/>
        <v>1247.2603317857299</v>
      </c>
      <c r="G162">
        <f t="shared" si="31"/>
        <v>2444.6302503000306</v>
      </c>
    </row>
    <row r="163" spans="1:7" x14ac:dyDescent="0.25">
      <c r="A163">
        <v>2016</v>
      </c>
      <c r="B163" t="s">
        <v>50</v>
      </c>
      <c r="C163">
        <f>'rockfish harvests'!D170</f>
        <v>13580</v>
      </c>
      <c r="D163">
        <f>'rockfish harvests'!E170</f>
        <v>7013</v>
      </c>
      <c r="E163">
        <f>'rockfish harvests'!F170</f>
        <v>1611474.156360368</v>
      </c>
      <c r="F163">
        <f t="shared" si="30"/>
        <v>1269.43852011839</v>
      </c>
      <c r="G163">
        <f t="shared" si="31"/>
        <v>2488.0994994320445</v>
      </c>
    </row>
    <row r="164" spans="1:7" x14ac:dyDescent="0.25">
      <c r="A164">
        <v>2017</v>
      </c>
      <c r="B164" t="s">
        <v>50</v>
      </c>
      <c r="C164">
        <f>'rockfish harvests'!D171</f>
        <v>6719</v>
      </c>
      <c r="D164">
        <f>'rockfish harvests'!E171</f>
        <v>8635</v>
      </c>
      <c r="E164">
        <f>'rockfish harvests'!F171</f>
        <v>2065818.5137577469</v>
      </c>
      <c r="F164">
        <f t="shared" si="30"/>
        <v>1437.29555546441</v>
      </c>
      <c r="G164">
        <f t="shared" si="31"/>
        <v>2817.0992887102434</v>
      </c>
    </row>
    <row r="165" spans="1:7" x14ac:dyDescent="0.25">
      <c r="A165">
        <v>2018</v>
      </c>
      <c r="B165" t="s">
        <v>50</v>
      </c>
      <c r="C165">
        <f>'rockfish harvests'!D172</f>
        <v>8479</v>
      </c>
      <c r="D165">
        <f>'rockfish harvests'!E172</f>
        <v>6486</v>
      </c>
      <c r="E165">
        <f>'rockfish harvests'!F172</f>
        <v>1145866.3617056981</v>
      </c>
      <c r="F165">
        <f t="shared" si="30"/>
        <v>1070.45147564273</v>
      </c>
      <c r="G165">
        <f t="shared" si="31"/>
        <v>2098.0848922597506</v>
      </c>
    </row>
    <row r="166" spans="1:7" x14ac:dyDescent="0.25">
      <c r="A166">
        <v>2019</v>
      </c>
      <c r="B166" t="s">
        <v>50</v>
      </c>
      <c r="C166">
        <f>'rockfish harvests'!D173</f>
        <v>9881</v>
      </c>
      <c r="D166">
        <f>'rockfish harvests'!E173</f>
        <v>7481</v>
      </c>
      <c r="E166">
        <f>'rockfish harvests'!F173</f>
        <v>975394.6246156171</v>
      </c>
      <c r="F166">
        <f>SQRT(E166)</f>
        <v>987.62068863284605</v>
      </c>
      <c r="G166">
        <f>1.96*F166</f>
        <v>1935.7365497203782</v>
      </c>
    </row>
    <row r="167" spans="1:7" x14ac:dyDescent="0.25">
      <c r="A167">
        <v>2020</v>
      </c>
      <c r="B167" t="s">
        <v>50</v>
      </c>
      <c r="C167">
        <f>'rockfish harvests'!D174</f>
        <v>4479</v>
      </c>
      <c r="D167">
        <f>'rockfish harvests'!E174</f>
        <v>2696</v>
      </c>
      <c r="E167">
        <f>'rockfish harvests'!F174</f>
        <v>281022.69369269308</v>
      </c>
      <c r="F167">
        <f t="shared" ref="F167:F168" si="52">SQRT(E167)</f>
        <v>530.11573613003895</v>
      </c>
      <c r="G167">
        <f t="shared" ref="G167:G168" si="53">1.96*F167</f>
        <v>1039.0268428148763</v>
      </c>
    </row>
    <row r="168" spans="1:7" x14ac:dyDescent="0.25">
      <c r="A168">
        <v>2021</v>
      </c>
      <c r="B168" t="s">
        <v>50</v>
      </c>
      <c r="C168">
        <f>'rockfish harvests'!D175</f>
        <v>9680</v>
      </c>
      <c r="D168">
        <f>'rockfish harvests'!E175</f>
        <v>9479</v>
      </c>
      <c r="E168">
        <f>'rockfish harvests'!F175</f>
        <v>1897417.6877187195</v>
      </c>
      <c r="F168">
        <f t="shared" si="52"/>
        <v>1377.46785360629</v>
      </c>
      <c r="G168">
        <f t="shared" si="53"/>
        <v>2699.8369930683284</v>
      </c>
    </row>
    <row r="169" spans="1:7" x14ac:dyDescent="0.25">
      <c r="A169">
        <v>2022</v>
      </c>
      <c r="B169" t="s">
        <v>50</v>
      </c>
      <c r="C169">
        <f>'rockfish harvests'!D176</f>
        <v>10973</v>
      </c>
      <c r="D169">
        <f>'rockfish harvests'!E176</f>
        <v>9783</v>
      </c>
      <c r="E169">
        <f>'rockfish harvests'!F176</f>
        <v>1918225</v>
      </c>
      <c r="F169">
        <f t="shared" ref="F169" si="54">SQRT(E169)</f>
        <v>1385</v>
      </c>
      <c r="G169">
        <f t="shared" ref="G169" si="55">1.96*F169</f>
        <v>2714.6</v>
      </c>
    </row>
    <row r="170" spans="1:7" x14ac:dyDescent="0.25">
      <c r="A170">
        <v>2011</v>
      </c>
      <c r="B170" t="s">
        <v>51</v>
      </c>
      <c r="C170">
        <f>'rockfish harvests'!D190</f>
        <v>11367</v>
      </c>
      <c r="D170">
        <f>'rockfish harvests'!E190</f>
        <v>3774</v>
      </c>
      <c r="E170">
        <f>'rockfish harvests'!F190</f>
        <v>242434.32982982989</v>
      </c>
      <c r="F170">
        <f t="shared" si="30"/>
        <v>492.37620761956998</v>
      </c>
      <c r="G170">
        <f t="shared" si="31"/>
        <v>965.05736693435711</v>
      </c>
    </row>
    <row r="171" spans="1:7" x14ac:dyDescent="0.25">
      <c r="A171">
        <v>2012</v>
      </c>
      <c r="B171" t="s">
        <v>51</v>
      </c>
      <c r="C171">
        <f>'rockfish harvests'!D191</f>
        <v>13580</v>
      </c>
      <c r="D171">
        <f>'rockfish harvests'!E191</f>
        <v>6613</v>
      </c>
      <c r="E171">
        <f>'rockfish harvests'!F191</f>
        <v>843123.71126226336</v>
      </c>
      <c r="F171">
        <f t="shared" si="30"/>
        <v>918.21768185015003</v>
      </c>
      <c r="G171">
        <f t="shared" si="31"/>
        <v>1799.7066564262941</v>
      </c>
    </row>
    <row r="172" spans="1:7" x14ac:dyDescent="0.25">
      <c r="A172">
        <v>2013</v>
      </c>
      <c r="B172" t="s">
        <v>51</v>
      </c>
      <c r="C172">
        <f>'rockfish harvests'!D192</f>
        <v>14209</v>
      </c>
      <c r="D172">
        <f>'rockfish harvests'!E192</f>
        <v>6102</v>
      </c>
      <c r="E172">
        <f>'rockfish harvests'!F192</f>
        <v>488966.8653613613</v>
      </c>
      <c r="F172">
        <f t="shared" si="30"/>
        <v>699.261657293864</v>
      </c>
      <c r="G172">
        <f t="shared" si="31"/>
        <v>1370.5528482959735</v>
      </c>
    </row>
    <row r="173" spans="1:7" x14ac:dyDescent="0.25">
      <c r="A173">
        <v>2014</v>
      </c>
      <c r="B173" t="s">
        <v>51</v>
      </c>
      <c r="C173">
        <f>'rockfish harvests'!D193</f>
        <v>14913</v>
      </c>
      <c r="D173">
        <f>'rockfish harvests'!E193</f>
        <v>9046</v>
      </c>
      <c r="E173">
        <f>'rockfish harvests'!F193</f>
        <v>1666839.6055055037</v>
      </c>
      <c r="F173">
        <f t="shared" si="30"/>
        <v>1291.06142592268</v>
      </c>
      <c r="G173">
        <f t="shared" si="31"/>
        <v>2530.4803948084527</v>
      </c>
    </row>
    <row r="174" spans="1:7" x14ac:dyDescent="0.25">
      <c r="A174">
        <v>2015</v>
      </c>
      <c r="B174" t="s">
        <v>51</v>
      </c>
      <c r="C174">
        <f>'rockfish harvests'!D194</f>
        <v>20073</v>
      </c>
      <c r="D174">
        <f>'rockfish harvests'!E194</f>
        <v>8996</v>
      </c>
      <c r="E174">
        <f>'rockfish harvests'!F194</f>
        <v>892984.73656756792</v>
      </c>
      <c r="F174">
        <f t="shared" si="30"/>
        <v>944.97869635646703</v>
      </c>
      <c r="G174">
        <f t="shared" si="31"/>
        <v>1852.1582448586753</v>
      </c>
    </row>
    <row r="175" spans="1:7" x14ac:dyDescent="0.25">
      <c r="A175">
        <v>2016</v>
      </c>
      <c r="B175" t="s">
        <v>51</v>
      </c>
      <c r="C175">
        <f>'rockfish harvests'!D195</f>
        <v>28893</v>
      </c>
      <c r="D175">
        <f>'rockfish harvests'!E195</f>
        <v>10302</v>
      </c>
      <c r="E175">
        <f>'rockfish harvests'!F195</f>
        <v>1365515.0305345249</v>
      </c>
      <c r="F175">
        <f t="shared" si="30"/>
        <v>1168.5525364888499</v>
      </c>
      <c r="G175">
        <f t="shared" si="31"/>
        <v>2290.362971518146</v>
      </c>
    </row>
    <row r="176" spans="1:7" x14ac:dyDescent="0.25">
      <c r="A176">
        <v>2017</v>
      </c>
      <c r="B176" t="s">
        <v>51</v>
      </c>
      <c r="C176">
        <f>'rockfish harvests'!D196</f>
        <v>16300</v>
      </c>
      <c r="D176">
        <f>'rockfish harvests'!E196</f>
        <v>8241</v>
      </c>
      <c r="E176">
        <f>'rockfish harvests'!F196</f>
        <v>868708.97628728708</v>
      </c>
      <c r="F176">
        <f t="shared" si="30"/>
        <v>932.04558702205497</v>
      </c>
      <c r="G176">
        <f t="shared" si="31"/>
        <v>1826.8093505632278</v>
      </c>
    </row>
    <row r="177" spans="1:7" x14ac:dyDescent="0.25">
      <c r="A177">
        <v>2018</v>
      </c>
      <c r="B177" t="s">
        <v>51</v>
      </c>
      <c r="C177">
        <f>'rockfish harvests'!D197</f>
        <v>12107</v>
      </c>
      <c r="D177">
        <f>'rockfish harvests'!E197</f>
        <v>9514</v>
      </c>
      <c r="E177">
        <f>'rockfish harvests'!F197</f>
        <v>1343205.7000110077</v>
      </c>
      <c r="F177">
        <f t="shared" si="30"/>
        <v>1158.96751464871</v>
      </c>
      <c r="G177">
        <f t="shared" si="31"/>
        <v>2271.5763287114714</v>
      </c>
    </row>
    <row r="178" spans="1:7" x14ac:dyDescent="0.25">
      <c r="A178">
        <v>2019</v>
      </c>
      <c r="B178" t="s">
        <v>51</v>
      </c>
      <c r="C178">
        <f>'rockfish harvests'!D198</f>
        <v>15083</v>
      </c>
      <c r="D178">
        <f>'rockfish harvests'!E198</f>
        <v>13138</v>
      </c>
      <c r="E178">
        <f>'rockfish harvests'!F198</f>
        <v>1542503.0820410531</v>
      </c>
      <c r="F178">
        <f>SQRT(E178)</f>
        <v>1241.9754756198099</v>
      </c>
      <c r="G178">
        <f>1.96*F178</f>
        <v>2434.2719322148273</v>
      </c>
    </row>
    <row r="179" spans="1:7" x14ac:dyDescent="0.25">
      <c r="A179">
        <v>2020</v>
      </c>
      <c r="B179" t="s">
        <v>51</v>
      </c>
      <c r="C179">
        <f>'rockfish harvests'!D199</f>
        <v>9001</v>
      </c>
      <c r="D179">
        <f>'rockfish harvests'!E199</f>
        <v>8645</v>
      </c>
      <c r="E179">
        <f>'rockfish harvests'!F199</f>
        <v>908092.66942042112</v>
      </c>
      <c r="F179">
        <f t="shared" ref="F179:F180" si="56">SQRT(E179)</f>
        <v>952.93896416319399</v>
      </c>
      <c r="G179">
        <f t="shared" ref="G179:G180" si="57">1.96*F179</f>
        <v>1867.7603697598602</v>
      </c>
    </row>
    <row r="180" spans="1:7" x14ac:dyDescent="0.25">
      <c r="A180">
        <v>2021</v>
      </c>
      <c r="B180" t="s">
        <v>51</v>
      </c>
      <c r="C180">
        <f>'rockfish harvests'!D200</f>
        <v>16848</v>
      </c>
      <c r="D180">
        <f>'rockfish harvests'!E200</f>
        <v>13179</v>
      </c>
      <c r="E180">
        <f>'rockfish harvests'!F200</f>
        <v>2669707.3398508485</v>
      </c>
      <c r="F180">
        <f t="shared" si="56"/>
        <v>1633.92390883139</v>
      </c>
      <c r="G180">
        <f t="shared" si="57"/>
        <v>3202.4908613095245</v>
      </c>
    </row>
    <row r="181" spans="1:7" x14ac:dyDescent="0.25">
      <c r="A181">
        <v>2022</v>
      </c>
      <c r="B181" t="s">
        <v>51</v>
      </c>
      <c r="C181">
        <f>'rockfish harvests'!D201</f>
        <v>21685</v>
      </c>
      <c r="D181">
        <f>'rockfish harvests'!E201</f>
        <v>14868</v>
      </c>
      <c r="E181">
        <f>'rockfish harvests'!F201</f>
        <v>2214144</v>
      </c>
      <c r="F181">
        <f t="shared" ref="F181" si="58">SQRT(E181)</f>
        <v>1488</v>
      </c>
      <c r="G181">
        <f t="shared" ref="G181" si="59">1.96*F181</f>
        <v>2916.48</v>
      </c>
    </row>
    <row r="182" spans="1:7" x14ac:dyDescent="0.25">
      <c r="A182">
        <v>2011</v>
      </c>
      <c r="B182" t="s">
        <v>52</v>
      </c>
      <c r="C182">
        <f>'rockfish harvests'!D215</f>
        <v>15590</v>
      </c>
      <c r="D182">
        <f>'rockfish harvests'!E215</f>
        <v>9523</v>
      </c>
      <c r="E182">
        <f>'rockfish harvests'!F215</f>
        <v>1000086.8635795786</v>
      </c>
      <c r="F182">
        <f t="shared" si="30"/>
        <v>1000.04343084667</v>
      </c>
      <c r="G182">
        <f t="shared" si="31"/>
        <v>1960.0851244594733</v>
      </c>
    </row>
    <row r="183" spans="1:7" x14ac:dyDescent="0.25">
      <c r="A183">
        <v>2012</v>
      </c>
      <c r="B183" t="s">
        <v>52</v>
      </c>
      <c r="C183">
        <f>'rockfish harvests'!D216</f>
        <v>16566</v>
      </c>
      <c r="D183">
        <f>'rockfish harvests'!E216</f>
        <v>11672</v>
      </c>
      <c r="E183">
        <f>'rockfish harvests'!F216</f>
        <v>1684349.2401111166</v>
      </c>
      <c r="F183">
        <f t="shared" si="30"/>
        <v>1297.82481102463</v>
      </c>
      <c r="G183">
        <f t="shared" si="31"/>
        <v>2543.7366296082746</v>
      </c>
    </row>
    <row r="184" spans="1:7" x14ac:dyDescent="0.25">
      <c r="A184">
        <v>2013</v>
      </c>
      <c r="B184" t="s">
        <v>52</v>
      </c>
      <c r="C184">
        <f>'rockfish harvests'!D217</f>
        <v>19818</v>
      </c>
      <c r="D184">
        <f>'rockfish harvests'!E217</f>
        <v>12255</v>
      </c>
      <c r="E184">
        <f>'rockfish harvests'!F217</f>
        <v>1635681.2696055952</v>
      </c>
      <c r="F184">
        <f t="shared" si="30"/>
        <v>1278.9375550063401</v>
      </c>
      <c r="G184">
        <f t="shared" si="31"/>
        <v>2506.7176078124266</v>
      </c>
    </row>
    <row r="185" spans="1:7" x14ac:dyDescent="0.25">
      <c r="A185">
        <v>2014</v>
      </c>
      <c r="B185" t="s">
        <v>52</v>
      </c>
      <c r="C185">
        <f>'rockfish harvests'!D218</f>
        <v>21309</v>
      </c>
      <c r="D185">
        <f>'rockfish harvests'!E218</f>
        <v>10778</v>
      </c>
      <c r="E185">
        <f>'rockfish harvests'!F218</f>
        <v>1179415.2438478486</v>
      </c>
      <c r="F185">
        <f t="shared" si="30"/>
        <v>1086.00885993064</v>
      </c>
      <c r="G185">
        <f t="shared" si="31"/>
        <v>2128.5773654640543</v>
      </c>
    </row>
    <row r="186" spans="1:7" x14ac:dyDescent="0.25">
      <c r="A186">
        <v>2015</v>
      </c>
      <c r="B186" t="s">
        <v>52</v>
      </c>
      <c r="C186">
        <f>'rockfish harvests'!D219</f>
        <v>24516</v>
      </c>
      <c r="D186">
        <f>'rockfish harvests'!E219</f>
        <v>14327</v>
      </c>
      <c r="E186">
        <f>'rockfish harvests'!F219</f>
        <v>2243009.0109109143</v>
      </c>
      <c r="F186">
        <f t="shared" si="30"/>
        <v>1497.66785734051</v>
      </c>
      <c r="G186">
        <f t="shared" si="31"/>
        <v>2935.4290003873994</v>
      </c>
    </row>
    <row r="187" spans="1:7" x14ac:dyDescent="0.25">
      <c r="A187">
        <v>2016</v>
      </c>
      <c r="B187" t="s">
        <v>52</v>
      </c>
      <c r="C187">
        <f>'rockfish harvests'!D220</f>
        <v>29349</v>
      </c>
      <c r="D187">
        <f>'rockfish harvests'!E220</f>
        <v>19835</v>
      </c>
      <c r="E187">
        <f>'rockfish harvests'!F220</f>
        <v>2640694.0164164146</v>
      </c>
      <c r="F187">
        <f t="shared" si="30"/>
        <v>1625.0212356816801</v>
      </c>
      <c r="G187">
        <f t="shared" si="31"/>
        <v>3185.0416219360927</v>
      </c>
    </row>
    <row r="188" spans="1:7" x14ac:dyDescent="0.25">
      <c r="A188">
        <v>2017</v>
      </c>
      <c r="B188" t="s">
        <v>52</v>
      </c>
      <c r="C188">
        <f>'rockfish harvests'!D221</f>
        <v>28647</v>
      </c>
      <c r="D188">
        <f>'rockfish harvests'!E221</f>
        <v>10418</v>
      </c>
      <c r="E188">
        <f>'rockfish harvests'!F221</f>
        <v>1578689.6600600502</v>
      </c>
      <c r="F188">
        <f t="shared" si="30"/>
        <v>1256.45917564402</v>
      </c>
      <c r="G188">
        <f t="shared" si="31"/>
        <v>2462.6599842622791</v>
      </c>
    </row>
    <row r="189" spans="1:7" x14ac:dyDescent="0.25">
      <c r="A189">
        <v>2018</v>
      </c>
      <c r="B189" t="s">
        <v>52</v>
      </c>
      <c r="C189">
        <f>'rockfish harvests'!D222</f>
        <v>27142</v>
      </c>
      <c r="D189">
        <f>'rockfish harvests'!E222</f>
        <v>11327</v>
      </c>
      <c r="E189">
        <f>'rockfish harvests'!F222</f>
        <v>3278882.3630991206</v>
      </c>
      <c r="F189">
        <f t="shared" si="30"/>
        <v>1810.76844546704</v>
      </c>
      <c r="G189">
        <f t="shared" si="31"/>
        <v>3549.1061531153982</v>
      </c>
    </row>
    <row r="190" spans="1:7" x14ac:dyDescent="0.25">
      <c r="A190">
        <v>2019</v>
      </c>
      <c r="B190" t="s">
        <v>52</v>
      </c>
      <c r="C190">
        <f>'rockfish harvests'!D223</f>
        <v>33682</v>
      </c>
      <c r="D190">
        <f>'rockfish harvests'!E223</f>
        <v>9235</v>
      </c>
      <c r="E190">
        <f>'rockfish harvests'!F223</f>
        <v>1570889.8454044154</v>
      </c>
      <c r="F190">
        <f>SQRT(E190)</f>
        <v>1253.35144528756</v>
      </c>
      <c r="G190">
        <f>1.96*F190</f>
        <v>2456.5688327636176</v>
      </c>
    </row>
    <row r="191" spans="1:7" x14ac:dyDescent="0.25">
      <c r="A191">
        <v>2020</v>
      </c>
      <c r="B191" t="s">
        <v>52</v>
      </c>
      <c r="C191">
        <f>'rockfish harvests'!D224</f>
        <v>29279</v>
      </c>
      <c r="D191">
        <f>'rockfish harvests'!E224</f>
        <v>7465</v>
      </c>
      <c r="E191">
        <f>'rockfish harvests'!F224</f>
        <v>726238.58025125181</v>
      </c>
      <c r="F191">
        <f t="shared" ref="F191:F192" si="60">SQRT(E191)</f>
        <v>852.19632729274997</v>
      </c>
      <c r="G191">
        <f t="shared" ref="G191:G192" si="61">1.96*F191</f>
        <v>1670.3048014937899</v>
      </c>
    </row>
    <row r="192" spans="1:7" x14ac:dyDescent="0.25">
      <c r="A192">
        <v>2021</v>
      </c>
      <c r="B192" t="s">
        <v>52</v>
      </c>
      <c r="C192">
        <f>'rockfish harvests'!D225</f>
        <v>38638</v>
      </c>
      <c r="D192">
        <f>'rockfish harvests'!E225</f>
        <v>12079</v>
      </c>
      <c r="E192">
        <f>'rockfish harvests'!F225</f>
        <v>1555376.4304304256</v>
      </c>
      <c r="F192">
        <f t="shared" si="60"/>
        <v>1247.1473170521699</v>
      </c>
      <c r="G192">
        <f t="shared" si="61"/>
        <v>2444.4087414222531</v>
      </c>
    </row>
    <row r="193" spans="1:7" x14ac:dyDescent="0.25">
      <c r="A193">
        <v>2022</v>
      </c>
      <c r="B193" t="s">
        <v>52</v>
      </c>
      <c r="C193">
        <f>'rockfish harvests'!D226</f>
        <v>36656</v>
      </c>
      <c r="D193">
        <f>'rockfish harvests'!E226</f>
        <v>11206</v>
      </c>
      <c r="E193">
        <f>'rockfish harvests'!F226</f>
        <v>1948816</v>
      </c>
      <c r="F193">
        <f t="shared" ref="F193" si="62">SQRT(E193)</f>
        <v>1396</v>
      </c>
      <c r="G193">
        <f t="shared" ref="G193" si="63">1.96*F193</f>
        <v>2736.16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DBA8-6E17-4622-A858-33AEC9BC7FC1}">
  <sheetPr>
    <tabColor theme="0" tint="-0.499984740745262"/>
  </sheetPr>
  <dimension ref="A1:K224"/>
  <sheetViews>
    <sheetView zoomScale="80" zoomScaleNormal="80" workbookViewId="0">
      <selection activeCell="K167" sqref="K167"/>
    </sheetView>
  </sheetViews>
  <sheetFormatPr defaultRowHeight="15" x14ac:dyDescent="0.25"/>
  <sheetData>
    <row r="1" spans="1:11" x14ac:dyDescent="0.25">
      <c r="B1" t="s">
        <v>88</v>
      </c>
      <c r="C1" t="s">
        <v>89</v>
      </c>
    </row>
    <row r="2" spans="1:11" x14ac:dyDescent="0.25">
      <c r="B2" s="34" t="s">
        <v>42</v>
      </c>
      <c r="G2" s="34" t="s">
        <v>90</v>
      </c>
      <c r="H2" s="34" t="s">
        <v>45</v>
      </c>
      <c r="I2" s="34" t="s">
        <v>92</v>
      </c>
    </row>
    <row r="3" spans="1:11" x14ac:dyDescent="0.25">
      <c r="A3" s="35">
        <v>1996</v>
      </c>
      <c r="B3" s="11">
        <v>8489</v>
      </c>
      <c r="G3" s="35">
        <v>1996</v>
      </c>
      <c r="H3" s="11">
        <v>843</v>
      </c>
      <c r="I3" s="11"/>
    </row>
    <row r="4" spans="1:11" x14ac:dyDescent="0.25">
      <c r="A4" s="35">
        <v>1997</v>
      </c>
      <c r="B4" s="11">
        <v>9593</v>
      </c>
      <c r="G4" s="35">
        <v>1997</v>
      </c>
      <c r="H4" s="11">
        <v>1826</v>
      </c>
      <c r="I4" s="11"/>
    </row>
    <row r="5" spans="1:11" x14ac:dyDescent="0.25">
      <c r="A5" s="35">
        <v>1998</v>
      </c>
      <c r="B5" s="11">
        <v>12979</v>
      </c>
      <c r="C5">
        <f>'rockfish harvests'!D227</f>
        <v>9366</v>
      </c>
      <c r="D5" s="37">
        <f>C5-B5</f>
        <v>-3613</v>
      </c>
      <c r="G5" s="35">
        <v>1998</v>
      </c>
      <c r="H5" s="11">
        <v>1540</v>
      </c>
      <c r="I5" s="11">
        <f>'rockfish harvests'!D2</f>
        <v>416</v>
      </c>
      <c r="J5" s="37">
        <f>I5-H5</f>
        <v>-1124</v>
      </c>
    </row>
    <row r="6" spans="1:11" x14ac:dyDescent="0.25">
      <c r="A6" s="35">
        <v>1999</v>
      </c>
      <c r="B6" s="11">
        <v>18327</v>
      </c>
      <c r="C6">
        <f>'rockfish harvests'!D228</f>
        <v>9636</v>
      </c>
      <c r="D6" s="37">
        <f t="shared" ref="D6:D25" si="0">C6-B6</f>
        <v>-8691</v>
      </c>
      <c r="G6" s="35">
        <v>1999</v>
      </c>
      <c r="H6" s="11">
        <v>1454</v>
      </c>
      <c r="I6" s="11">
        <f>'rockfish harvests'!D3</f>
        <v>506</v>
      </c>
      <c r="J6" s="37">
        <f t="shared" ref="J6:J26" si="1">I6-H6</f>
        <v>-948</v>
      </c>
    </row>
    <row r="7" spans="1:11" x14ac:dyDescent="0.25">
      <c r="A7" s="35">
        <v>2000</v>
      </c>
      <c r="B7" s="11">
        <v>15815</v>
      </c>
      <c r="C7">
        <f>'rockfish harvests'!D229</f>
        <v>16855</v>
      </c>
      <c r="D7" s="37">
        <f t="shared" si="0"/>
        <v>1040</v>
      </c>
      <c r="E7" s="17">
        <f>D7/B7</f>
        <v>6.5760354094214352E-2</v>
      </c>
      <c r="G7" s="35">
        <v>2000</v>
      </c>
      <c r="H7" s="11">
        <v>1169</v>
      </c>
      <c r="I7" s="11">
        <f>'rockfish harvests'!D4</f>
        <v>1412</v>
      </c>
      <c r="J7" s="37">
        <f t="shared" si="1"/>
        <v>243</v>
      </c>
      <c r="K7" s="17">
        <f>J7/H7</f>
        <v>0.20786997433704021</v>
      </c>
    </row>
    <row r="8" spans="1:11" x14ac:dyDescent="0.25">
      <c r="A8" s="35">
        <v>2001</v>
      </c>
      <c r="B8" s="11">
        <v>14843</v>
      </c>
      <c r="C8">
        <f>'rockfish harvests'!D230</f>
        <v>15083</v>
      </c>
      <c r="D8" s="37">
        <f t="shared" si="0"/>
        <v>240</v>
      </c>
      <c r="E8" s="17">
        <f t="shared" ref="E8:E26" si="2">D8/B8</f>
        <v>1.6169238024658087E-2</v>
      </c>
      <c r="G8" s="35">
        <v>2001</v>
      </c>
      <c r="H8" s="11">
        <v>706</v>
      </c>
      <c r="I8" s="11">
        <f>'rockfish harvests'!D5</f>
        <v>535</v>
      </c>
      <c r="J8" s="37">
        <f t="shared" si="1"/>
        <v>-171</v>
      </c>
      <c r="K8" s="17"/>
    </row>
    <row r="9" spans="1:11" x14ac:dyDescent="0.25">
      <c r="A9" s="35">
        <v>2002</v>
      </c>
      <c r="B9" s="11">
        <v>13808</v>
      </c>
      <c r="C9">
        <f>'rockfish harvests'!D231</f>
        <v>14004</v>
      </c>
      <c r="D9" s="37">
        <f t="shared" si="0"/>
        <v>196</v>
      </c>
      <c r="E9" s="17">
        <f t="shared" si="2"/>
        <v>1.4194669756662804E-2</v>
      </c>
      <c r="G9" s="35">
        <v>2002</v>
      </c>
      <c r="H9" s="11">
        <v>1287</v>
      </c>
      <c r="I9" s="11">
        <f>'rockfish harvests'!D6</f>
        <v>345</v>
      </c>
      <c r="J9" s="37">
        <f t="shared" si="1"/>
        <v>-942</v>
      </c>
      <c r="K9" s="17"/>
    </row>
    <row r="10" spans="1:11" x14ac:dyDescent="0.25">
      <c r="A10" s="35">
        <v>2003</v>
      </c>
      <c r="B10" s="11">
        <v>13730</v>
      </c>
      <c r="C10">
        <f>'rockfish harvests'!D232</f>
        <v>15272</v>
      </c>
      <c r="D10" s="37">
        <f t="shared" si="0"/>
        <v>1542</v>
      </c>
      <c r="E10" s="17">
        <f t="shared" si="2"/>
        <v>0.1123088128186453</v>
      </c>
      <c r="G10" s="35">
        <v>2003</v>
      </c>
      <c r="H10" s="11">
        <v>1787</v>
      </c>
      <c r="I10" s="11">
        <f>'rockfish harvests'!D7</f>
        <v>567</v>
      </c>
      <c r="J10" s="37">
        <f t="shared" si="1"/>
        <v>-1220</v>
      </c>
      <c r="K10" s="17"/>
    </row>
    <row r="11" spans="1:11" x14ac:dyDescent="0.25">
      <c r="A11" s="35">
        <v>2004</v>
      </c>
      <c r="B11" s="11">
        <v>25516</v>
      </c>
      <c r="C11">
        <f>'rockfish harvests'!D233</f>
        <v>21796</v>
      </c>
      <c r="D11" s="37">
        <f t="shared" si="0"/>
        <v>-3720</v>
      </c>
      <c r="G11" s="35">
        <v>2004</v>
      </c>
      <c r="H11" s="11">
        <v>2169</v>
      </c>
      <c r="I11" s="11">
        <f>'rockfish harvests'!D8</f>
        <v>468</v>
      </c>
      <c r="J11" s="37">
        <f t="shared" si="1"/>
        <v>-1701</v>
      </c>
    </row>
    <row r="12" spans="1:11" x14ac:dyDescent="0.25">
      <c r="A12" s="35">
        <v>2005</v>
      </c>
      <c r="B12" s="11">
        <v>26687</v>
      </c>
      <c r="C12">
        <f>'rockfish harvests'!D234</f>
        <v>27304</v>
      </c>
      <c r="D12" s="37">
        <f t="shared" si="0"/>
        <v>617</v>
      </c>
      <c r="E12" s="17">
        <f t="shared" si="2"/>
        <v>2.3119871098287555E-2</v>
      </c>
      <c r="G12" s="35">
        <v>2005</v>
      </c>
      <c r="H12" s="11">
        <v>1990</v>
      </c>
      <c r="I12" s="11">
        <f>'rockfish harvests'!D9</f>
        <v>1385</v>
      </c>
      <c r="J12" s="37">
        <f t="shared" si="1"/>
        <v>-605</v>
      </c>
      <c r="K12" s="17"/>
    </row>
    <row r="13" spans="1:11" x14ac:dyDescent="0.25">
      <c r="A13" s="35">
        <v>2006</v>
      </c>
      <c r="B13" s="11">
        <v>30575</v>
      </c>
      <c r="C13">
        <f>'rockfish harvests'!D235</f>
        <v>33748</v>
      </c>
      <c r="D13" s="37">
        <f t="shared" si="0"/>
        <v>3173</v>
      </c>
      <c r="E13" s="17">
        <f t="shared" si="2"/>
        <v>0.10377759607522485</v>
      </c>
      <c r="G13" s="35">
        <v>2006</v>
      </c>
      <c r="H13" s="11">
        <v>4342</v>
      </c>
      <c r="I13" s="11">
        <f>'rockfish harvests'!D10</f>
        <v>925</v>
      </c>
      <c r="J13" s="37">
        <f t="shared" si="1"/>
        <v>-3417</v>
      </c>
      <c r="K13" s="17"/>
    </row>
    <row r="14" spans="1:11" x14ac:dyDescent="0.25">
      <c r="A14" s="35">
        <v>2007</v>
      </c>
      <c r="B14" s="11">
        <v>33077</v>
      </c>
      <c r="C14">
        <f>'rockfish harvests'!D236</f>
        <v>38443</v>
      </c>
      <c r="D14" s="37">
        <f t="shared" si="0"/>
        <v>5366</v>
      </c>
      <c r="E14" s="17">
        <f t="shared" si="2"/>
        <v>0.1622275297034193</v>
      </c>
      <c r="G14" s="35">
        <v>2007</v>
      </c>
      <c r="H14" s="11">
        <v>1846</v>
      </c>
      <c r="I14" s="11">
        <f>'rockfish harvests'!D11</f>
        <v>2488</v>
      </c>
      <c r="J14" s="37">
        <f t="shared" si="1"/>
        <v>642</v>
      </c>
      <c r="K14" s="17">
        <f>J14/H14</f>
        <v>0.34777898158179849</v>
      </c>
    </row>
    <row r="15" spans="1:11" x14ac:dyDescent="0.25">
      <c r="A15" s="35">
        <v>2008</v>
      </c>
      <c r="B15" s="11">
        <v>50492</v>
      </c>
      <c r="C15">
        <f>'rockfish harvests'!D237</f>
        <v>52901</v>
      </c>
      <c r="D15" s="37">
        <f t="shared" si="0"/>
        <v>2409</v>
      </c>
      <c r="E15" s="17">
        <f t="shared" si="2"/>
        <v>4.7710528400538701E-2</v>
      </c>
      <c r="G15" s="35">
        <v>2008</v>
      </c>
      <c r="H15" s="11">
        <v>2622</v>
      </c>
      <c r="I15" s="11">
        <f>'rockfish harvests'!D12</f>
        <v>2670</v>
      </c>
      <c r="J15" s="37">
        <f t="shared" si="1"/>
        <v>48</v>
      </c>
      <c r="K15" s="17">
        <f>J15/H15</f>
        <v>1.8306636155606407E-2</v>
      </c>
    </row>
    <row r="16" spans="1:11" x14ac:dyDescent="0.25">
      <c r="A16" s="35">
        <v>2009</v>
      </c>
      <c r="B16" s="11">
        <v>28473</v>
      </c>
      <c r="C16">
        <f>'rockfish harvests'!D238</f>
        <v>31717</v>
      </c>
      <c r="D16" s="37">
        <f t="shared" si="0"/>
        <v>3244</v>
      </c>
      <c r="E16" s="17">
        <f t="shared" si="2"/>
        <v>0.11393249745372809</v>
      </c>
      <c r="G16" s="35">
        <v>2009</v>
      </c>
      <c r="H16" s="11">
        <v>2827</v>
      </c>
      <c r="I16" s="11">
        <f>'rockfish harvests'!D13</f>
        <v>3763</v>
      </c>
      <c r="J16" s="37">
        <f t="shared" si="1"/>
        <v>936</v>
      </c>
      <c r="K16" s="17">
        <f>J16/H16</f>
        <v>0.33109303148213654</v>
      </c>
    </row>
    <row r="17" spans="1:11" x14ac:dyDescent="0.25">
      <c r="A17" s="35">
        <v>2010</v>
      </c>
      <c r="B17" s="11">
        <v>41136</v>
      </c>
      <c r="C17">
        <f>'rockfish harvests'!D239</f>
        <v>43813</v>
      </c>
      <c r="D17" s="37">
        <f t="shared" si="0"/>
        <v>2677</v>
      </c>
      <c r="E17" s="17">
        <f t="shared" si="2"/>
        <v>6.5076818358615326E-2</v>
      </c>
      <c r="G17" s="35">
        <v>2010</v>
      </c>
      <c r="H17" s="11">
        <v>4473</v>
      </c>
      <c r="I17" s="11">
        <f>'rockfish harvests'!D14</f>
        <v>3032</v>
      </c>
      <c r="J17" s="37">
        <f t="shared" si="1"/>
        <v>-1441</v>
      </c>
      <c r="K17" s="17"/>
    </row>
    <row r="18" spans="1:11" x14ac:dyDescent="0.25">
      <c r="A18" s="35">
        <v>2011</v>
      </c>
      <c r="B18">
        <f>'rockfish harvests'!E240+'rockfish harvests'!G240</f>
        <v>48501</v>
      </c>
      <c r="C18">
        <f>'rockfish harvests'!D240</f>
        <v>58843</v>
      </c>
      <c r="D18" s="37">
        <f t="shared" si="0"/>
        <v>10342</v>
      </c>
      <c r="E18" s="17">
        <f t="shared" si="2"/>
        <v>0.21323271685119893</v>
      </c>
      <c r="G18" s="35">
        <v>2011</v>
      </c>
      <c r="H18">
        <f>'rockfish harvests'!E15+'rockfish harvests'!G15</f>
        <v>2404</v>
      </c>
      <c r="I18" s="11">
        <f>'rockfish harvests'!D15</f>
        <v>3052</v>
      </c>
      <c r="J18" s="37">
        <f t="shared" si="1"/>
        <v>648</v>
      </c>
      <c r="K18" s="17">
        <f>J18/H18</f>
        <v>0.26955074875207985</v>
      </c>
    </row>
    <row r="19" spans="1:11" x14ac:dyDescent="0.25">
      <c r="A19" s="35">
        <v>2012</v>
      </c>
      <c r="B19">
        <f>'rockfish harvests'!E241+'rockfish harvests'!G241</f>
        <v>57929</v>
      </c>
      <c r="C19">
        <f>'rockfish harvests'!D241</f>
        <v>57675</v>
      </c>
      <c r="D19" s="37">
        <f t="shared" si="0"/>
        <v>-254</v>
      </c>
      <c r="G19" s="35">
        <v>2012</v>
      </c>
      <c r="H19">
        <f>'rockfish harvests'!E16+'rockfish harvests'!G16</f>
        <v>2692</v>
      </c>
      <c r="I19" s="11">
        <f>'rockfish harvests'!D16</f>
        <v>3025</v>
      </c>
      <c r="J19" s="37">
        <f t="shared" si="1"/>
        <v>333</v>
      </c>
    </row>
    <row r="20" spans="1:11" x14ac:dyDescent="0.25">
      <c r="A20" s="35">
        <v>2013</v>
      </c>
      <c r="B20">
        <f>'rockfish harvests'!E242+'rockfish harvests'!G242</f>
        <v>56862</v>
      </c>
      <c r="C20">
        <f>'rockfish harvests'!D242</f>
        <v>60735</v>
      </c>
      <c r="D20" s="37">
        <f t="shared" si="0"/>
        <v>3873</v>
      </c>
      <c r="E20" s="17">
        <f t="shared" si="2"/>
        <v>6.8112271815975525E-2</v>
      </c>
      <c r="G20" s="35">
        <v>2013</v>
      </c>
      <c r="H20">
        <f>'rockfish harvests'!E17+'rockfish harvests'!G17</f>
        <v>4987</v>
      </c>
      <c r="I20" s="11">
        <f>'rockfish harvests'!D17</f>
        <v>2487</v>
      </c>
      <c r="J20" s="37">
        <f t="shared" si="1"/>
        <v>-2500</v>
      </c>
      <c r="K20" s="17"/>
    </row>
    <row r="21" spans="1:11" x14ac:dyDescent="0.25">
      <c r="A21" s="35">
        <v>2014</v>
      </c>
      <c r="B21">
        <f>'rockfish harvests'!E243+'rockfish harvests'!G243</f>
        <v>78770</v>
      </c>
      <c r="C21">
        <f>'rockfish harvests'!D243</f>
        <v>73709</v>
      </c>
      <c r="D21" s="37">
        <f t="shared" si="0"/>
        <v>-5061</v>
      </c>
      <c r="G21" s="35">
        <v>2014</v>
      </c>
      <c r="H21">
        <f>'rockfish harvests'!E18+'rockfish harvests'!G18</f>
        <v>3221</v>
      </c>
      <c r="I21" s="11">
        <f>'rockfish harvests'!D18</f>
        <v>2843</v>
      </c>
      <c r="J21" s="37">
        <f t="shared" si="1"/>
        <v>-378</v>
      </c>
    </row>
    <row r="22" spans="1:11" x14ac:dyDescent="0.25">
      <c r="A22" s="35">
        <v>2015</v>
      </c>
      <c r="B22">
        <f>'rockfish harvests'!E244+'rockfish harvests'!G244</f>
        <v>76651</v>
      </c>
      <c r="C22">
        <f>'rockfish harvests'!D244</f>
        <v>80105</v>
      </c>
      <c r="D22" s="37">
        <f t="shared" si="0"/>
        <v>3454</v>
      </c>
      <c r="E22" s="17">
        <f t="shared" si="2"/>
        <v>4.5061382108517831E-2</v>
      </c>
      <c r="G22" s="35">
        <v>2015</v>
      </c>
      <c r="H22">
        <f>'rockfish harvests'!E19+'rockfish harvests'!G19</f>
        <v>4045</v>
      </c>
      <c r="I22" s="11">
        <f>'rockfish harvests'!D19</f>
        <v>3919</v>
      </c>
      <c r="J22" s="37">
        <f t="shared" si="1"/>
        <v>-126</v>
      </c>
      <c r="K22" s="17"/>
    </row>
    <row r="23" spans="1:11" x14ac:dyDescent="0.25">
      <c r="A23" s="35">
        <v>2016</v>
      </c>
      <c r="B23">
        <f>'rockfish harvests'!E245+'rockfish harvests'!G245</f>
        <v>63372</v>
      </c>
      <c r="C23">
        <f>'rockfish harvests'!D245</f>
        <v>54908</v>
      </c>
      <c r="D23" s="37">
        <f t="shared" si="0"/>
        <v>-8464</v>
      </c>
      <c r="G23" s="35">
        <v>2016</v>
      </c>
      <c r="H23">
        <f>'rockfish harvests'!E20+'rockfish harvests'!G20</f>
        <v>5452</v>
      </c>
      <c r="I23" s="11">
        <f>'rockfish harvests'!D20</f>
        <v>5287</v>
      </c>
      <c r="J23" s="37">
        <f t="shared" si="1"/>
        <v>-165</v>
      </c>
    </row>
    <row r="24" spans="1:11" x14ac:dyDescent="0.25">
      <c r="A24" s="35">
        <v>2017</v>
      </c>
      <c r="B24">
        <f>'rockfish harvests'!E246+'rockfish harvests'!G246</f>
        <v>55161</v>
      </c>
      <c r="C24">
        <f>'rockfish harvests'!D246</f>
        <v>57388</v>
      </c>
      <c r="D24" s="37">
        <f t="shared" si="0"/>
        <v>2227</v>
      </c>
      <c r="E24" s="17">
        <f t="shared" si="2"/>
        <v>4.0372727107920454E-2</v>
      </c>
      <c r="G24" s="35">
        <v>2017</v>
      </c>
      <c r="H24">
        <f>'rockfish harvests'!E21+'rockfish harvests'!G21</f>
        <v>4489</v>
      </c>
      <c r="I24" s="11">
        <f>'rockfish harvests'!D21</f>
        <v>4756</v>
      </c>
      <c r="J24" s="37">
        <f t="shared" si="1"/>
        <v>267</v>
      </c>
      <c r="K24" s="17">
        <f>J24/H24</f>
        <v>5.9478725774114505E-2</v>
      </c>
    </row>
    <row r="25" spans="1:11" x14ac:dyDescent="0.25">
      <c r="A25" s="35">
        <v>2018</v>
      </c>
      <c r="B25">
        <f>'rockfish harvests'!E247+'rockfish harvests'!G247</f>
        <v>53273</v>
      </c>
      <c r="C25">
        <f>'rockfish harvests'!D247</f>
        <v>55460</v>
      </c>
      <c r="D25" s="37">
        <f t="shared" si="0"/>
        <v>2187</v>
      </c>
      <c r="E25" s="17">
        <f t="shared" si="2"/>
        <v>4.1052690856531453E-2</v>
      </c>
      <c r="G25" s="35">
        <v>2018</v>
      </c>
      <c r="H25">
        <f>'rockfish harvests'!E22+'rockfish harvests'!G22</f>
        <v>5622</v>
      </c>
      <c r="I25" s="11">
        <f>'rockfish harvests'!D22</f>
        <v>5694</v>
      </c>
      <c r="J25" s="37">
        <f t="shared" si="1"/>
        <v>72</v>
      </c>
      <c r="K25" s="17">
        <f>J25/H25</f>
        <v>1.2806830309498399E-2</v>
      </c>
    </row>
    <row r="26" spans="1:11" x14ac:dyDescent="0.25">
      <c r="A26" s="35">
        <v>2019</v>
      </c>
      <c r="B26">
        <f>'rockfish harvests'!E248+'rockfish harvests'!G248</f>
        <v>51643</v>
      </c>
      <c r="C26">
        <f>'rockfish harvests'!D248</f>
        <v>59842</v>
      </c>
      <c r="D26" s="37">
        <f>C26-B26</f>
        <v>8199</v>
      </c>
      <c r="E26" s="17">
        <f t="shared" si="2"/>
        <v>0.15876304629862711</v>
      </c>
      <c r="G26" s="35">
        <v>2019</v>
      </c>
      <c r="H26">
        <f>'rockfish harvests'!E23+'rockfish harvests'!G23</f>
        <v>7395</v>
      </c>
      <c r="I26" s="11">
        <f>'rockfish harvests'!D23</f>
        <v>6782</v>
      </c>
      <c r="J26" s="37">
        <f t="shared" si="1"/>
        <v>-613</v>
      </c>
      <c r="K26" s="17"/>
    </row>
    <row r="27" spans="1:11" x14ac:dyDescent="0.25">
      <c r="A27" s="35">
        <v>2020</v>
      </c>
      <c r="B27">
        <f>'rockfish harvests'!E249+'rockfish harvests'!G249</f>
        <v>29381</v>
      </c>
      <c r="C27">
        <f>'rockfish harvests'!D249</f>
        <v>24728</v>
      </c>
      <c r="D27" s="37">
        <f t="shared" ref="D27" si="3">C27-B27</f>
        <v>-4653</v>
      </c>
      <c r="E27" s="17"/>
      <c r="G27" s="35">
        <v>2020</v>
      </c>
      <c r="H27">
        <f>'rockfish harvests'!E24+'rockfish harvests'!G24</f>
        <v>4347</v>
      </c>
      <c r="I27" s="11">
        <f>'rockfish harvests'!D24</f>
        <v>5835</v>
      </c>
      <c r="J27" s="37">
        <f t="shared" ref="J27:J28" si="4">I27-H27</f>
        <v>1488</v>
      </c>
      <c r="K27" s="17">
        <f>J27/H27</f>
        <v>0.34230503795721184</v>
      </c>
    </row>
    <row r="28" spans="1:11" x14ac:dyDescent="0.25">
      <c r="A28" s="35">
        <v>2021</v>
      </c>
      <c r="B28">
        <f>'rockfish harvests'!E250+'rockfish harvests'!G250</f>
        <v>64044</v>
      </c>
      <c r="C28">
        <f>'rockfish harvests'!D250</f>
        <v>56521</v>
      </c>
      <c r="D28" s="37">
        <f>C28-B28</f>
        <v>-7523</v>
      </c>
      <c r="E28" s="17"/>
      <c r="G28" s="35">
        <v>2021</v>
      </c>
      <c r="H28">
        <f>'rockfish harvests'!E25+'rockfish harvests'!G25</f>
        <v>9846</v>
      </c>
      <c r="I28" s="11">
        <f>'rockfish harvests'!D25</f>
        <v>9007</v>
      </c>
      <c r="J28" s="37">
        <f t="shared" si="4"/>
        <v>-839</v>
      </c>
      <c r="K28" s="17"/>
    </row>
    <row r="29" spans="1:11" x14ac:dyDescent="0.25">
      <c r="A29" s="53"/>
      <c r="D29" s="37"/>
      <c r="E29" s="17"/>
      <c r="G29" s="53"/>
      <c r="J29" s="37"/>
      <c r="K29" s="17"/>
    </row>
    <row r="30" spans="1:11" x14ac:dyDescent="0.25">
      <c r="B30" s="34" t="s">
        <v>83</v>
      </c>
      <c r="D30" s="37"/>
      <c r="H30" s="34" t="s">
        <v>47</v>
      </c>
    </row>
    <row r="31" spans="1:11" x14ac:dyDescent="0.25">
      <c r="A31" s="35">
        <v>1996</v>
      </c>
      <c r="B31" s="11">
        <v>599</v>
      </c>
      <c r="G31" s="35">
        <v>1996</v>
      </c>
      <c r="H31" s="11">
        <v>4052</v>
      </c>
    </row>
    <row r="32" spans="1:11" x14ac:dyDescent="0.25">
      <c r="A32" s="35">
        <v>1997</v>
      </c>
      <c r="B32" s="11">
        <v>1396</v>
      </c>
      <c r="G32" s="35">
        <v>1997</v>
      </c>
      <c r="H32" s="11">
        <v>3608</v>
      </c>
    </row>
    <row r="33" spans="1:11" x14ac:dyDescent="0.25">
      <c r="A33" s="35">
        <v>1998</v>
      </c>
      <c r="B33" s="11">
        <v>1223</v>
      </c>
      <c r="C33">
        <f>'rockfish harvests'!D252</f>
        <v>1305</v>
      </c>
      <c r="D33" s="37">
        <f>C33-B33</f>
        <v>82</v>
      </c>
      <c r="E33" s="17">
        <f>D33/B33</f>
        <v>6.7048242027800492E-2</v>
      </c>
      <c r="G33" s="35">
        <v>1998</v>
      </c>
      <c r="H33" s="11">
        <v>3159</v>
      </c>
      <c r="I33">
        <f>'rockfish harvests'!D77</f>
        <v>994</v>
      </c>
      <c r="J33" s="37">
        <f>I33-H33</f>
        <v>-2165</v>
      </c>
    </row>
    <row r="34" spans="1:11" x14ac:dyDescent="0.25">
      <c r="A34" s="35">
        <v>1999</v>
      </c>
      <c r="B34" s="11">
        <v>772</v>
      </c>
      <c r="C34">
        <f>'rockfish harvests'!D253</f>
        <v>663</v>
      </c>
      <c r="D34" s="37">
        <f t="shared" ref="D34:D54" si="5">C34-B34</f>
        <v>-109</v>
      </c>
      <c r="G34" s="35">
        <v>1999</v>
      </c>
      <c r="H34" s="11">
        <v>5105</v>
      </c>
      <c r="I34">
        <f>'rockfish harvests'!D78</f>
        <v>911</v>
      </c>
      <c r="J34" s="37">
        <f t="shared" ref="J34:J54" si="6">I34-H34</f>
        <v>-4194</v>
      </c>
    </row>
    <row r="35" spans="1:11" x14ac:dyDescent="0.25">
      <c r="A35" s="35">
        <v>2000</v>
      </c>
      <c r="B35" s="11">
        <v>858</v>
      </c>
      <c r="C35">
        <f>'rockfish harvests'!D254</f>
        <v>1199</v>
      </c>
      <c r="D35" s="37">
        <f t="shared" si="5"/>
        <v>341</v>
      </c>
      <c r="E35" s="17">
        <f>D35/B35</f>
        <v>0.39743589743589741</v>
      </c>
      <c r="G35" s="35">
        <v>2000</v>
      </c>
      <c r="H35" s="11">
        <v>3435</v>
      </c>
      <c r="I35">
        <f>'rockfish harvests'!D79</f>
        <v>1400</v>
      </c>
      <c r="J35" s="37">
        <f t="shared" si="6"/>
        <v>-2035</v>
      </c>
      <c r="K35" s="17"/>
    </row>
    <row r="36" spans="1:11" x14ac:dyDescent="0.25">
      <c r="A36" s="35">
        <v>2001</v>
      </c>
      <c r="B36" s="11">
        <v>668</v>
      </c>
      <c r="C36">
        <f>'rockfish harvests'!D255</f>
        <v>1043</v>
      </c>
      <c r="D36" s="37">
        <f t="shared" si="5"/>
        <v>375</v>
      </c>
      <c r="E36" s="17">
        <f>D36/B36</f>
        <v>0.56137724550898205</v>
      </c>
      <c r="G36" s="35">
        <v>2001</v>
      </c>
      <c r="H36" s="11">
        <v>3811</v>
      </c>
      <c r="I36">
        <f>'rockfish harvests'!D80</f>
        <v>763</v>
      </c>
      <c r="J36" s="37">
        <f t="shared" si="6"/>
        <v>-3048</v>
      </c>
      <c r="K36" s="17"/>
    </row>
    <row r="37" spans="1:11" x14ac:dyDescent="0.25">
      <c r="A37" s="35">
        <v>2002</v>
      </c>
      <c r="B37" s="11">
        <v>737</v>
      </c>
      <c r="C37">
        <f>'rockfish harvests'!D256</f>
        <v>893</v>
      </c>
      <c r="D37" s="37">
        <f t="shared" si="5"/>
        <v>156</v>
      </c>
      <c r="E37" s="17">
        <f>D37/B37</f>
        <v>0.21166892808683854</v>
      </c>
      <c r="G37" s="35">
        <v>2002</v>
      </c>
      <c r="H37" s="11">
        <v>4318</v>
      </c>
      <c r="I37">
        <f>'rockfish harvests'!D81</f>
        <v>2378</v>
      </c>
      <c r="J37" s="37">
        <f t="shared" si="6"/>
        <v>-1940</v>
      </c>
      <c r="K37" s="17"/>
    </row>
    <row r="38" spans="1:11" x14ac:dyDescent="0.25">
      <c r="A38" s="35">
        <v>2003</v>
      </c>
      <c r="B38" s="11">
        <v>1615</v>
      </c>
      <c r="C38">
        <f>'rockfish harvests'!D257</f>
        <v>1627</v>
      </c>
      <c r="D38" s="37">
        <f t="shared" si="5"/>
        <v>12</v>
      </c>
      <c r="E38" s="17">
        <f>D38/B38</f>
        <v>7.4303405572755414E-3</v>
      </c>
      <c r="G38" s="35">
        <v>2003</v>
      </c>
      <c r="H38" s="11">
        <v>3932</v>
      </c>
      <c r="I38">
        <f>'rockfish harvests'!D82</f>
        <v>4623</v>
      </c>
      <c r="J38" s="37">
        <f t="shared" si="6"/>
        <v>691</v>
      </c>
      <c r="K38" s="17">
        <f>J38/H38</f>
        <v>0.17573753814852491</v>
      </c>
    </row>
    <row r="39" spans="1:11" x14ac:dyDescent="0.25">
      <c r="A39" s="35">
        <v>2004</v>
      </c>
      <c r="B39" s="11">
        <v>1413</v>
      </c>
      <c r="C39">
        <f>'rockfish harvests'!D258</f>
        <v>1501</v>
      </c>
      <c r="D39" s="37">
        <f t="shared" si="5"/>
        <v>88</v>
      </c>
      <c r="E39" s="17">
        <f>D39/B39</f>
        <v>6.2278839348903041E-2</v>
      </c>
      <c r="G39" s="35">
        <v>2004</v>
      </c>
      <c r="H39" s="11">
        <v>4941</v>
      </c>
      <c r="I39">
        <f>'rockfish harvests'!D83</f>
        <v>4736</v>
      </c>
      <c r="J39" s="37">
        <f t="shared" si="6"/>
        <v>-205</v>
      </c>
      <c r="K39" s="17"/>
    </row>
    <row r="40" spans="1:11" x14ac:dyDescent="0.25">
      <c r="A40" s="35">
        <v>2005</v>
      </c>
      <c r="B40" s="11">
        <v>2371</v>
      </c>
      <c r="C40">
        <f>'rockfish harvests'!D259</f>
        <v>1676</v>
      </c>
      <c r="D40" s="37">
        <f t="shared" si="5"/>
        <v>-695</v>
      </c>
      <c r="G40" s="35">
        <v>2005</v>
      </c>
      <c r="H40" s="11">
        <v>7035</v>
      </c>
      <c r="I40">
        <f>'rockfish harvests'!D84</f>
        <v>3615</v>
      </c>
      <c r="J40" s="37">
        <f t="shared" si="6"/>
        <v>-3420</v>
      </c>
      <c r="K40" s="17"/>
    </row>
    <row r="41" spans="1:11" x14ac:dyDescent="0.25">
      <c r="A41" s="35">
        <v>2006</v>
      </c>
      <c r="B41" s="11">
        <v>2800</v>
      </c>
      <c r="C41">
        <f>'rockfish harvests'!D260</f>
        <v>2529</v>
      </c>
      <c r="D41" s="37">
        <f t="shared" si="5"/>
        <v>-271</v>
      </c>
      <c r="G41" s="35">
        <v>2006</v>
      </c>
      <c r="H41" s="11">
        <v>5286</v>
      </c>
      <c r="I41">
        <f>'rockfish harvests'!D85</f>
        <v>2463</v>
      </c>
      <c r="J41" s="37">
        <f t="shared" si="6"/>
        <v>-2823</v>
      </c>
      <c r="K41" s="17"/>
    </row>
    <row r="42" spans="1:11" x14ac:dyDescent="0.25">
      <c r="A42" s="35">
        <v>2007</v>
      </c>
      <c r="B42" s="11">
        <v>2013</v>
      </c>
      <c r="C42">
        <f>'rockfish harvests'!D261</f>
        <v>2290</v>
      </c>
      <c r="D42" s="37">
        <f t="shared" si="5"/>
        <v>277</v>
      </c>
      <c r="E42" s="17">
        <f>D42/B42</f>
        <v>0.13760556383507203</v>
      </c>
      <c r="G42" s="35">
        <v>2007</v>
      </c>
      <c r="H42" s="11">
        <v>5543</v>
      </c>
      <c r="I42">
        <f>'rockfish harvests'!D86</f>
        <v>2559</v>
      </c>
      <c r="J42" s="37">
        <f t="shared" si="6"/>
        <v>-2984</v>
      </c>
      <c r="K42" s="17"/>
    </row>
    <row r="43" spans="1:11" x14ac:dyDescent="0.25">
      <c r="A43" s="35">
        <v>2008</v>
      </c>
      <c r="B43" s="11">
        <v>2636</v>
      </c>
      <c r="C43">
        <f>'rockfish harvests'!D262</f>
        <v>2857</v>
      </c>
      <c r="D43" s="37">
        <f t="shared" si="5"/>
        <v>221</v>
      </c>
      <c r="E43" s="17">
        <f>D43/B43</f>
        <v>8.3839150227617606E-2</v>
      </c>
      <c r="G43" s="35">
        <v>2008</v>
      </c>
      <c r="H43" s="11">
        <v>4896</v>
      </c>
      <c r="I43">
        <f>'rockfish harvests'!D87</f>
        <v>2163</v>
      </c>
      <c r="J43" s="37">
        <f t="shared" si="6"/>
        <v>-2733</v>
      </c>
      <c r="K43" s="17"/>
    </row>
    <row r="44" spans="1:11" x14ac:dyDescent="0.25">
      <c r="A44" s="35">
        <v>2009</v>
      </c>
      <c r="B44" s="11">
        <v>2372</v>
      </c>
      <c r="C44">
        <f>'rockfish harvests'!D263</f>
        <v>2494</v>
      </c>
      <c r="D44" s="37">
        <f t="shared" si="5"/>
        <v>122</v>
      </c>
      <c r="E44" s="17">
        <f>D44/B44</f>
        <v>5.1433389544688027E-2</v>
      </c>
      <c r="G44" s="35">
        <v>2009</v>
      </c>
      <c r="H44" s="11">
        <v>6852</v>
      </c>
      <c r="I44">
        <f>'rockfish harvests'!D88</f>
        <v>2918</v>
      </c>
      <c r="J44" s="37">
        <f t="shared" si="6"/>
        <v>-3934</v>
      </c>
      <c r="K44" s="17"/>
    </row>
    <row r="45" spans="1:11" x14ac:dyDescent="0.25">
      <c r="A45" s="35">
        <v>2010</v>
      </c>
      <c r="B45" s="11">
        <v>3723</v>
      </c>
      <c r="C45">
        <f>'rockfish harvests'!D264</f>
        <v>2435</v>
      </c>
      <c r="D45" s="37">
        <f t="shared" si="5"/>
        <v>-1288</v>
      </c>
      <c r="G45" s="35">
        <v>2010</v>
      </c>
      <c r="H45" s="11">
        <v>7819</v>
      </c>
      <c r="I45">
        <f>'rockfish harvests'!D89</f>
        <v>4422</v>
      </c>
      <c r="J45" s="37">
        <f t="shared" si="6"/>
        <v>-3397</v>
      </c>
      <c r="K45" s="17"/>
    </row>
    <row r="46" spans="1:11" x14ac:dyDescent="0.25">
      <c r="A46" s="35">
        <v>2011</v>
      </c>
      <c r="B46">
        <f>'rockfish harvests'!E265+'rockfish harvests'!G265</f>
        <v>2756</v>
      </c>
      <c r="C46">
        <f>'rockfish harvests'!D265</f>
        <v>2848</v>
      </c>
      <c r="D46" s="37">
        <f t="shared" si="5"/>
        <v>92</v>
      </c>
      <c r="E46" s="17">
        <f>D46/B46</f>
        <v>3.3381712626995644E-2</v>
      </c>
      <c r="G46" s="35">
        <v>2011</v>
      </c>
      <c r="H46">
        <f>'rockfish harvests'!E90+'rockfish harvests'!G90</f>
        <v>5317</v>
      </c>
      <c r="I46">
        <f>'rockfish harvests'!D90</f>
        <v>3046</v>
      </c>
      <c r="J46" s="37">
        <f t="shared" si="6"/>
        <v>-2271</v>
      </c>
      <c r="K46" s="17"/>
    </row>
    <row r="47" spans="1:11" x14ac:dyDescent="0.25">
      <c r="A47" s="35">
        <v>2012</v>
      </c>
      <c r="B47">
        <f>'rockfish harvests'!E266+'rockfish harvests'!G266</f>
        <v>3634</v>
      </c>
      <c r="C47">
        <f>'rockfish harvests'!D266</f>
        <v>3241</v>
      </c>
      <c r="D47" s="37">
        <f t="shared" si="5"/>
        <v>-393</v>
      </c>
      <c r="G47" s="35">
        <v>2012</v>
      </c>
      <c r="H47">
        <f>'rockfish harvests'!E91+'rockfish harvests'!G91</f>
        <v>7978</v>
      </c>
      <c r="I47">
        <f>'rockfish harvests'!D91</f>
        <v>4677</v>
      </c>
      <c r="J47" s="37">
        <f t="shared" si="6"/>
        <v>-3301</v>
      </c>
      <c r="K47" s="17"/>
    </row>
    <row r="48" spans="1:11" x14ac:dyDescent="0.25">
      <c r="A48" s="35">
        <v>2013</v>
      </c>
      <c r="B48">
        <f>'rockfish harvests'!E267+'rockfish harvests'!G267</f>
        <v>4518</v>
      </c>
      <c r="C48">
        <f>'rockfish harvests'!D267</f>
        <v>3884</v>
      </c>
      <c r="D48" s="37">
        <f t="shared" si="5"/>
        <v>-634</v>
      </c>
      <c r="G48" s="35">
        <v>2013</v>
      </c>
      <c r="H48">
        <f>'rockfish harvests'!E92+'rockfish harvests'!G92</f>
        <v>6961</v>
      </c>
      <c r="I48">
        <f>'rockfish harvests'!D92</f>
        <v>4808</v>
      </c>
      <c r="J48" s="37">
        <f t="shared" si="6"/>
        <v>-2153</v>
      </c>
      <c r="K48" s="17"/>
    </row>
    <row r="49" spans="1:11" x14ac:dyDescent="0.25">
      <c r="A49" s="35">
        <v>2014</v>
      </c>
      <c r="B49">
        <f>'rockfish harvests'!E268+'rockfish harvests'!G268</f>
        <v>6796</v>
      </c>
      <c r="C49">
        <f>'rockfish harvests'!D268</f>
        <v>4695</v>
      </c>
      <c r="D49" s="37">
        <f t="shared" si="5"/>
        <v>-2101</v>
      </c>
      <c r="G49" s="35">
        <v>2014</v>
      </c>
      <c r="H49">
        <f>'rockfish harvests'!E93+'rockfish harvests'!G93</f>
        <v>11936</v>
      </c>
      <c r="I49">
        <f>'rockfish harvests'!D93</f>
        <v>4731</v>
      </c>
      <c r="J49" s="37">
        <f t="shared" si="6"/>
        <v>-7205</v>
      </c>
      <c r="K49" s="17"/>
    </row>
    <row r="50" spans="1:11" x14ac:dyDescent="0.25">
      <c r="A50" s="35">
        <v>2015</v>
      </c>
      <c r="B50">
        <f>'rockfish harvests'!E269+'rockfish harvests'!G269</f>
        <v>4586</v>
      </c>
      <c r="C50">
        <f>'rockfish harvests'!D269</f>
        <v>5729</v>
      </c>
      <c r="D50" s="37">
        <f t="shared" si="5"/>
        <v>1143</v>
      </c>
      <c r="E50" s="17">
        <f t="shared" ref="E50:E55" si="7">D50/B50</f>
        <v>0.24923680767553424</v>
      </c>
      <c r="G50" s="35">
        <v>2015</v>
      </c>
      <c r="H50">
        <f>'rockfish harvests'!E94+'rockfish harvests'!G94</f>
        <v>10797</v>
      </c>
      <c r="I50">
        <f>'rockfish harvests'!D94</f>
        <v>6321</v>
      </c>
      <c r="J50" s="37">
        <f t="shared" si="6"/>
        <v>-4476</v>
      </c>
      <c r="K50" s="17"/>
    </row>
    <row r="51" spans="1:11" x14ac:dyDescent="0.25">
      <c r="A51" s="35">
        <v>2016</v>
      </c>
      <c r="B51">
        <f>'rockfish harvests'!E270+'rockfish harvests'!G270</f>
        <v>5141</v>
      </c>
      <c r="C51">
        <f>'rockfish harvests'!D270</f>
        <v>7499</v>
      </c>
      <c r="D51" s="37">
        <f t="shared" si="5"/>
        <v>2358</v>
      </c>
      <c r="E51" s="17">
        <f t="shared" si="7"/>
        <v>0.45866562925500876</v>
      </c>
      <c r="G51" s="35">
        <v>2016</v>
      </c>
      <c r="H51">
        <f>'rockfish harvests'!E95+'rockfish harvests'!G95</f>
        <v>15507</v>
      </c>
      <c r="I51">
        <f>'rockfish harvests'!D95</f>
        <v>10123</v>
      </c>
      <c r="J51" s="37">
        <f t="shared" si="6"/>
        <v>-5384</v>
      </c>
      <c r="K51" s="17"/>
    </row>
    <row r="52" spans="1:11" x14ac:dyDescent="0.25">
      <c r="A52" s="35">
        <v>2017</v>
      </c>
      <c r="B52">
        <f>'rockfish harvests'!E271+'rockfish harvests'!G271</f>
        <v>5890</v>
      </c>
      <c r="C52">
        <f>'rockfish harvests'!D271</f>
        <v>6324</v>
      </c>
      <c r="D52" s="37">
        <f t="shared" si="5"/>
        <v>434</v>
      </c>
      <c r="E52" s="17">
        <f t="shared" si="7"/>
        <v>7.3684210526315783E-2</v>
      </c>
      <c r="G52" s="35">
        <v>2017</v>
      </c>
      <c r="H52">
        <f>'rockfish harvests'!E96+'rockfish harvests'!G96</f>
        <v>11401</v>
      </c>
      <c r="I52">
        <f>'rockfish harvests'!D96</f>
        <v>8376</v>
      </c>
      <c r="J52" s="37">
        <f t="shared" si="6"/>
        <v>-3025</v>
      </c>
      <c r="K52" s="17"/>
    </row>
    <row r="53" spans="1:11" x14ac:dyDescent="0.25">
      <c r="A53" s="35">
        <v>2018</v>
      </c>
      <c r="B53">
        <f>'rockfish harvests'!E272+'rockfish harvests'!G272</f>
        <v>6913</v>
      </c>
      <c r="C53">
        <f>'rockfish harvests'!D272</f>
        <v>8659</v>
      </c>
      <c r="D53" s="37">
        <f t="shared" si="5"/>
        <v>1746</v>
      </c>
      <c r="E53" s="17">
        <f t="shared" si="7"/>
        <v>0.2525676262114856</v>
      </c>
      <c r="G53" s="35">
        <v>2018</v>
      </c>
      <c r="H53">
        <f>'rockfish harvests'!E97+'rockfish harvests'!G97</f>
        <v>14692</v>
      </c>
      <c r="I53">
        <f>'rockfish harvests'!D97</f>
        <v>13009</v>
      </c>
      <c r="J53" s="37">
        <f t="shared" si="6"/>
        <v>-1683</v>
      </c>
      <c r="K53" s="17"/>
    </row>
    <row r="54" spans="1:11" x14ac:dyDescent="0.25">
      <c r="A54" s="35">
        <v>2019</v>
      </c>
      <c r="B54">
        <f>'rockfish harvests'!E273+'rockfish harvests'!G273</f>
        <v>7115</v>
      </c>
      <c r="C54">
        <f>'rockfish harvests'!D273</f>
        <v>7908</v>
      </c>
      <c r="D54" s="37">
        <f t="shared" si="5"/>
        <v>793</v>
      </c>
      <c r="E54" s="17">
        <f t="shared" si="7"/>
        <v>0.11145467322557977</v>
      </c>
      <c r="G54" s="35">
        <v>2019</v>
      </c>
      <c r="H54">
        <f>'rockfish harvests'!E98+'rockfish harvests'!G98</f>
        <v>12641</v>
      </c>
      <c r="I54">
        <f>'rockfish harvests'!D98</f>
        <v>16061</v>
      </c>
      <c r="J54" s="37">
        <f t="shared" si="6"/>
        <v>3420</v>
      </c>
      <c r="K54" s="17">
        <f>J54/H54</f>
        <v>0.27054821612214225</v>
      </c>
    </row>
    <row r="55" spans="1:11" x14ac:dyDescent="0.25">
      <c r="A55" s="35">
        <v>2020</v>
      </c>
      <c r="B55">
        <f>'rockfish harvests'!E274+'rockfish harvests'!G274</f>
        <v>3192</v>
      </c>
      <c r="C55">
        <f>'rockfish harvests'!D274</f>
        <v>4059</v>
      </c>
      <c r="D55" s="37">
        <f t="shared" ref="D55:D56" si="8">C55-B55</f>
        <v>867</v>
      </c>
      <c r="E55" s="17">
        <f t="shared" si="7"/>
        <v>0.27161654135338348</v>
      </c>
      <c r="G55" s="35">
        <v>2020</v>
      </c>
      <c r="H55">
        <f>'rockfish harvests'!E99+'rockfish harvests'!G99</f>
        <v>10120</v>
      </c>
      <c r="I55">
        <f>'rockfish harvests'!D99</f>
        <v>9784</v>
      </c>
      <c r="J55" s="37">
        <f t="shared" ref="J55:J56" si="9">I55-H55</f>
        <v>-336</v>
      </c>
      <c r="K55" s="17"/>
    </row>
    <row r="56" spans="1:11" x14ac:dyDescent="0.25">
      <c r="A56" s="35">
        <v>2021</v>
      </c>
      <c r="B56">
        <f>'rockfish harvests'!E275+'rockfish harvests'!G275</f>
        <v>8121</v>
      </c>
      <c r="C56">
        <f>'rockfish harvests'!D275</f>
        <v>7343</v>
      </c>
      <c r="D56" s="37">
        <f t="shared" si="8"/>
        <v>-778</v>
      </c>
      <c r="E56" s="17"/>
      <c r="G56" s="35">
        <v>2021</v>
      </c>
      <c r="H56">
        <f>'rockfish harvests'!E100+'rockfish harvests'!G100</f>
        <v>18745</v>
      </c>
      <c r="I56">
        <f>'rockfish harvests'!D100</f>
        <v>14326</v>
      </c>
      <c r="J56" s="37">
        <f t="shared" si="9"/>
        <v>-4419</v>
      </c>
      <c r="K56" s="17"/>
    </row>
    <row r="57" spans="1:11" x14ac:dyDescent="0.25">
      <c r="A57" s="53"/>
      <c r="D57" s="37"/>
      <c r="E57" s="17"/>
      <c r="G57" s="53"/>
      <c r="J57" s="37"/>
      <c r="K57" s="17"/>
    </row>
    <row r="58" spans="1:11" x14ac:dyDescent="0.25">
      <c r="B58" s="34" t="s">
        <v>38</v>
      </c>
      <c r="H58" s="34" t="s">
        <v>54</v>
      </c>
    </row>
    <row r="59" spans="1:11" x14ac:dyDescent="0.25">
      <c r="A59" s="35">
        <v>1996</v>
      </c>
      <c r="B59" s="11">
        <v>5693</v>
      </c>
      <c r="G59" s="35">
        <v>1996</v>
      </c>
      <c r="H59" s="11">
        <v>26</v>
      </c>
    </row>
    <row r="60" spans="1:11" x14ac:dyDescent="0.25">
      <c r="A60" s="35">
        <v>1997</v>
      </c>
      <c r="B60" s="11">
        <v>7693</v>
      </c>
      <c r="G60" s="35">
        <v>1997</v>
      </c>
      <c r="H60" s="11">
        <v>164</v>
      </c>
    </row>
    <row r="61" spans="1:11" x14ac:dyDescent="0.25">
      <c r="A61" s="35">
        <v>1998</v>
      </c>
      <c r="B61" s="11">
        <v>10337</v>
      </c>
      <c r="C61">
        <f>'rockfish harvests'!D277</f>
        <v>5285</v>
      </c>
      <c r="D61" s="37">
        <f>C61-B61</f>
        <v>-5052</v>
      </c>
      <c r="G61" s="35">
        <v>1998</v>
      </c>
      <c r="H61" s="11">
        <v>144</v>
      </c>
      <c r="I61">
        <f>'rockfish harvests'!D27</f>
        <v>148</v>
      </c>
      <c r="J61" s="37">
        <f>I61-H61</f>
        <v>4</v>
      </c>
      <c r="K61" s="17">
        <f>J61/H61</f>
        <v>2.7777777777777776E-2</v>
      </c>
    </row>
    <row r="62" spans="1:11" x14ac:dyDescent="0.25">
      <c r="A62" s="35">
        <v>1999</v>
      </c>
      <c r="B62" s="11">
        <v>14478</v>
      </c>
      <c r="C62">
        <f>'rockfish harvests'!D278</f>
        <v>6363</v>
      </c>
      <c r="D62" s="37">
        <f t="shared" ref="D62:D82" si="10">C62-B62</f>
        <v>-8115</v>
      </c>
      <c r="G62" s="35">
        <v>1999</v>
      </c>
      <c r="H62" s="11">
        <v>470</v>
      </c>
      <c r="I62">
        <f>'rockfish harvests'!D28</f>
        <v>228</v>
      </c>
      <c r="J62" s="37">
        <f t="shared" ref="J62:J82" si="11">I62-H62</f>
        <v>-242</v>
      </c>
    </row>
    <row r="63" spans="1:11" x14ac:dyDescent="0.25">
      <c r="A63" s="35">
        <v>2000</v>
      </c>
      <c r="B63" s="11">
        <v>16762</v>
      </c>
      <c r="C63">
        <f>'rockfish harvests'!D279</f>
        <v>9746</v>
      </c>
      <c r="D63" s="37">
        <f t="shared" si="10"/>
        <v>-7016</v>
      </c>
      <c r="G63" s="35">
        <v>2000</v>
      </c>
      <c r="H63" s="11">
        <v>519</v>
      </c>
      <c r="I63">
        <f>'rockfish harvests'!D29</f>
        <v>386</v>
      </c>
      <c r="J63" s="37">
        <f t="shared" si="11"/>
        <v>-133</v>
      </c>
      <c r="K63" s="17"/>
    </row>
    <row r="64" spans="1:11" x14ac:dyDescent="0.25">
      <c r="A64" s="35">
        <v>2001</v>
      </c>
      <c r="B64" s="11">
        <v>12712</v>
      </c>
      <c r="C64">
        <f>'rockfish harvests'!D280</f>
        <v>7242</v>
      </c>
      <c r="D64" s="37">
        <f t="shared" si="10"/>
        <v>-5470</v>
      </c>
      <c r="G64" s="35">
        <v>2001</v>
      </c>
      <c r="H64" s="11">
        <v>409</v>
      </c>
      <c r="I64">
        <f>'rockfish harvests'!D30</f>
        <v>1182</v>
      </c>
      <c r="J64" s="37">
        <f t="shared" si="11"/>
        <v>773</v>
      </c>
      <c r="K64" s="17">
        <f t="shared" ref="K64:K70" si="12">J64/H64</f>
        <v>1.8899755501222495</v>
      </c>
    </row>
    <row r="65" spans="1:11" x14ac:dyDescent="0.25">
      <c r="A65" s="35">
        <v>2002</v>
      </c>
      <c r="B65" s="11">
        <v>10076</v>
      </c>
      <c r="C65">
        <f>'rockfish harvests'!D281</f>
        <v>4958</v>
      </c>
      <c r="D65" s="37">
        <f t="shared" si="10"/>
        <v>-5118</v>
      </c>
      <c r="G65" s="35">
        <v>2002</v>
      </c>
      <c r="H65" s="11">
        <v>471</v>
      </c>
      <c r="I65">
        <f>'rockfish harvests'!D31</f>
        <v>880</v>
      </c>
      <c r="J65" s="37">
        <f t="shared" si="11"/>
        <v>409</v>
      </c>
      <c r="K65" s="17">
        <f t="shared" si="12"/>
        <v>0.86836518046709132</v>
      </c>
    </row>
    <row r="66" spans="1:11" x14ac:dyDescent="0.25">
      <c r="A66" s="35">
        <v>2003</v>
      </c>
      <c r="B66" s="11">
        <v>13309</v>
      </c>
      <c r="C66">
        <f>'rockfish harvests'!D282</f>
        <v>6069</v>
      </c>
      <c r="D66" s="37">
        <f t="shared" si="10"/>
        <v>-7240</v>
      </c>
      <c r="G66" s="35">
        <v>2003</v>
      </c>
      <c r="H66" s="11">
        <v>359</v>
      </c>
      <c r="I66">
        <f>'rockfish harvests'!D32</f>
        <v>1107</v>
      </c>
      <c r="J66" s="37">
        <f t="shared" si="11"/>
        <v>748</v>
      </c>
      <c r="K66" s="17">
        <f t="shared" si="12"/>
        <v>2.0835654596100279</v>
      </c>
    </row>
    <row r="67" spans="1:11" x14ac:dyDescent="0.25">
      <c r="A67" s="35">
        <v>2004</v>
      </c>
      <c r="B67" s="11">
        <v>14280</v>
      </c>
      <c r="C67">
        <f>'rockfish harvests'!D283</f>
        <v>6052</v>
      </c>
      <c r="D67" s="37">
        <f t="shared" si="10"/>
        <v>-8228</v>
      </c>
      <c r="G67" s="35">
        <v>2004</v>
      </c>
      <c r="H67" s="11">
        <v>692</v>
      </c>
      <c r="I67">
        <f>'rockfish harvests'!D33</f>
        <v>810</v>
      </c>
      <c r="J67" s="37">
        <f t="shared" si="11"/>
        <v>118</v>
      </c>
      <c r="K67" s="17">
        <f t="shared" si="12"/>
        <v>0.17052023121387283</v>
      </c>
    </row>
    <row r="68" spans="1:11" x14ac:dyDescent="0.25">
      <c r="A68" s="35">
        <v>2005</v>
      </c>
      <c r="B68" s="11">
        <v>17786</v>
      </c>
      <c r="C68">
        <f>'rockfish harvests'!D284</f>
        <v>7678</v>
      </c>
      <c r="D68" s="37">
        <f t="shared" si="10"/>
        <v>-10108</v>
      </c>
      <c r="G68" s="35">
        <v>2005</v>
      </c>
      <c r="H68" s="11">
        <v>727</v>
      </c>
      <c r="I68">
        <f>'rockfish harvests'!D34</f>
        <v>1266</v>
      </c>
      <c r="J68" s="37">
        <f t="shared" si="11"/>
        <v>539</v>
      </c>
      <c r="K68" s="17">
        <f t="shared" si="12"/>
        <v>0.74140302613480058</v>
      </c>
    </row>
    <row r="69" spans="1:11" x14ac:dyDescent="0.25">
      <c r="A69" s="35">
        <v>2006</v>
      </c>
      <c r="B69" s="11">
        <v>11005</v>
      </c>
      <c r="C69">
        <f>'rockfish harvests'!D285</f>
        <v>6437</v>
      </c>
      <c r="D69" s="37">
        <f t="shared" si="10"/>
        <v>-4568</v>
      </c>
      <c r="G69" s="35">
        <v>2006</v>
      </c>
      <c r="H69" s="11">
        <v>527</v>
      </c>
      <c r="I69">
        <f>'rockfish harvests'!D35</f>
        <v>737</v>
      </c>
      <c r="J69" s="37">
        <f t="shared" si="11"/>
        <v>210</v>
      </c>
      <c r="K69" s="17">
        <f t="shared" si="12"/>
        <v>0.39848197343453512</v>
      </c>
    </row>
    <row r="70" spans="1:11" x14ac:dyDescent="0.25">
      <c r="A70" s="35">
        <v>2007</v>
      </c>
      <c r="B70" s="11">
        <v>14332</v>
      </c>
      <c r="C70">
        <f>'rockfish harvests'!D286</f>
        <v>7499</v>
      </c>
      <c r="D70" s="37">
        <f t="shared" si="10"/>
        <v>-6833</v>
      </c>
      <c r="G70" s="35">
        <v>2007</v>
      </c>
      <c r="H70" s="11">
        <v>901</v>
      </c>
      <c r="I70">
        <f>'rockfish harvests'!D36</f>
        <v>1645</v>
      </c>
      <c r="J70" s="37">
        <f t="shared" si="11"/>
        <v>744</v>
      </c>
      <c r="K70" s="17">
        <f t="shared" si="12"/>
        <v>0.82574916759156491</v>
      </c>
    </row>
    <row r="71" spans="1:11" x14ac:dyDescent="0.25">
      <c r="A71" s="35">
        <v>2008</v>
      </c>
      <c r="B71" s="11">
        <v>13424</v>
      </c>
      <c r="C71">
        <f>'rockfish harvests'!D287</f>
        <v>10923</v>
      </c>
      <c r="D71" s="37">
        <f t="shared" si="10"/>
        <v>-2501</v>
      </c>
      <c r="G71" s="35">
        <v>2008</v>
      </c>
      <c r="H71" s="11">
        <v>1394</v>
      </c>
      <c r="I71">
        <f>'rockfish harvests'!D37</f>
        <v>1196</v>
      </c>
      <c r="J71" s="37">
        <f t="shared" si="11"/>
        <v>-198</v>
      </c>
      <c r="K71" s="17"/>
    </row>
    <row r="72" spans="1:11" x14ac:dyDescent="0.25">
      <c r="A72" s="35">
        <v>2009</v>
      </c>
      <c r="B72" s="11">
        <v>17139</v>
      </c>
      <c r="C72">
        <f>'rockfish harvests'!D288</f>
        <v>9325</v>
      </c>
      <c r="D72" s="37">
        <f t="shared" si="10"/>
        <v>-7814</v>
      </c>
      <c r="G72" s="35">
        <v>2009</v>
      </c>
      <c r="H72" s="11">
        <v>539</v>
      </c>
      <c r="I72">
        <f>'rockfish harvests'!D38</f>
        <v>1849</v>
      </c>
      <c r="J72" s="37">
        <f t="shared" si="11"/>
        <v>1310</v>
      </c>
      <c r="K72" s="17">
        <f>J72/H72</f>
        <v>2.4304267161410018</v>
      </c>
    </row>
    <row r="73" spans="1:11" x14ac:dyDescent="0.25">
      <c r="A73" s="35">
        <v>2010</v>
      </c>
      <c r="B73" s="11">
        <v>15425</v>
      </c>
      <c r="C73">
        <f>'rockfish harvests'!D289</f>
        <v>11942</v>
      </c>
      <c r="D73" s="37">
        <f t="shared" si="10"/>
        <v>-3483</v>
      </c>
      <c r="G73" s="35">
        <v>2010</v>
      </c>
      <c r="H73" s="11">
        <v>760</v>
      </c>
      <c r="I73">
        <f>'rockfish harvests'!D39</f>
        <v>1266</v>
      </c>
      <c r="J73" s="37">
        <f t="shared" si="11"/>
        <v>506</v>
      </c>
      <c r="K73" s="17">
        <f>J73/H73</f>
        <v>0.66578947368421049</v>
      </c>
    </row>
    <row r="74" spans="1:11" x14ac:dyDescent="0.25">
      <c r="A74" s="35">
        <v>2011</v>
      </c>
      <c r="B74">
        <f>'rockfish harvests'!E290+'rockfish harvests'!G290</f>
        <v>11825</v>
      </c>
      <c r="C74">
        <f>'rockfish harvests'!D290</f>
        <v>13281</v>
      </c>
      <c r="D74" s="37">
        <f t="shared" si="10"/>
        <v>1456</v>
      </c>
      <c r="E74" s="17">
        <f>D74/B74</f>
        <v>0.12312896405919661</v>
      </c>
      <c r="G74" s="35">
        <v>2011</v>
      </c>
      <c r="H74">
        <f>'rockfish harvests'!E40+'rockfish harvests'!G40</f>
        <v>1224</v>
      </c>
      <c r="I74">
        <f>'rockfish harvests'!D40</f>
        <v>1366</v>
      </c>
      <c r="J74" s="37">
        <f t="shared" si="11"/>
        <v>142</v>
      </c>
      <c r="K74" s="17">
        <f>J74/H74</f>
        <v>0.11601307189542484</v>
      </c>
    </row>
    <row r="75" spans="1:11" x14ac:dyDescent="0.25">
      <c r="A75" s="35">
        <v>2012</v>
      </c>
      <c r="B75">
        <f>'rockfish harvests'!E291+'rockfish harvests'!G291</f>
        <v>17511</v>
      </c>
      <c r="C75">
        <f>'rockfish harvests'!D291</f>
        <v>15243</v>
      </c>
      <c r="D75" s="37">
        <f t="shared" si="10"/>
        <v>-2268</v>
      </c>
      <c r="G75" s="35">
        <v>2012</v>
      </c>
      <c r="H75">
        <f>'rockfish harvests'!E41+'rockfish harvests'!G41</f>
        <v>1006</v>
      </c>
      <c r="I75">
        <f>'rockfish harvests'!D41</f>
        <v>1747</v>
      </c>
      <c r="J75" s="37">
        <f t="shared" si="11"/>
        <v>741</v>
      </c>
      <c r="K75" s="17">
        <f>J75/H75</f>
        <v>0.73658051689860837</v>
      </c>
    </row>
    <row r="76" spans="1:11" x14ac:dyDescent="0.25">
      <c r="A76" s="35">
        <v>2013</v>
      </c>
      <c r="B76">
        <f>'rockfish harvests'!E292+'rockfish harvests'!G292</f>
        <v>21959</v>
      </c>
      <c r="C76">
        <f>'rockfish harvests'!D292</f>
        <v>14770</v>
      </c>
      <c r="D76" s="37">
        <f t="shared" si="10"/>
        <v>-7189</v>
      </c>
      <c r="G76" s="35">
        <v>2013</v>
      </c>
      <c r="H76">
        <f>'rockfish harvests'!E42+'rockfish harvests'!G42</f>
        <v>2492</v>
      </c>
      <c r="I76">
        <f>'rockfish harvests'!D42</f>
        <v>1983</v>
      </c>
      <c r="J76" s="37">
        <f t="shared" si="11"/>
        <v>-509</v>
      </c>
      <c r="K76" s="17"/>
    </row>
    <row r="77" spans="1:11" x14ac:dyDescent="0.25">
      <c r="A77" s="35">
        <v>2014</v>
      </c>
      <c r="B77">
        <f>'rockfish harvests'!E293+'rockfish harvests'!G293</f>
        <v>35145</v>
      </c>
      <c r="C77">
        <f>'rockfish harvests'!D293</f>
        <v>19857</v>
      </c>
      <c r="D77" s="37">
        <f t="shared" si="10"/>
        <v>-15288</v>
      </c>
      <c r="G77" s="35">
        <v>2014</v>
      </c>
      <c r="H77">
        <f>'rockfish harvests'!E43+'rockfish harvests'!G43</f>
        <v>2993</v>
      </c>
      <c r="I77">
        <f>'rockfish harvests'!D43</f>
        <v>2396</v>
      </c>
      <c r="J77" s="37">
        <f t="shared" si="11"/>
        <v>-597</v>
      </c>
    </row>
    <row r="78" spans="1:11" x14ac:dyDescent="0.25">
      <c r="A78" s="35">
        <v>2015</v>
      </c>
      <c r="B78">
        <f>'rockfish harvests'!E294+'rockfish harvests'!G294</f>
        <v>29054</v>
      </c>
      <c r="C78">
        <f>'rockfish harvests'!D294</f>
        <v>22095</v>
      </c>
      <c r="D78" s="37">
        <f t="shared" si="10"/>
        <v>-6959</v>
      </c>
      <c r="G78" s="35">
        <v>2015</v>
      </c>
      <c r="H78">
        <f>'rockfish harvests'!E44+'rockfish harvests'!G44</f>
        <v>2551</v>
      </c>
      <c r="I78">
        <f>'rockfish harvests'!D44</f>
        <v>2031</v>
      </c>
      <c r="J78" s="37">
        <f t="shared" si="11"/>
        <v>-520</v>
      </c>
      <c r="K78" s="17"/>
    </row>
    <row r="79" spans="1:11" x14ac:dyDescent="0.25">
      <c r="A79" s="35">
        <v>2016</v>
      </c>
      <c r="B79">
        <f>'rockfish harvests'!E295+'rockfish harvests'!G295</f>
        <v>35220</v>
      </c>
      <c r="C79">
        <f>'rockfish harvests'!D295</f>
        <v>25877</v>
      </c>
      <c r="D79" s="37">
        <f t="shared" si="10"/>
        <v>-9343</v>
      </c>
      <c r="G79" s="35">
        <v>2016</v>
      </c>
      <c r="H79">
        <f>'rockfish harvests'!E45+'rockfish harvests'!G45</f>
        <v>5452</v>
      </c>
      <c r="I79">
        <f>'rockfish harvests'!D45</f>
        <v>3337</v>
      </c>
      <c r="J79" s="37">
        <f t="shared" si="11"/>
        <v>-2115</v>
      </c>
    </row>
    <row r="80" spans="1:11" x14ac:dyDescent="0.25">
      <c r="A80" s="35">
        <v>2017</v>
      </c>
      <c r="B80">
        <f>'rockfish harvests'!E296+'rockfish harvests'!G296</f>
        <v>29117</v>
      </c>
      <c r="C80">
        <f>'rockfish harvests'!D296</f>
        <v>24305</v>
      </c>
      <c r="D80" s="37">
        <f t="shared" si="10"/>
        <v>-4812</v>
      </c>
      <c r="G80" s="35">
        <v>2017</v>
      </c>
      <c r="H80">
        <f>'rockfish harvests'!E46+'rockfish harvests'!G46</f>
        <v>2882</v>
      </c>
      <c r="I80">
        <f>'rockfish harvests'!D46</f>
        <v>2899</v>
      </c>
      <c r="J80" s="37">
        <f t="shared" si="11"/>
        <v>17</v>
      </c>
      <c r="K80" s="17">
        <f>J80/H80</f>
        <v>5.8986814712005554E-3</v>
      </c>
    </row>
    <row r="81" spans="1:11" x14ac:dyDescent="0.25">
      <c r="A81" s="35">
        <v>2018</v>
      </c>
      <c r="B81">
        <f>'rockfish harvests'!E297+'rockfish harvests'!G297</f>
        <v>32006</v>
      </c>
      <c r="C81">
        <f>'rockfish harvests'!D297</f>
        <v>34673</v>
      </c>
      <c r="D81" s="37">
        <f t="shared" si="10"/>
        <v>2667</v>
      </c>
      <c r="E81" s="17">
        <f>D81/B81</f>
        <v>8.3328125976379425E-2</v>
      </c>
      <c r="G81" s="35">
        <v>2018</v>
      </c>
      <c r="H81">
        <f>'rockfish harvests'!E47+'rockfish harvests'!G47</f>
        <v>4521</v>
      </c>
      <c r="I81">
        <f>'rockfish harvests'!D47</f>
        <v>4291</v>
      </c>
      <c r="J81" s="37">
        <f t="shared" si="11"/>
        <v>-230</v>
      </c>
      <c r="K81" s="17"/>
    </row>
    <row r="82" spans="1:11" x14ac:dyDescent="0.25">
      <c r="A82" s="35">
        <v>2019</v>
      </c>
      <c r="B82">
        <f>'rockfish harvests'!E298+'rockfish harvests'!G298</f>
        <v>24998</v>
      </c>
      <c r="C82">
        <f>'rockfish harvests'!D298</f>
        <v>36293</v>
      </c>
      <c r="D82" s="37">
        <f t="shared" si="10"/>
        <v>11295</v>
      </c>
      <c r="E82" s="17">
        <f>D82/B82</f>
        <v>0.45183614689175133</v>
      </c>
      <c r="G82" s="35">
        <v>2019</v>
      </c>
      <c r="H82">
        <f>'rockfish harvests'!E48+'rockfish harvests'!G48</f>
        <v>7395</v>
      </c>
      <c r="I82">
        <f>'rockfish harvests'!D48</f>
        <v>6954</v>
      </c>
      <c r="J82" s="37">
        <f t="shared" si="11"/>
        <v>-441</v>
      </c>
      <c r="K82" s="17"/>
    </row>
    <row r="83" spans="1:11" x14ac:dyDescent="0.25">
      <c r="A83" s="35">
        <v>2020</v>
      </c>
      <c r="B83">
        <f>'rockfish harvests'!E299+'rockfish harvests'!G299</f>
        <v>14399</v>
      </c>
      <c r="C83">
        <f>'rockfish harvests'!D299</f>
        <v>17585</v>
      </c>
      <c r="D83" s="37">
        <f t="shared" ref="D83:D84" si="13">C83-B83</f>
        <v>3186</v>
      </c>
      <c r="E83" s="17">
        <f>D83/B83</f>
        <v>0.2212653656503924</v>
      </c>
      <c r="G83" s="35">
        <v>2020</v>
      </c>
      <c r="H83">
        <f>'rockfish harvests'!E49+'rockfish harvests'!G49</f>
        <v>2722</v>
      </c>
      <c r="I83">
        <f>'rockfish harvests'!D49</f>
        <v>4035</v>
      </c>
      <c r="J83" s="37">
        <f t="shared" ref="J83:J84" si="14">I83-H83</f>
        <v>1313</v>
      </c>
      <c r="K83" s="17">
        <f>J83/H83</f>
        <v>0.48236590742101398</v>
      </c>
    </row>
    <row r="84" spans="1:11" x14ac:dyDescent="0.25">
      <c r="A84" s="35">
        <v>2021</v>
      </c>
      <c r="B84">
        <f>'rockfish harvests'!E300+'rockfish harvests'!G300</f>
        <v>29990</v>
      </c>
      <c r="C84">
        <f>'rockfish harvests'!D300</f>
        <v>33151</v>
      </c>
      <c r="D84" s="37">
        <f t="shared" si="13"/>
        <v>3161</v>
      </c>
      <c r="E84" s="17">
        <f>D84/B84</f>
        <v>0.10540180060020006</v>
      </c>
      <c r="G84" s="35">
        <v>2021</v>
      </c>
      <c r="H84">
        <f>'rockfish harvests'!E50+'rockfish harvests'!G50</f>
        <v>9846</v>
      </c>
      <c r="I84">
        <f>'rockfish harvests'!D50</f>
        <v>7924</v>
      </c>
      <c r="J84" s="37">
        <f t="shared" si="14"/>
        <v>-1922</v>
      </c>
      <c r="K84" s="17"/>
    </row>
    <row r="85" spans="1:11" x14ac:dyDescent="0.25">
      <c r="A85" s="53"/>
      <c r="D85" s="37"/>
      <c r="G85" s="53"/>
      <c r="J85" s="37"/>
      <c r="K85" s="17"/>
    </row>
    <row r="86" spans="1:11" x14ac:dyDescent="0.25">
      <c r="B86" s="34" t="s">
        <v>41</v>
      </c>
      <c r="H86" s="34" t="s">
        <v>48</v>
      </c>
    </row>
    <row r="87" spans="1:11" x14ac:dyDescent="0.25">
      <c r="A87" s="35">
        <v>1996</v>
      </c>
      <c r="B87" s="11">
        <v>772</v>
      </c>
      <c r="G87" s="35">
        <v>1996</v>
      </c>
      <c r="H87" s="11">
        <v>526</v>
      </c>
    </row>
    <row r="88" spans="1:11" x14ac:dyDescent="0.25">
      <c r="A88" s="35">
        <v>1997</v>
      </c>
      <c r="B88" s="11">
        <v>1193</v>
      </c>
      <c r="G88" s="35">
        <v>1997</v>
      </c>
      <c r="H88" s="11">
        <v>118</v>
      </c>
    </row>
    <row r="89" spans="1:11" x14ac:dyDescent="0.25">
      <c r="A89" s="35">
        <v>1998</v>
      </c>
      <c r="B89" s="11">
        <v>1044</v>
      </c>
      <c r="C89">
        <f>'rockfish harvests'!D302</f>
        <v>1123</v>
      </c>
      <c r="D89" s="37">
        <f>C89-B89</f>
        <v>79</v>
      </c>
      <c r="E89" s="17">
        <f>D89/B89</f>
        <v>7.5670498084291188E-2</v>
      </c>
      <c r="G89" s="35">
        <v>1998</v>
      </c>
      <c r="H89" s="11">
        <v>320</v>
      </c>
      <c r="I89">
        <f>'rockfish harvests'!D102</f>
        <v>157</v>
      </c>
      <c r="J89" s="37">
        <f>I89-H89</f>
        <v>-163</v>
      </c>
      <c r="K89" s="17"/>
    </row>
    <row r="90" spans="1:11" x14ac:dyDescent="0.25">
      <c r="A90" s="35">
        <v>1999</v>
      </c>
      <c r="B90" s="11">
        <v>1352</v>
      </c>
      <c r="C90">
        <f>'rockfish harvests'!D303</f>
        <v>1071</v>
      </c>
      <c r="D90" s="37">
        <f t="shared" ref="D90:D110" si="15">C90-B90</f>
        <v>-281</v>
      </c>
      <c r="G90" s="35">
        <v>1999</v>
      </c>
      <c r="H90" s="11">
        <v>175</v>
      </c>
      <c r="I90">
        <f>'rockfish harvests'!D103</f>
        <v>121</v>
      </c>
      <c r="J90" s="37">
        <f t="shared" ref="J90:J110" si="16">I90-H90</f>
        <v>-54</v>
      </c>
    </row>
    <row r="91" spans="1:11" x14ac:dyDescent="0.25">
      <c r="A91" s="35">
        <v>2000</v>
      </c>
      <c r="B91" s="11">
        <v>3817</v>
      </c>
      <c r="C91">
        <f>'rockfish harvests'!D304</f>
        <v>2883</v>
      </c>
      <c r="D91" s="37">
        <f t="shared" si="15"/>
        <v>-934</v>
      </c>
      <c r="G91" s="35">
        <v>2000</v>
      </c>
      <c r="H91" s="11">
        <v>528</v>
      </c>
      <c r="I91">
        <f>'rockfish harvests'!D104</f>
        <v>423</v>
      </c>
      <c r="J91" s="37">
        <f t="shared" si="16"/>
        <v>-105</v>
      </c>
      <c r="K91" s="17"/>
    </row>
    <row r="92" spans="1:11" x14ac:dyDescent="0.25">
      <c r="A92" s="35">
        <v>2001</v>
      </c>
      <c r="B92" s="11">
        <v>2106</v>
      </c>
      <c r="C92">
        <f>'rockfish harvests'!D305</f>
        <v>2839</v>
      </c>
      <c r="D92" s="37">
        <f t="shared" si="15"/>
        <v>733</v>
      </c>
      <c r="E92" s="17">
        <f>D92/B92</f>
        <v>0.3480531813865147</v>
      </c>
      <c r="G92" s="35">
        <v>2001</v>
      </c>
      <c r="H92" s="11">
        <v>217</v>
      </c>
      <c r="I92">
        <f>'rockfish harvests'!D105</f>
        <v>298</v>
      </c>
      <c r="J92" s="37">
        <f t="shared" si="16"/>
        <v>81</v>
      </c>
      <c r="K92" s="17">
        <f t="shared" ref="K92:K102" si="17">J92/H92</f>
        <v>0.37327188940092165</v>
      </c>
    </row>
    <row r="93" spans="1:11" x14ac:dyDescent="0.25">
      <c r="A93" s="35">
        <v>2002</v>
      </c>
      <c r="B93" s="11">
        <v>1760</v>
      </c>
      <c r="C93">
        <f>'rockfish harvests'!D306</f>
        <v>2029</v>
      </c>
      <c r="D93" s="37">
        <f t="shared" si="15"/>
        <v>269</v>
      </c>
      <c r="E93" s="17">
        <f>D93/B93</f>
        <v>0.15284090909090908</v>
      </c>
      <c r="G93" s="35">
        <v>2002</v>
      </c>
      <c r="H93" s="11">
        <v>386</v>
      </c>
      <c r="I93">
        <f>'rockfish harvests'!D106</f>
        <v>319</v>
      </c>
      <c r="J93" s="37">
        <f t="shared" si="16"/>
        <v>-67</v>
      </c>
      <c r="K93" s="17"/>
    </row>
    <row r="94" spans="1:11" x14ac:dyDescent="0.25">
      <c r="A94" s="35">
        <v>2003</v>
      </c>
      <c r="B94" s="11">
        <v>2934</v>
      </c>
      <c r="C94">
        <f>'rockfish harvests'!D307</f>
        <v>3083</v>
      </c>
      <c r="D94" s="37">
        <f t="shared" si="15"/>
        <v>149</v>
      </c>
      <c r="E94" s="17">
        <f>D94/B94</f>
        <v>5.0783912747102929E-2</v>
      </c>
      <c r="G94" s="35">
        <v>2003</v>
      </c>
      <c r="H94" s="11">
        <v>633</v>
      </c>
      <c r="I94">
        <f>'rockfish harvests'!D107</f>
        <v>1012</v>
      </c>
      <c r="J94" s="37">
        <f t="shared" si="16"/>
        <v>379</v>
      </c>
      <c r="K94" s="17">
        <f t="shared" si="17"/>
        <v>0.59873617693522907</v>
      </c>
    </row>
    <row r="95" spans="1:11" x14ac:dyDescent="0.25">
      <c r="A95" s="35">
        <v>2004</v>
      </c>
      <c r="B95" s="11">
        <v>2439</v>
      </c>
      <c r="C95">
        <f>'rockfish harvests'!D308</f>
        <v>2923</v>
      </c>
      <c r="D95" s="37">
        <f t="shared" si="15"/>
        <v>484</v>
      </c>
      <c r="E95" s="17">
        <f>D95/B95</f>
        <v>0.1984419844198442</v>
      </c>
      <c r="G95" s="35">
        <v>2004</v>
      </c>
      <c r="H95" s="11">
        <v>292</v>
      </c>
      <c r="I95">
        <f>'rockfish harvests'!D108</f>
        <v>730</v>
      </c>
      <c r="J95" s="37">
        <f t="shared" si="16"/>
        <v>438</v>
      </c>
      <c r="K95" s="17">
        <f t="shared" si="17"/>
        <v>1.5</v>
      </c>
    </row>
    <row r="96" spans="1:11" x14ac:dyDescent="0.25">
      <c r="A96" s="35">
        <v>2005</v>
      </c>
      <c r="B96" s="11">
        <v>4496</v>
      </c>
      <c r="C96">
        <f>'rockfish harvests'!D309</f>
        <v>2796</v>
      </c>
      <c r="D96" s="37">
        <f t="shared" si="15"/>
        <v>-1700</v>
      </c>
      <c r="G96" s="35">
        <v>2005</v>
      </c>
      <c r="H96" s="11">
        <v>1772</v>
      </c>
      <c r="I96">
        <f>'rockfish harvests'!D109</f>
        <v>1242</v>
      </c>
      <c r="J96" s="37">
        <f t="shared" si="16"/>
        <v>-530</v>
      </c>
      <c r="K96" s="17"/>
    </row>
    <row r="97" spans="1:11" x14ac:dyDescent="0.25">
      <c r="A97" s="35">
        <v>2006</v>
      </c>
      <c r="B97" s="11">
        <v>2138</v>
      </c>
      <c r="C97">
        <f>'rockfish harvests'!D310</f>
        <v>3058</v>
      </c>
      <c r="D97" s="37">
        <f t="shared" si="15"/>
        <v>920</v>
      </c>
      <c r="E97" s="17">
        <f>D97/B97</f>
        <v>0.43030869971936392</v>
      </c>
      <c r="G97" s="35">
        <v>2006</v>
      </c>
      <c r="H97" s="11">
        <v>412</v>
      </c>
      <c r="I97">
        <f>'rockfish harvests'!D110</f>
        <v>1516</v>
      </c>
      <c r="J97" s="37">
        <f t="shared" si="16"/>
        <v>1104</v>
      </c>
      <c r="K97" s="17">
        <f t="shared" si="17"/>
        <v>2.679611650485437</v>
      </c>
    </row>
    <row r="98" spans="1:11" x14ac:dyDescent="0.25">
      <c r="A98" s="35">
        <v>2007</v>
      </c>
      <c r="B98" s="11">
        <v>2078</v>
      </c>
      <c r="C98">
        <f>'rockfish harvests'!D311</f>
        <v>4266</v>
      </c>
      <c r="D98" s="37">
        <f t="shared" si="15"/>
        <v>2188</v>
      </c>
      <c r="E98" s="17">
        <f>D98/B98</f>
        <v>1.0529355149181905</v>
      </c>
      <c r="G98" s="35">
        <v>2007</v>
      </c>
      <c r="H98" s="11">
        <v>1143</v>
      </c>
      <c r="I98">
        <f>'rockfish harvests'!D111</f>
        <v>3481</v>
      </c>
      <c r="J98" s="37">
        <f t="shared" si="16"/>
        <v>2338</v>
      </c>
      <c r="K98" s="17">
        <f t="shared" si="17"/>
        <v>2.0454943132108485</v>
      </c>
    </row>
    <row r="99" spans="1:11" x14ac:dyDescent="0.25">
      <c r="A99" s="35">
        <v>2008</v>
      </c>
      <c r="B99" s="11">
        <v>3762</v>
      </c>
      <c r="C99">
        <f>'rockfish harvests'!D312</f>
        <v>5010</v>
      </c>
      <c r="D99" s="37">
        <f t="shared" si="15"/>
        <v>1248</v>
      </c>
      <c r="E99" s="17">
        <f>D99/B99</f>
        <v>0.33173843700159489</v>
      </c>
      <c r="G99" s="35">
        <v>2008</v>
      </c>
      <c r="H99" s="11">
        <v>1238</v>
      </c>
      <c r="I99">
        <f>'rockfish harvests'!D112</f>
        <v>2311</v>
      </c>
      <c r="J99" s="37">
        <f t="shared" si="16"/>
        <v>1073</v>
      </c>
      <c r="K99" s="17">
        <f t="shared" si="17"/>
        <v>0.86672051696284325</v>
      </c>
    </row>
    <row r="100" spans="1:11" x14ac:dyDescent="0.25">
      <c r="A100" s="35">
        <v>2009</v>
      </c>
      <c r="B100" s="11">
        <v>3561</v>
      </c>
      <c r="C100">
        <f>'rockfish harvests'!D313</f>
        <v>2818</v>
      </c>
      <c r="D100" s="37">
        <f t="shared" si="15"/>
        <v>-743</v>
      </c>
      <c r="G100" s="35">
        <v>2009</v>
      </c>
      <c r="H100" s="11">
        <v>1035</v>
      </c>
      <c r="I100">
        <f>'rockfish harvests'!D113</f>
        <v>2296</v>
      </c>
      <c r="J100" s="37">
        <f t="shared" si="16"/>
        <v>1261</v>
      </c>
      <c r="K100" s="17">
        <f t="shared" si="17"/>
        <v>1.2183574879227053</v>
      </c>
    </row>
    <row r="101" spans="1:11" x14ac:dyDescent="0.25">
      <c r="A101" s="35">
        <v>2010</v>
      </c>
      <c r="B101" s="11">
        <v>5301</v>
      </c>
      <c r="C101">
        <f>'rockfish harvests'!D314</f>
        <v>4613</v>
      </c>
      <c r="D101" s="37">
        <f t="shared" si="15"/>
        <v>-688</v>
      </c>
      <c r="G101" s="35">
        <v>2010</v>
      </c>
      <c r="H101" s="11">
        <v>1614</v>
      </c>
      <c r="I101">
        <f>'rockfish harvests'!D114</f>
        <v>2555</v>
      </c>
      <c r="J101" s="37">
        <f t="shared" si="16"/>
        <v>941</v>
      </c>
      <c r="K101" s="17">
        <f t="shared" si="17"/>
        <v>0.58302354399008671</v>
      </c>
    </row>
    <row r="102" spans="1:11" x14ac:dyDescent="0.25">
      <c r="A102" s="35">
        <v>2011</v>
      </c>
      <c r="B102">
        <f>'rockfish harvests'!E315+'rockfish harvests'!G315</f>
        <v>5719</v>
      </c>
      <c r="C102">
        <f>'rockfish harvests'!D315</f>
        <v>8950</v>
      </c>
      <c r="D102" s="37">
        <f t="shared" si="15"/>
        <v>3231</v>
      </c>
      <c r="E102" s="17">
        <f>D102/B102</f>
        <v>0.56495890890015732</v>
      </c>
      <c r="G102" s="35">
        <v>2011</v>
      </c>
      <c r="H102">
        <f>'rockfish harvests'!E115+'rockfish harvests'!G115</f>
        <v>1654</v>
      </c>
      <c r="I102">
        <f>'rockfish harvests'!D115</f>
        <v>1928</v>
      </c>
      <c r="J102" s="37">
        <f t="shared" si="16"/>
        <v>274</v>
      </c>
      <c r="K102" s="17">
        <f t="shared" si="17"/>
        <v>0.16565900846432891</v>
      </c>
    </row>
    <row r="103" spans="1:11" x14ac:dyDescent="0.25">
      <c r="A103" s="35">
        <v>2012</v>
      </c>
      <c r="B103">
        <f>'rockfish harvests'!E316+'rockfish harvests'!G316</f>
        <v>7214</v>
      </c>
      <c r="C103">
        <f>'rockfish harvests'!D316</f>
        <v>8600</v>
      </c>
      <c r="D103" s="37">
        <f t="shared" si="15"/>
        <v>1386</v>
      </c>
      <c r="E103" s="17">
        <f>D103/B103</f>
        <v>0.19212642084835044</v>
      </c>
      <c r="G103" s="35">
        <v>2012</v>
      </c>
      <c r="H103">
        <f>'rockfish harvests'!E116+'rockfish harvests'!G116</f>
        <v>3543</v>
      </c>
      <c r="I103">
        <f>'rockfish harvests'!D116</f>
        <v>3433</v>
      </c>
      <c r="J103" s="37">
        <f t="shared" si="16"/>
        <v>-110</v>
      </c>
      <c r="K103" s="17"/>
    </row>
    <row r="104" spans="1:11" x14ac:dyDescent="0.25">
      <c r="A104" s="35">
        <v>2013</v>
      </c>
      <c r="B104">
        <f>'rockfish harvests'!E317+'rockfish harvests'!G317</f>
        <v>8726</v>
      </c>
      <c r="C104">
        <f>'rockfish harvests'!D317</f>
        <v>6970</v>
      </c>
      <c r="D104" s="37">
        <f t="shared" si="15"/>
        <v>-1756</v>
      </c>
      <c r="G104" s="35">
        <v>2013</v>
      </c>
      <c r="H104">
        <f>'rockfish harvests'!E117+'rockfish harvests'!G117</f>
        <v>2444</v>
      </c>
      <c r="I104">
        <f>'rockfish harvests'!D117</f>
        <v>2207</v>
      </c>
      <c r="J104" s="37">
        <f t="shared" si="16"/>
        <v>-237</v>
      </c>
      <c r="K104" s="17"/>
    </row>
    <row r="105" spans="1:11" x14ac:dyDescent="0.25">
      <c r="A105" s="35">
        <v>2014</v>
      </c>
      <c r="B105">
        <f>'rockfish harvests'!E318+'rockfish harvests'!G318</f>
        <v>12585</v>
      </c>
      <c r="C105">
        <f>'rockfish harvests'!D318</f>
        <v>8688</v>
      </c>
      <c r="D105" s="37">
        <f t="shared" si="15"/>
        <v>-3897</v>
      </c>
      <c r="G105" s="35">
        <v>2014</v>
      </c>
      <c r="H105">
        <f>'rockfish harvests'!E118+'rockfish harvests'!G118</f>
        <v>3243</v>
      </c>
      <c r="I105">
        <f>'rockfish harvests'!D118</f>
        <v>3551</v>
      </c>
      <c r="J105" s="37">
        <f t="shared" si="16"/>
        <v>308</v>
      </c>
      <c r="K105" s="17">
        <f t="shared" ref="K105:K110" si="18">J105/H105</f>
        <v>9.4973789700894234E-2</v>
      </c>
    </row>
    <row r="106" spans="1:11" x14ac:dyDescent="0.25">
      <c r="A106" s="35">
        <v>2015</v>
      </c>
      <c r="B106">
        <f>'rockfish harvests'!E319+'rockfish harvests'!G319</f>
        <v>13962</v>
      </c>
      <c r="C106">
        <f>'rockfish harvests'!D319</f>
        <v>9156</v>
      </c>
      <c r="D106" s="37">
        <f t="shared" si="15"/>
        <v>-4806</v>
      </c>
      <c r="G106" s="35">
        <v>2015</v>
      </c>
      <c r="H106">
        <f>'rockfish harvests'!E119+'rockfish harvests'!G119</f>
        <v>2713</v>
      </c>
      <c r="I106">
        <f>'rockfish harvests'!D119</f>
        <v>2787</v>
      </c>
      <c r="J106" s="37">
        <f t="shared" si="16"/>
        <v>74</v>
      </c>
      <c r="K106" s="17">
        <f t="shared" si="18"/>
        <v>2.7276078142277921E-2</v>
      </c>
    </row>
    <row r="107" spans="1:11" x14ac:dyDescent="0.25">
      <c r="A107" s="35">
        <v>2016</v>
      </c>
      <c r="B107">
        <f>'rockfish harvests'!E320+'rockfish harvests'!G320</f>
        <v>13291</v>
      </c>
      <c r="C107">
        <f>'rockfish harvests'!D320</f>
        <v>5839</v>
      </c>
      <c r="D107" s="37">
        <f t="shared" si="15"/>
        <v>-7452</v>
      </c>
      <c r="G107" s="35">
        <v>2016</v>
      </c>
      <c r="H107">
        <f>'rockfish harvests'!E120+'rockfish harvests'!G120</f>
        <v>2807</v>
      </c>
      <c r="I107">
        <f>'rockfish harvests'!D120</f>
        <v>3561</v>
      </c>
      <c r="J107" s="37">
        <f t="shared" si="16"/>
        <v>754</v>
      </c>
      <c r="K107" s="17">
        <f t="shared" si="18"/>
        <v>0.26861417883861777</v>
      </c>
    </row>
    <row r="108" spans="1:11" x14ac:dyDescent="0.25">
      <c r="A108" s="35">
        <v>2017</v>
      </c>
      <c r="B108">
        <f>'rockfish harvests'!E321+'rockfish harvests'!G321</f>
        <v>11503</v>
      </c>
      <c r="C108">
        <f>'rockfish harvests'!D321</f>
        <v>9211</v>
      </c>
      <c r="D108" s="37">
        <f t="shared" si="15"/>
        <v>-2292</v>
      </c>
      <c r="G108" s="35">
        <v>2017</v>
      </c>
      <c r="H108">
        <f>'rockfish harvests'!E121+'rockfish harvests'!G121</f>
        <v>2882</v>
      </c>
      <c r="I108">
        <f>'rockfish harvests'!D121</f>
        <v>3933</v>
      </c>
      <c r="J108" s="37">
        <f t="shared" si="16"/>
        <v>1051</v>
      </c>
      <c r="K108" s="17">
        <f t="shared" si="18"/>
        <v>0.36467730742539906</v>
      </c>
    </row>
    <row r="109" spans="1:11" x14ac:dyDescent="0.25">
      <c r="A109" s="35">
        <v>2018</v>
      </c>
      <c r="B109">
        <f>'rockfish harvests'!E322+'rockfish harvests'!G322</f>
        <v>12895</v>
      </c>
      <c r="C109">
        <f>'rockfish harvests'!D322</f>
        <v>11024</v>
      </c>
      <c r="D109" s="37">
        <f t="shared" si="15"/>
        <v>-1871</v>
      </c>
      <c r="G109" s="35">
        <v>2018</v>
      </c>
      <c r="H109">
        <f>'rockfish harvests'!E122+'rockfish harvests'!G122</f>
        <v>3236</v>
      </c>
      <c r="I109">
        <f>'rockfish harvests'!D122</f>
        <v>3914</v>
      </c>
      <c r="J109" s="37">
        <f t="shared" si="16"/>
        <v>678</v>
      </c>
      <c r="K109" s="17">
        <f t="shared" si="18"/>
        <v>0.20951792336217553</v>
      </c>
    </row>
    <row r="110" spans="1:11" x14ac:dyDescent="0.25">
      <c r="A110" s="35">
        <v>2019</v>
      </c>
      <c r="B110">
        <f>'rockfish harvests'!E323+'rockfish harvests'!G323</f>
        <v>15348</v>
      </c>
      <c r="C110">
        <f>'rockfish harvests'!D323</f>
        <v>11553</v>
      </c>
      <c r="D110" s="37">
        <f t="shared" si="15"/>
        <v>-3795</v>
      </c>
      <c r="G110" s="35">
        <v>2019</v>
      </c>
      <c r="H110">
        <f>'rockfish harvests'!E123+'rockfish harvests'!G123</f>
        <v>2420</v>
      </c>
      <c r="I110">
        <f>'rockfish harvests'!D123</f>
        <v>5680</v>
      </c>
      <c r="J110" s="37">
        <f t="shared" si="16"/>
        <v>3260</v>
      </c>
      <c r="K110" s="17">
        <f t="shared" si="18"/>
        <v>1.3471074380165289</v>
      </c>
    </row>
    <row r="111" spans="1:11" x14ac:dyDescent="0.25">
      <c r="A111" s="35">
        <v>2020</v>
      </c>
      <c r="B111">
        <f>'rockfish harvests'!E324+'rockfish harvests'!G324</f>
        <v>6221</v>
      </c>
      <c r="C111">
        <f>'rockfish harvests'!D324</f>
        <v>3314</v>
      </c>
      <c r="D111" s="37">
        <f t="shared" ref="D111:D112" si="19">C111-B111</f>
        <v>-2907</v>
      </c>
      <c r="E111" s="17"/>
      <c r="G111" s="35">
        <v>2020</v>
      </c>
      <c r="H111">
        <f>'rockfish harvests'!E124+'rockfish harvests'!G124</f>
        <v>2722</v>
      </c>
      <c r="I111">
        <f>'rockfish harvests'!D124</f>
        <v>1507</v>
      </c>
      <c r="J111" s="37">
        <f t="shared" ref="J111:J112" si="20">I111-H111</f>
        <v>-1215</v>
      </c>
      <c r="K111" s="17"/>
    </row>
    <row r="112" spans="1:11" x14ac:dyDescent="0.25">
      <c r="A112" s="35">
        <v>2021</v>
      </c>
      <c r="B112">
        <f>'rockfish harvests'!E325+'rockfish harvests'!G325</f>
        <v>13311</v>
      </c>
      <c r="C112">
        <f>'rockfish harvests'!D325</f>
        <v>9732</v>
      </c>
      <c r="D112" s="37">
        <f t="shared" si="19"/>
        <v>-3579</v>
      </c>
      <c r="E112" s="17"/>
      <c r="G112" s="35">
        <v>2021</v>
      </c>
      <c r="H112">
        <f>'rockfish harvests'!E125+'rockfish harvests'!G125</f>
        <v>9846</v>
      </c>
      <c r="I112">
        <f>'rockfish harvests'!D125</f>
        <v>2885</v>
      </c>
      <c r="J112" s="37">
        <f t="shared" si="20"/>
        <v>-6961</v>
      </c>
      <c r="K112" s="17"/>
    </row>
    <row r="113" spans="1:11" x14ac:dyDescent="0.25">
      <c r="A113" s="53"/>
      <c r="D113" s="37"/>
      <c r="G113" s="53"/>
      <c r="J113" s="37"/>
      <c r="K113" s="17"/>
    </row>
    <row r="114" spans="1:11" x14ac:dyDescent="0.25">
      <c r="B114" t="s">
        <v>39</v>
      </c>
      <c r="H114" s="34" t="s">
        <v>49</v>
      </c>
    </row>
    <row r="115" spans="1:11" x14ac:dyDescent="0.25">
      <c r="A115" s="35">
        <v>1996</v>
      </c>
      <c r="B115" s="36">
        <v>13178</v>
      </c>
      <c r="G115" s="35">
        <v>1996</v>
      </c>
      <c r="H115" s="11">
        <v>22470</v>
      </c>
    </row>
    <row r="116" spans="1:11" x14ac:dyDescent="0.25">
      <c r="A116" s="35">
        <v>1997</v>
      </c>
      <c r="B116" s="36">
        <v>14873</v>
      </c>
      <c r="G116" s="35">
        <v>1997</v>
      </c>
      <c r="H116" s="11">
        <v>21203</v>
      </c>
    </row>
    <row r="117" spans="1:11" x14ac:dyDescent="0.25">
      <c r="A117" s="35">
        <v>1998</v>
      </c>
      <c r="B117" s="36">
        <v>12291</v>
      </c>
      <c r="C117">
        <f>'rockfish harvests'!D327</f>
        <v>6261</v>
      </c>
      <c r="D117" s="37">
        <f>C117-B117</f>
        <v>-6030</v>
      </c>
      <c r="G117" s="35">
        <v>1998</v>
      </c>
      <c r="H117" s="11">
        <v>21573</v>
      </c>
      <c r="I117">
        <f>'rockfish harvests'!D127</f>
        <v>5169</v>
      </c>
      <c r="J117" s="37">
        <f>I117-H117</f>
        <v>-16404</v>
      </c>
      <c r="K117" s="17"/>
    </row>
    <row r="118" spans="1:11" x14ac:dyDescent="0.25">
      <c r="A118" s="35">
        <v>1999</v>
      </c>
      <c r="B118" s="36">
        <v>21884</v>
      </c>
      <c r="C118">
        <f>'rockfish harvests'!D328</f>
        <v>7370</v>
      </c>
      <c r="D118" s="37">
        <f t="shared" ref="D118:D138" si="21">C118-B118</f>
        <v>-14514</v>
      </c>
      <c r="G118" s="35">
        <v>1999</v>
      </c>
      <c r="H118" s="11">
        <v>24798</v>
      </c>
      <c r="I118">
        <f>'rockfish harvests'!D128</f>
        <v>9276</v>
      </c>
      <c r="J118" s="37">
        <f t="shared" ref="J118:J138" si="22">I118-H118</f>
        <v>-15522</v>
      </c>
    </row>
    <row r="119" spans="1:11" x14ac:dyDescent="0.25">
      <c r="A119" s="35">
        <v>2000</v>
      </c>
      <c r="B119" s="36">
        <v>21692</v>
      </c>
      <c r="C119">
        <f>'rockfish harvests'!D329</f>
        <v>11989</v>
      </c>
      <c r="D119" s="37">
        <f t="shared" si="21"/>
        <v>-9703</v>
      </c>
      <c r="G119" s="35">
        <v>2000</v>
      </c>
      <c r="H119" s="11">
        <v>33008</v>
      </c>
      <c r="I119">
        <f>'rockfish harvests'!D129</f>
        <v>13107</v>
      </c>
      <c r="J119" s="37">
        <f t="shared" si="22"/>
        <v>-19901</v>
      </c>
      <c r="K119" s="17"/>
    </row>
    <row r="120" spans="1:11" x14ac:dyDescent="0.25">
      <c r="A120" s="35">
        <v>2001</v>
      </c>
      <c r="B120" s="36">
        <v>14897</v>
      </c>
      <c r="C120">
        <f>'rockfish harvests'!D330</f>
        <v>9348</v>
      </c>
      <c r="D120" s="37">
        <f t="shared" si="21"/>
        <v>-5549</v>
      </c>
      <c r="G120" s="35">
        <v>2001</v>
      </c>
      <c r="H120" s="11">
        <v>24676</v>
      </c>
      <c r="I120">
        <f>'rockfish harvests'!D130</f>
        <v>20907</v>
      </c>
      <c r="J120" s="37">
        <f t="shared" si="22"/>
        <v>-3769</v>
      </c>
      <c r="K120" s="17"/>
    </row>
    <row r="121" spans="1:11" x14ac:dyDescent="0.25">
      <c r="A121" s="35">
        <v>2002</v>
      </c>
      <c r="B121" s="36">
        <v>14455</v>
      </c>
      <c r="C121">
        <f>'rockfish harvests'!D331</f>
        <v>8033</v>
      </c>
      <c r="D121" s="37">
        <f t="shared" si="21"/>
        <v>-6422</v>
      </c>
      <c r="G121" s="35">
        <v>2002</v>
      </c>
      <c r="H121" s="11">
        <v>26143</v>
      </c>
      <c r="I121">
        <f>'rockfish harvests'!D131</f>
        <v>17318</v>
      </c>
      <c r="J121" s="37">
        <f t="shared" si="22"/>
        <v>-8825</v>
      </c>
      <c r="K121" s="17"/>
    </row>
    <row r="122" spans="1:11" x14ac:dyDescent="0.25">
      <c r="A122" s="35">
        <v>2003</v>
      </c>
      <c r="B122" s="36">
        <v>13343</v>
      </c>
      <c r="C122">
        <f>'rockfish harvests'!D332</f>
        <v>11263</v>
      </c>
      <c r="D122" s="37">
        <f t="shared" si="21"/>
        <v>-2080</v>
      </c>
      <c r="G122" s="35">
        <v>2003</v>
      </c>
      <c r="H122" s="11">
        <v>23471</v>
      </c>
      <c r="I122">
        <f>'rockfish harvests'!D132</f>
        <v>17020</v>
      </c>
      <c r="J122" s="37">
        <f t="shared" si="22"/>
        <v>-6451</v>
      </c>
      <c r="K122" s="17"/>
    </row>
    <row r="123" spans="1:11" x14ac:dyDescent="0.25">
      <c r="A123" s="35">
        <v>2004</v>
      </c>
      <c r="B123" s="36">
        <v>26217</v>
      </c>
      <c r="C123">
        <f>'rockfish harvests'!D333</f>
        <v>13195</v>
      </c>
      <c r="D123" s="37">
        <f t="shared" si="21"/>
        <v>-13022</v>
      </c>
      <c r="G123" s="35">
        <v>2004</v>
      </c>
      <c r="H123" s="11">
        <v>34153</v>
      </c>
      <c r="I123">
        <f>'rockfish harvests'!D133</f>
        <v>19434</v>
      </c>
      <c r="J123" s="37">
        <f t="shared" si="22"/>
        <v>-14719</v>
      </c>
      <c r="K123" s="17"/>
    </row>
    <row r="124" spans="1:11" x14ac:dyDescent="0.25">
      <c r="A124" s="35">
        <v>2005</v>
      </c>
      <c r="B124" s="36">
        <v>21699</v>
      </c>
      <c r="C124">
        <f>'rockfish harvests'!D334</f>
        <v>15329</v>
      </c>
      <c r="D124" s="37">
        <f t="shared" si="21"/>
        <v>-6370</v>
      </c>
      <c r="G124" s="35">
        <v>2005</v>
      </c>
      <c r="H124" s="11">
        <v>28779</v>
      </c>
      <c r="I124">
        <f>'rockfish harvests'!D134</f>
        <v>22792</v>
      </c>
      <c r="J124" s="37">
        <f t="shared" si="22"/>
        <v>-5987</v>
      </c>
      <c r="K124" s="17"/>
    </row>
    <row r="125" spans="1:11" x14ac:dyDescent="0.25">
      <c r="A125" s="35">
        <v>2006</v>
      </c>
      <c r="B125" s="36">
        <v>25718</v>
      </c>
      <c r="C125">
        <f>'rockfish harvests'!D335</f>
        <v>17714</v>
      </c>
      <c r="D125" s="37">
        <f t="shared" si="21"/>
        <v>-8004</v>
      </c>
      <c r="G125" s="35">
        <v>2006</v>
      </c>
      <c r="H125" s="11">
        <v>26948</v>
      </c>
      <c r="I125">
        <f>'rockfish harvests'!D135</f>
        <v>19998</v>
      </c>
      <c r="J125" s="37">
        <f t="shared" si="22"/>
        <v>-6950</v>
      </c>
      <c r="K125" s="17"/>
    </row>
    <row r="126" spans="1:11" x14ac:dyDescent="0.25">
      <c r="A126" s="35">
        <v>2007</v>
      </c>
      <c r="B126" s="36">
        <v>25693</v>
      </c>
      <c r="C126">
        <f>'rockfish harvests'!D336</f>
        <v>20368</v>
      </c>
      <c r="D126" s="37">
        <f t="shared" si="21"/>
        <v>-5325</v>
      </c>
      <c r="G126" s="35">
        <v>2007</v>
      </c>
      <c r="H126" s="11">
        <v>32843</v>
      </c>
      <c r="I126">
        <f>'rockfish harvests'!D136</f>
        <v>23861</v>
      </c>
      <c r="J126" s="37">
        <f t="shared" si="22"/>
        <v>-8982</v>
      </c>
      <c r="K126" s="17"/>
    </row>
    <row r="127" spans="1:11" x14ac:dyDescent="0.25">
      <c r="A127" s="35">
        <v>2008</v>
      </c>
      <c r="B127" s="36">
        <v>28365</v>
      </c>
      <c r="C127">
        <f>'rockfish harvests'!D337</f>
        <v>18756</v>
      </c>
      <c r="D127" s="37">
        <f t="shared" si="21"/>
        <v>-9609</v>
      </c>
      <c r="G127" s="35">
        <v>2008</v>
      </c>
      <c r="H127" s="11">
        <v>45924</v>
      </c>
      <c r="I127">
        <f>'rockfish harvests'!D137</f>
        <v>25596</v>
      </c>
      <c r="J127" s="37">
        <f t="shared" si="22"/>
        <v>-20328</v>
      </c>
      <c r="K127" s="17"/>
    </row>
    <row r="128" spans="1:11" x14ac:dyDescent="0.25">
      <c r="A128" s="35">
        <v>2009</v>
      </c>
      <c r="B128" s="36">
        <v>26828</v>
      </c>
      <c r="C128">
        <f>'rockfish harvests'!D338</f>
        <v>14837</v>
      </c>
      <c r="D128" s="37">
        <f t="shared" si="21"/>
        <v>-11991</v>
      </c>
      <c r="G128" s="35">
        <v>2009</v>
      </c>
      <c r="H128" s="11">
        <v>47940</v>
      </c>
      <c r="I128">
        <f>'rockfish harvests'!D138</f>
        <v>21909</v>
      </c>
      <c r="J128" s="37">
        <f t="shared" si="22"/>
        <v>-26031</v>
      </c>
      <c r="K128" s="17"/>
    </row>
    <row r="129" spans="1:11" x14ac:dyDescent="0.25">
      <c r="A129" s="35">
        <v>2010</v>
      </c>
      <c r="B129" s="36">
        <v>22982</v>
      </c>
      <c r="C129">
        <f>'rockfish harvests'!D339</f>
        <v>20015</v>
      </c>
      <c r="D129" s="37">
        <f t="shared" si="21"/>
        <v>-2967</v>
      </c>
      <c r="G129" s="35">
        <v>2010</v>
      </c>
      <c r="H129" s="11">
        <v>50044</v>
      </c>
      <c r="I129">
        <f>'rockfish harvests'!D139</f>
        <v>27027</v>
      </c>
      <c r="J129" s="37">
        <f t="shared" si="22"/>
        <v>-23017</v>
      </c>
      <c r="K129" s="17"/>
    </row>
    <row r="130" spans="1:11" x14ac:dyDescent="0.25">
      <c r="A130" s="35">
        <v>2011</v>
      </c>
      <c r="B130">
        <f>'rockfish harvests'!E340+'rockfish harvests'!G340</f>
        <v>24780</v>
      </c>
      <c r="C130">
        <f>'rockfish harvests'!D340</f>
        <v>17328</v>
      </c>
      <c r="D130" s="37">
        <f t="shared" si="21"/>
        <v>-7452</v>
      </c>
      <c r="G130" s="35">
        <v>2011</v>
      </c>
      <c r="H130">
        <f>'rockfish harvests'!E140+'rockfish harvests'!G140</f>
        <v>46046</v>
      </c>
      <c r="I130">
        <f>'rockfish harvests'!D140</f>
        <v>30322</v>
      </c>
      <c r="J130" s="37">
        <f t="shared" si="22"/>
        <v>-15724</v>
      </c>
      <c r="K130" s="17"/>
    </row>
    <row r="131" spans="1:11" x14ac:dyDescent="0.25">
      <c r="A131" s="35">
        <v>2012</v>
      </c>
      <c r="B131">
        <f>'rockfish harvests'!E341+'rockfish harvests'!G341</f>
        <v>26385</v>
      </c>
      <c r="C131">
        <f>'rockfish harvests'!D341</f>
        <v>20908</v>
      </c>
      <c r="D131" s="37">
        <f t="shared" si="21"/>
        <v>-5477</v>
      </c>
      <c r="G131" s="35">
        <v>2012</v>
      </c>
      <c r="H131">
        <f>'rockfish harvests'!E141+'rockfish harvests'!G141</f>
        <v>37367</v>
      </c>
      <c r="I131">
        <f>'rockfish harvests'!D141</f>
        <v>27771</v>
      </c>
      <c r="J131" s="37">
        <f t="shared" si="22"/>
        <v>-9596</v>
      </c>
      <c r="K131" s="17"/>
    </row>
    <row r="132" spans="1:11" x14ac:dyDescent="0.25">
      <c r="A132" s="35">
        <v>2013</v>
      </c>
      <c r="B132">
        <f>'rockfish harvests'!E342+'rockfish harvests'!G342</f>
        <v>38158</v>
      </c>
      <c r="C132">
        <f>'rockfish harvests'!D342</f>
        <v>24779</v>
      </c>
      <c r="D132" s="37">
        <f t="shared" si="21"/>
        <v>-13379</v>
      </c>
      <c r="G132" s="35">
        <v>2013</v>
      </c>
      <c r="H132">
        <f>'rockfish harvests'!E142+'rockfish harvests'!G142</f>
        <v>45626</v>
      </c>
      <c r="I132">
        <f>'rockfish harvests'!D142</f>
        <v>30558</v>
      </c>
      <c r="J132" s="37">
        <f t="shared" si="22"/>
        <v>-15068</v>
      </c>
      <c r="K132" s="17"/>
    </row>
    <row r="133" spans="1:11" x14ac:dyDescent="0.25">
      <c r="A133" s="35">
        <v>2014</v>
      </c>
      <c r="B133">
        <f>'rockfish harvests'!E343+'rockfish harvests'!G343</f>
        <v>50413</v>
      </c>
      <c r="C133">
        <f>'rockfish harvests'!D343</f>
        <v>25686</v>
      </c>
      <c r="D133" s="37">
        <f t="shared" si="21"/>
        <v>-24727</v>
      </c>
      <c r="G133" s="35">
        <v>2014</v>
      </c>
      <c r="H133">
        <f>'rockfish harvests'!E143+'rockfish harvests'!G143</f>
        <v>52128</v>
      </c>
      <c r="I133">
        <f>'rockfish harvests'!D143</f>
        <v>37025</v>
      </c>
      <c r="J133" s="37">
        <f t="shared" si="22"/>
        <v>-15103</v>
      </c>
      <c r="K133" s="17"/>
    </row>
    <row r="134" spans="1:11" x14ac:dyDescent="0.25">
      <c r="A134" s="35">
        <v>2015</v>
      </c>
      <c r="B134">
        <f>'rockfish harvests'!E344+'rockfish harvests'!G344</f>
        <v>51671</v>
      </c>
      <c r="C134">
        <f>'rockfish harvests'!D344</f>
        <v>29160</v>
      </c>
      <c r="D134" s="37">
        <f t="shared" si="21"/>
        <v>-22511</v>
      </c>
      <c r="G134" s="35">
        <v>2015</v>
      </c>
      <c r="H134">
        <f>'rockfish harvests'!E144+'rockfish harvests'!G144</f>
        <v>57975</v>
      </c>
      <c r="I134">
        <f>'rockfish harvests'!D144</f>
        <v>45883</v>
      </c>
      <c r="J134" s="37">
        <f t="shared" si="22"/>
        <v>-12092</v>
      </c>
      <c r="K134" s="17"/>
    </row>
    <row r="135" spans="1:11" x14ac:dyDescent="0.25">
      <c r="A135" s="35">
        <v>2016</v>
      </c>
      <c r="B135">
        <f>'rockfish harvests'!E345+'rockfish harvests'!G345</f>
        <v>47392</v>
      </c>
      <c r="C135">
        <f>'rockfish harvests'!D345</f>
        <v>32540</v>
      </c>
      <c r="D135" s="37">
        <f t="shared" si="21"/>
        <v>-14852</v>
      </c>
      <c r="G135" s="35">
        <v>2016</v>
      </c>
      <c r="H135">
        <f>'rockfish harvests'!E145+'rockfish harvests'!G145</f>
        <v>74951</v>
      </c>
      <c r="I135">
        <f>'rockfish harvests'!D145</f>
        <v>56991</v>
      </c>
      <c r="J135" s="37">
        <f t="shared" si="22"/>
        <v>-17960</v>
      </c>
      <c r="K135" s="17"/>
    </row>
    <row r="136" spans="1:11" x14ac:dyDescent="0.25">
      <c r="A136" s="35">
        <v>2017</v>
      </c>
      <c r="B136">
        <f>'rockfish harvests'!E346+'rockfish harvests'!G346</f>
        <v>36726</v>
      </c>
      <c r="C136">
        <f>'rockfish harvests'!D346</f>
        <v>30249</v>
      </c>
      <c r="D136" s="37">
        <f t="shared" si="21"/>
        <v>-6477</v>
      </c>
      <c r="G136" s="35">
        <v>2017</v>
      </c>
      <c r="H136">
        <f>'rockfish harvests'!E146+'rockfish harvests'!G146</f>
        <v>55258</v>
      </c>
      <c r="I136">
        <f>'rockfish harvests'!D146</f>
        <v>38626</v>
      </c>
      <c r="J136" s="37">
        <f t="shared" si="22"/>
        <v>-16632</v>
      </c>
      <c r="K136" s="17"/>
    </row>
    <row r="137" spans="1:11" x14ac:dyDescent="0.25">
      <c r="A137" s="35">
        <v>2018</v>
      </c>
      <c r="B137">
        <f>'rockfish harvests'!E347+'rockfish harvests'!G347</f>
        <v>47450</v>
      </c>
      <c r="C137">
        <f>'rockfish harvests'!D347</f>
        <v>42049</v>
      </c>
      <c r="D137" s="37">
        <f t="shared" si="21"/>
        <v>-5401</v>
      </c>
      <c r="G137" s="35">
        <v>2018</v>
      </c>
      <c r="H137">
        <f>'rockfish harvests'!E147+'rockfish harvests'!G147</f>
        <v>61830</v>
      </c>
      <c r="I137">
        <f>'rockfish harvests'!D147</f>
        <v>50115</v>
      </c>
      <c r="J137" s="37">
        <f t="shared" si="22"/>
        <v>-11715</v>
      </c>
      <c r="K137" s="17"/>
    </row>
    <row r="138" spans="1:11" x14ac:dyDescent="0.25">
      <c r="A138" s="35">
        <v>2019</v>
      </c>
      <c r="B138">
        <f>'rockfish harvests'!E348+'rockfish harvests'!G348</f>
        <v>47461</v>
      </c>
      <c r="C138">
        <f>'rockfish harvests'!D348</f>
        <v>35867</v>
      </c>
      <c r="D138" s="37">
        <f t="shared" si="21"/>
        <v>-11594</v>
      </c>
      <c r="G138" s="35">
        <v>2019</v>
      </c>
      <c r="H138">
        <f>'rockfish harvests'!E148+'rockfish harvests'!G148</f>
        <v>79838</v>
      </c>
      <c r="I138">
        <f>'rockfish harvests'!D148</f>
        <v>64565</v>
      </c>
      <c r="J138" s="37">
        <f t="shared" si="22"/>
        <v>-15273</v>
      </c>
      <c r="K138" s="17"/>
    </row>
    <row r="139" spans="1:11" x14ac:dyDescent="0.25">
      <c r="A139" s="35">
        <v>2020</v>
      </c>
      <c r="B139">
        <f>'rockfish harvests'!E349+'rockfish harvests'!G349</f>
        <v>20736</v>
      </c>
      <c r="C139">
        <f>'rockfish harvests'!D349</f>
        <v>11107</v>
      </c>
      <c r="D139" s="37">
        <f t="shared" ref="D139:D140" si="23">C139-B139</f>
        <v>-9629</v>
      </c>
      <c r="E139" s="17">
        <f t="shared" ref="E139" si="24">D139/B139</f>
        <v>-0.46436149691358025</v>
      </c>
      <c r="G139" s="35">
        <v>2020</v>
      </c>
      <c r="H139">
        <f>'rockfish harvests'!E149+'rockfish harvests'!G149</f>
        <v>51010</v>
      </c>
      <c r="I139">
        <f>'rockfish harvests'!D149</f>
        <v>43363</v>
      </c>
      <c r="J139" s="37">
        <f t="shared" ref="J139:J140" si="25">I139-H139</f>
        <v>-7647</v>
      </c>
      <c r="K139" s="17"/>
    </row>
    <row r="140" spans="1:11" x14ac:dyDescent="0.25">
      <c r="A140" s="35">
        <v>2021</v>
      </c>
      <c r="B140">
        <f>'rockfish harvests'!E350+'rockfish harvests'!G350</f>
        <v>37582</v>
      </c>
      <c r="C140">
        <f>'rockfish harvests'!D350</f>
        <v>28388</v>
      </c>
      <c r="D140" s="37">
        <f t="shared" si="23"/>
        <v>-9194</v>
      </c>
      <c r="G140" s="35">
        <v>2021</v>
      </c>
      <c r="H140">
        <f>'rockfish harvests'!E150+'rockfish harvests'!G150</f>
        <v>77353</v>
      </c>
      <c r="I140">
        <f>'rockfish harvests'!D150</f>
        <v>83097</v>
      </c>
      <c r="J140" s="37">
        <f t="shared" si="25"/>
        <v>5744</v>
      </c>
      <c r="K140" s="17">
        <f t="shared" ref="K140" si="26">J140/H140</f>
        <v>7.4256977751347722E-2</v>
      </c>
    </row>
    <row r="141" spans="1:11" x14ac:dyDescent="0.25">
      <c r="A141" s="53"/>
      <c r="D141" s="37"/>
      <c r="G141" s="53"/>
      <c r="J141" s="37"/>
      <c r="K141" s="17"/>
    </row>
    <row r="142" spans="1:11" x14ac:dyDescent="0.25">
      <c r="B142" t="s">
        <v>40</v>
      </c>
      <c r="H142" s="34" t="s">
        <v>91</v>
      </c>
    </row>
    <row r="143" spans="1:11" x14ac:dyDescent="0.25">
      <c r="A143" s="35">
        <v>1996</v>
      </c>
      <c r="B143" s="36">
        <v>4156</v>
      </c>
      <c r="G143" s="35">
        <v>1996</v>
      </c>
      <c r="H143" s="11">
        <v>5156</v>
      </c>
    </row>
    <row r="144" spans="1:11" x14ac:dyDescent="0.25">
      <c r="A144" s="35">
        <v>1997</v>
      </c>
      <c r="B144" s="36">
        <v>5338</v>
      </c>
      <c r="G144" s="35">
        <v>1997</v>
      </c>
      <c r="H144" s="11">
        <v>4056</v>
      </c>
    </row>
    <row r="145" spans="1:11" x14ac:dyDescent="0.25">
      <c r="A145" s="35">
        <v>1998</v>
      </c>
      <c r="B145" s="36">
        <v>6240</v>
      </c>
      <c r="C145">
        <f>'rockfish harvests'!D352</f>
        <v>3185</v>
      </c>
      <c r="D145" s="37">
        <f>C145-B145</f>
        <v>-3055</v>
      </c>
      <c r="G145" s="35">
        <v>1998</v>
      </c>
      <c r="H145" s="11">
        <v>2555</v>
      </c>
      <c r="I145">
        <f>'rockfish harvests'!D152</f>
        <v>1488</v>
      </c>
      <c r="J145" s="37">
        <f>I145-H145</f>
        <v>-1067</v>
      </c>
      <c r="K145" s="17"/>
    </row>
    <row r="146" spans="1:11" x14ac:dyDescent="0.25">
      <c r="A146" s="35">
        <v>1999</v>
      </c>
      <c r="B146" s="36">
        <v>14675</v>
      </c>
      <c r="C146">
        <f>'rockfish harvests'!D353</f>
        <v>4616</v>
      </c>
      <c r="D146" s="37">
        <f t="shared" ref="D146:D166" si="27">C146-B146</f>
        <v>-10059</v>
      </c>
      <c r="G146" s="35">
        <v>1999</v>
      </c>
      <c r="H146" s="11">
        <v>3381</v>
      </c>
      <c r="I146">
        <f>'rockfish harvests'!D153</f>
        <v>1866</v>
      </c>
      <c r="J146" s="37">
        <f t="shared" ref="J146:J166" si="28">I146-H146</f>
        <v>-1515</v>
      </c>
    </row>
    <row r="147" spans="1:11" x14ac:dyDescent="0.25">
      <c r="A147" s="35">
        <v>2000</v>
      </c>
      <c r="B147" s="36">
        <v>10205</v>
      </c>
      <c r="C147">
        <f>'rockfish harvests'!D354</f>
        <v>6910</v>
      </c>
      <c r="D147" s="37">
        <f t="shared" si="27"/>
        <v>-3295</v>
      </c>
      <c r="G147" s="35">
        <v>2000</v>
      </c>
      <c r="H147" s="11">
        <v>4890</v>
      </c>
      <c r="I147">
        <f>'rockfish harvests'!D154</f>
        <v>2115</v>
      </c>
      <c r="J147" s="37">
        <f t="shared" si="28"/>
        <v>-2775</v>
      </c>
      <c r="K147" s="17"/>
    </row>
    <row r="148" spans="1:11" x14ac:dyDescent="0.25">
      <c r="A148" s="35">
        <v>2001</v>
      </c>
      <c r="B148" s="36">
        <v>12352</v>
      </c>
      <c r="C148">
        <f>'rockfish harvests'!D355</f>
        <v>5756</v>
      </c>
      <c r="D148" s="37">
        <f t="shared" si="27"/>
        <v>-6596</v>
      </c>
      <c r="G148" s="35">
        <v>2001</v>
      </c>
      <c r="H148" s="11">
        <v>3993</v>
      </c>
      <c r="I148">
        <f>'rockfish harvests'!D155</f>
        <v>2081</v>
      </c>
      <c r="J148" s="37">
        <f t="shared" si="28"/>
        <v>-1912</v>
      </c>
      <c r="K148" s="17"/>
    </row>
    <row r="149" spans="1:11" x14ac:dyDescent="0.25">
      <c r="A149" s="35">
        <v>2002</v>
      </c>
      <c r="B149" s="36">
        <v>8913</v>
      </c>
      <c r="C149">
        <f>'rockfish harvests'!D356</f>
        <v>7617</v>
      </c>
      <c r="D149" s="37">
        <f t="shared" si="27"/>
        <v>-1296</v>
      </c>
      <c r="G149" s="35">
        <v>2002</v>
      </c>
      <c r="H149" s="11">
        <v>5412</v>
      </c>
      <c r="I149">
        <f>'rockfish harvests'!D156</f>
        <v>2262</v>
      </c>
      <c r="J149" s="37">
        <f t="shared" si="28"/>
        <v>-3150</v>
      </c>
      <c r="K149" s="17"/>
    </row>
    <row r="150" spans="1:11" x14ac:dyDescent="0.25">
      <c r="A150" s="35">
        <v>2003</v>
      </c>
      <c r="B150" s="36">
        <v>10463</v>
      </c>
      <c r="C150">
        <f>'rockfish harvests'!D357</f>
        <v>6896</v>
      </c>
      <c r="D150" s="37">
        <f t="shared" si="27"/>
        <v>-3567</v>
      </c>
      <c r="G150" s="35">
        <v>2003</v>
      </c>
      <c r="H150" s="11">
        <v>3297</v>
      </c>
      <c r="I150">
        <f>'rockfish harvests'!D157</f>
        <v>2743</v>
      </c>
      <c r="J150" s="37">
        <f t="shared" si="28"/>
        <v>-554</v>
      </c>
      <c r="K150" s="17"/>
    </row>
    <row r="151" spans="1:11" x14ac:dyDescent="0.25">
      <c r="A151" s="35">
        <v>2004</v>
      </c>
      <c r="B151" s="36">
        <v>17798</v>
      </c>
      <c r="C151">
        <f>'rockfish harvests'!D358</f>
        <v>10061</v>
      </c>
      <c r="D151" s="37">
        <f t="shared" si="27"/>
        <v>-7737</v>
      </c>
      <c r="G151" s="35">
        <v>2004</v>
      </c>
      <c r="H151" s="11">
        <v>4691</v>
      </c>
      <c r="I151">
        <f>'rockfish harvests'!D158</f>
        <v>3291</v>
      </c>
      <c r="J151" s="37">
        <f t="shared" si="28"/>
        <v>-1400</v>
      </c>
      <c r="K151" s="17"/>
    </row>
    <row r="152" spans="1:11" x14ac:dyDescent="0.25">
      <c r="A152" s="35">
        <v>2005</v>
      </c>
      <c r="B152" s="36">
        <v>16951</v>
      </c>
      <c r="C152">
        <f>'rockfish harvests'!D359</f>
        <v>12666</v>
      </c>
      <c r="D152" s="37">
        <f t="shared" si="27"/>
        <v>-4285</v>
      </c>
      <c r="G152" s="35">
        <v>2005</v>
      </c>
      <c r="H152" s="11">
        <v>10903</v>
      </c>
      <c r="I152">
        <f>'rockfish harvests'!D159</f>
        <v>4641</v>
      </c>
      <c r="J152" s="37">
        <f t="shared" si="28"/>
        <v>-6262</v>
      </c>
      <c r="K152" s="17"/>
    </row>
    <row r="153" spans="1:11" x14ac:dyDescent="0.25">
      <c r="A153" s="35">
        <v>2006</v>
      </c>
      <c r="B153" s="36">
        <v>13249</v>
      </c>
      <c r="C153">
        <f>'rockfish harvests'!D360</f>
        <v>12007</v>
      </c>
      <c r="D153" s="37">
        <f t="shared" si="27"/>
        <v>-1242</v>
      </c>
      <c r="G153" s="35">
        <v>2006</v>
      </c>
      <c r="H153" s="11">
        <v>6407</v>
      </c>
      <c r="I153">
        <f>'rockfish harvests'!D160</f>
        <v>3693</v>
      </c>
      <c r="J153" s="37">
        <f t="shared" si="28"/>
        <v>-2714</v>
      </c>
      <c r="K153" s="17"/>
    </row>
    <row r="154" spans="1:11" x14ac:dyDescent="0.25">
      <c r="A154" s="35">
        <v>2007</v>
      </c>
      <c r="B154" s="36">
        <v>17345</v>
      </c>
      <c r="C154">
        <f>'rockfish harvests'!D361</f>
        <v>12018</v>
      </c>
      <c r="D154" s="37">
        <f t="shared" si="27"/>
        <v>-5327</v>
      </c>
      <c r="G154" s="35">
        <v>2007</v>
      </c>
      <c r="H154" s="11">
        <v>8693</v>
      </c>
      <c r="I154">
        <f>'rockfish harvests'!D161</f>
        <v>5080</v>
      </c>
      <c r="J154" s="37">
        <f t="shared" si="28"/>
        <v>-3613</v>
      </c>
      <c r="K154" s="17"/>
    </row>
    <row r="155" spans="1:11" x14ac:dyDescent="0.25">
      <c r="A155" s="35">
        <v>2008</v>
      </c>
      <c r="B155" s="36">
        <v>20318</v>
      </c>
      <c r="C155">
        <f>'rockfish harvests'!D362</f>
        <v>17754</v>
      </c>
      <c r="D155" s="37">
        <f t="shared" si="27"/>
        <v>-2564</v>
      </c>
      <c r="G155" s="35">
        <v>2008</v>
      </c>
      <c r="H155" s="11">
        <v>10398</v>
      </c>
      <c r="I155">
        <f>'rockfish harvests'!D162</f>
        <v>6260</v>
      </c>
      <c r="J155" s="37">
        <f t="shared" si="28"/>
        <v>-4138</v>
      </c>
      <c r="K155" s="17"/>
    </row>
    <row r="156" spans="1:11" x14ac:dyDescent="0.25">
      <c r="A156" s="35">
        <v>2009</v>
      </c>
      <c r="B156" s="36">
        <v>15378</v>
      </c>
      <c r="C156">
        <f>'rockfish harvests'!D363</f>
        <v>9645</v>
      </c>
      <c r="D156" s="37">
        <f t="shared" si="27"/>
        <v>-5733</v>
      </c>
      <c r="G156" s="35">
        <v>2009</v>
      </c>
      <c r="H156" s="11">
        <v>11536</v>
      </c>
      <c r="I156">
        <f>'rockfish harvests'!D163</f>
        <v>6369</v>
      </c>
      <c r="J156" s="37">
        <f t="shared" si="28"/>
        <v>-5167</v>
      </c>
      <c r="K156" s="17"/>
    </row>
    <row r="157" spans="1:11" x14ac:dyDescent="0.25">
      <c r="A157" s="35">
        <v>2010</v>
      </c>
      <c r="B157" s="36">
        <v>16998</v>
      </c>
      <c r="C157">
        <f>'rockfish harvests'!D364</f>
        <v>12415</v>
      </c>
      <c r="D157" s="37">
        <f t="shared" si="27"/>
        <v>-4583</v>
      </c>
      <c r="G157" s="35">
        <v>2010</v>
      </c>
      <c r="H157" s="11">
        <v>13050</v>
      </c>
      <c r="I157">
        <f>'rockfish harvests'!D164</f>
        <v>8141</v>
      </c>
      <c r="J157" s="37">
        <f t="shared" si="28"/>
        <v>-4909</v>
      </c>
      <c r="K157" s="17"/>
    </row>
    <row r="158" spans="1:11" x14ac:dyDescent="0.25">
      <c r="A158" s="35">
        <v>2011</v>
      </c>
      <c r="B158">
        <f>'rockfish harvests'!E365+'rockfish harvests'!G365</f>
        <v>15576</v>
      </c>
      <c r="C158">
        <f>'rockfish harvests'!D365</f>
        <v>11926</v>
      </c>
      <c r="D158" s="37">
        <f t="shared" si="27"/>
        <v>-3650</v>
      </c>
      <c r="G158" s="35">
        <v>2011</v>
      </c>
      <c r="H158">
        <f>'rockfish harvests'!E165+'rockfish harvests'!G165</f>
        <v>10441</v>
      </c>
      <c r="I158">
        <f>'rockfish harvests'!D165</f>
        <v>6904</v>
      </c>
      <c r="J158" s="37">
        <f t="shared" si="28"/>
        <v>-3537</v>
      </c>
      <c r="K158" s="17"/>
    </row>
    <row r="159" spans="1:11" x14ac:dyDescent="0.25">
      <c r="A159" s="35">
        <v>2012</v>
      </c>
      <c r="B159">
        <f>'rockfish harvests'!E366+'rockfish harvests'!G366</f>
        <v>15847</v>
      </c>
      <c r="C159">
        <f>'rockfish harvests'!D366</f>
        <v>14290</v>
      </c>
      <c r="D159" s="37">
        <f t="shared" si="27"/>
        <v>-1557</v>
      </c>
      <c r="G159" s="35">
        <v>2012</v>
      </c>
      <c r="H159">
        <f>'rockfish harvests'!E166+'rockfish harvests'!G166</f>
        <v>11184</v>
      </c>
      <c r="I159">
        <f>'rockfish harvests'!D166</f>
        <v>6813</v>
      </c>
      <c r="J159" s="37">
        <f t="shared" si="28"/>
        <v>-4371</v>
      </c>
      <c r="K159" s="17"/>
    </row>
    <row r="160" spans="1:11" x14ac:dyDescent="0.25">
      <c r="A160" s="35">
        <v>2013</v>
      </c>
      <c r="B160">
        <f>'rockfish harvests'!E367+'rockfish harvests'!G367</f>
        <v>9700</v>
      </c>
      <c r="C160">
        <f>'rockfish harvests'!D367</f>
        <v>15619</v>
      </c>
      <c r="D160" s="37">
        <f t="shared" si="27"/>
        <v>5919</v>
      </c>
      <c r="E160" s="17">
        <f t="shared" ref="E160:E166" si="29">D160/B160</f>
        <v>0.61020618556701034</v>
      </c>
      <c r="G160" s="35">
        <v>2013</v>
      </c>
      <c r="H160">
        <f>'rockfish harvests'!E167+'rockfish harvests'!G167</f>
        <v>9912</v>
      </c>
      <c r="I160">
        <f>'rockfish harvests'!D167</f>
        <v>9965</v>
      </c>
      <c r="J160" s="37">
        <f t="shared" si="28"/>
        <v>53</v>
      </c>
      <c r="K160" s="17">
        <f>J160/H160</f>
        <v>5.3470540758676355E-3</v>
      </c>
    </row>
    <row r="161" spans="1:11" x14ac:dyDescent="0.25">
      <c r="A161" s="35">
        <v>2014</v>
      </c>
      <c r="B161">
        <f>'rockfish harvests'!E368+'rockfish harvests'!G368</f>
        <v>9754</v>
      </c>
      <c r="C161">
        <f>'rockfish harvests'!D368</f>
        <v>18453</v>
      </c>
      <c r="D161" s="37">
        <f t="shared" si="27"/>
        <v>8699</v>
      </c>
      <c r="E161" s="17">
        <f t="shared" si="29"/>
        <v>0.89183924543776916</v>
      </c>
      <c r="G161" s="35">
        <v>2014</v>
      </c>
      <c r="H161">
        <f>'rockfish harvests'!E168+'rockfish harvests'!G168</f>
        <v>20643</v>
      </c>
      <c r="I161">
        <f>'rockfish harvests'!D168</f>
        <v>11896</v>
      </c>
      <c r="J161" s="37">
        <f t="shared" si="28"/>
        <v>-8747</v>
      </c>
      <c r="K161" s="17"/>
    </row>
    <row r="162" spans="1:11" x14ac:dyDescent="0.25">
      <c r="A162" s="35">
        <v>2015</v>
      </c>
      <c r="B162">
        <f>'rockfish harvests'!E369+'rockfish harvests'!G369</f>
        <v>10892</v>
      </c>
      <c r="C162">
        <f>'rockfish harvests'!D369</f>
        <v>17669</v>
      </c>
      <c r="D162" s="37">
        <f t="shared" si="27"/>
        <v>6777</v>
      </c>
      <c r="E162" s="17">
        <f t="shared" si="29"/>
        <v>0.62219977965479256</v>
      </c>
      <c r="G162" s="35">
        <v>2015</v>
      </c>
      <c r="H162">
        <f>'rockfish harvests'!E169+'rockfish harvests'!G169</f>
        <v>16477</v>
      </c>
      <c r="I162">
        <f>'rockfish harvests'!D169</f>
        <v>12377</v>
      </c>
      <c r="J162" s="37">
        <f t="shared" si="28"/>
        <v>-4100</v>
      </c>
      <c r="K162" s="17"/>
    </row>
    <row r="163" spans="1:11" x14ac:dyDescent="0.25">
      <c r="A163" s="35">
        <v>2016</v>
      </c>
      <c r="B163">
        <f>'rockfish harvests'!E370+'rockfish harvests'!G370</f>
        <v>9431</v>
      </c>
      <c r="C163">
        <f>'rockfish harvests'!D370</f>
        <v>17707</v>
      </c>
      <c r="D163" s="37">
        <f t="shared" si="27"/>
        <v>8276</v>
      </c>
      <c r="E163" s="17">
        <f t="shared" si="29"/>
        <v>0.87753154490510021</v>
      </c>
      <c r="G163" s="35">
        <v>2016</v>
      </c>
      <c r="H163">
        <f>'rockfish harvests'!E170+'rockfish harvests'!G170</f>
        <v>14319</v>
      </c>
      <c r="I163">
        <f>'rockfish harvests'!D170</f>
        <v>13580</v>
      </c>
      <c r="J163" s="37">
        <f t="shared" si="28"/>
        <v>-739</v>
      </c>
      <c r="K163" s="17"/>
    </row>
    <row r="164" spans="1:11" x14ac:dyDescent="0.25">
      <c r="A164" s="35">
        <v>2017</v>
      </c>
      <c r="B164">
        <f>'rockfish harvests'!E371+'rockfish harvests'!G371</f>
        <v>11530</v>
      </c>
      <c r="C164">
        <f>'rockfish harvests'!D371</f>
        <v>20760</v>
      </c>
      <c r="D164" s="37">
        <f t="shared" si="27"/>
        <v>9230</v>
      </c>
      <c r="E164" s="17">
        <f t="shared" si="29"/>
        <v>0.80052038161318295</v>
      </c>
      <c r="G164" s="35">
        <v>2017</v>
      </c>
      <c r="H164">
        <f>'rockfish harvests'!E171+'rockfish harvests'!G171</f>
        <v>13465</v>
      </c>
      <c r="I164">
        <f>'rockfish harvests'!D171</f>
        <v>6719</v>
      </c>
      <c r="J164" s="37">
        <f t="shared" si="28"/>
        <v>-6746</v>
      </c>
      <c r="K164" s="17"/>
    </row>
    <row r="165" spans="1:11" x14ac:dyDescent="0.25">
      <c r="A165" s="35">
        <v>2018</v>
      </c>
      <c r="B165">
        <f>'rockfish harvests'!E372+'rockfish harvests'!G372</f>
        <v>11285</v>
      </c>
      <c r="C165">
        <f>'rockfish harvests'!D372</f>
        <v>26949</v>
      </c>
      <c r="D165" s="37">
        <f t="shared" si="27"/>
        <v>15664</v>
      </c>
      <c r="E165" s="17">
        <f t="shared" si="29"/>
        <v>1.3880372175454143</v>
      </c>
      <c r="G165" s="35">
        <v>2018</v>
      </c>
      <c r="H165">
        <f>'rockfish harvests'!E172+'rockfish harvests'!G172</f>
        <v>13134</v>
      </c>
      <c r="I165">
        <f>'rockfish harvests'!D172</f>
        <v>8479</v>
      </c>
      <c r="J165" s="37">
        <f t="shared" si="28"/>
        <v>-4655</v>
      </c>
      <c r="K165" s="17"/>
    </row>
    <row r="166" spans="1:11" x14ac:dyDescent="0.25">
      <c r="A166" s="35">
        <v>2019</v>
      </c>
      <c r="B166">
        <f>'rockfish harvests'!E373+'rockfish harvests'!G373</f>
        <v>9794</v>
      </c>
      <c r="C166">
        <f>'rockfish harvests'!D373</f>
        <v>22912</v>
      </c>
      <c r="D166" s="37">
        <f t="shared" si="27"/>
        <v>13118</v>
      </c>
      <c r="E166" s="17">
        <f t="shared" si="29"/>
        <v>1.3393914641617317</v>
      </c>
      <c r="G166" s="35">
        <v>2019</v>
      </c>
      <c r="H166">
        <f>'rockfish harvests'!E173+'rockfish harvests'!G173</f>
        <v>15282</v>
      </c>
      <c r="I166">
        <f>'rockfish harvests'!D173</f>
        <v>9881</v>
      </c>
      <c r="J166" s="37">
        <f t="shared" si="28"/>
        <v>-5401</v>
      </c>
      <c r="K166" s="17"/>
    </row>
    <row r="167" spans="1:11" x14ac:dyDescent="0.25">
      <c r="A167" s="35">
        <v>2020</v>
      </c>
      <c r="B167">
        <f>'rockfish harvests'!E374+'rockfish harvests'!G374</f>
        <v>9340</v>
      </c>
      <c r="C167">
        <f>'rockfish harvests'!D374</f>
        <v>12619</v>
      </c>
      <c r="D167" s="37">
        <f t="shared" ref="D167:D168" si="30">C167-B167</f>
        <v>3279</v>
      </c>
      <c r="E167" s="17">
        <f t="shared" ref="E167:E168" si="31">D167/B167</f>
        <v>0.35107066381156316</v>
      </c>
      <c r="G167" s="35">
        <v>2020</v>
      </c>
      <c r="H167">
        <f>'rockfish harvests'!E174+'rockfish harvests'!G174</f>
        <v>5962</v>
      </c>
      <c r="I167">
        <f>'rockfish harvests'!D174</f>
        <v>4479</v>
      </c>
      <c r="J167" s="37">
        <f t="shared" ref="J167:J168" si="32">I167-H167</f>
        <v>-1483</v>
      </c>
      <c r="K167" s="17"/>
    </row>
    <row r="168" spans="1:11" x14ac:dyDescent="0.25">
      <c r="A168" s="35">
        <v>2021</v>
      </c>
      <c r="B168">
        <f>'rockfish harvests'!E375+'rockfish harvests'!G375</f>
        <v>14771</v>
      </c>
      <c r="C168">
        <f>'rockfish harvests'!D375</f>
        <v>29399</v>
      </c>
      <c r="D168" s="37">
        <f t="shared" si="30"/>
        <v>14628</v>
      </c>
      <c r="E168" s="17">
        <f t="shared" si="31"/>
        <v>0.99031886805226454</v>
      </c>
      <c r="G168" s="35">
        <v>2021</v>
      </c>
      <c r="H168">
        <f>'rockfish harvests'!E175+'rockfish harvests'!G175</f>
        <v>16258</v>
      </c>
      <c r="I168">
        <f>'rockfish harvests'!D175</f>
        <v>9680</v>
      </c>
      <c r="J168" s="37">
        <f t="shared" si="32"/>
        <v>-6578</v>
      </c>
      <c r="K168" s="17"/>
    </row>
    <row r="169" spans="1:11" x14ac:dyDescent="0.25">
      <c r="A169" s="53"/>
      <c r="D169" s="37"/>
      <c r="E169" s="17"/>
      <c r="G169" s="53"/>
      <c r="J169" s="37"/>
      <c r="K169" s="17"/>
    </row>
    <row r="170" spans="1:11" x14ac:dyDescent="0.25">
      <c r="H170" s="34" t="s">
        <v>51</v>
      </c>
    </row>
    <row r="171" spans="1:11" x14ac:dyDescent="0.25">
      <c r="G171" s="35">
        <v>1996</v>
      </c>
      <c r="H171" s="11">
        <v>12375</v>
      </c>
    </row>
    <row r="172" spans="1:11" x14ac:dyDescent="0.25">
      <c r="G172" s="35">
        <v>1997</v>
      </c>
      <c r="H172" s="11">
        <v>15403</v>
      </c>
    </row>
    <row r="173" spans="1:11" x14ac:dyDescent="0.25">
      <c r="G173" s="35">
        <v>1998</v>
      </c>
      <c r="H173" s="11">
        <v>13432</v>
      </c>
      <c r="I173">
        <f>'rockfish harvests'!D177</f>
        <v>3821</v>
      </c>
      <c r="J173" s="37">
        <f>I173-H173</f>
        <v>-9611</v>
      </c>
      <c r="K173" s="17"/>
    </row>
    <row r="174" spans="1:11" x14ac:dyDescent="0.25">
      <c r="G174" s="35">
        <v>1999</v>
      </c>
      <c r="H174" s="11">
        <v>12954</v>
      </c>
      <c r="I174">
        <f>'rockfish harvests'!D178</f>
        <v>4514</v>
      </c>
      <c r="J174" s="37">
        <f t="shared" ref="J174:J194" si="33">I174-H174</f>
        <v>-8440</v>
      </c>
    </row>
    <row r="175" spans="1:11" x14ac:dyDescent="0.25">
      <c r="G175" s="35">
        <v>2000</v>
      </c>
      <c r="H175" s="11">
        <v>17338</v>
      </c>
      <c r="I175">
        <f>'rockfish harvests'!D179</f>
        <v>6011</v>
      </c>
      <c r="J175" s="37">
        <f t="shared" si="33"/>
        <v>-11327</v>
      </c>
      <c r="K175" s="17"/>
    </row>
    <row r="176" spans="1:11" x14ac:dyDescent="0.25">
      <c r="G176" s="35">
        <v>2001</v>
      </c>
      <c r="H176" s="11">
        <v>16849</v>
      </c>
      <c r="I176">
        <f>'rockfish harvests'!D180</f>
        <v>7036</v>
      </c>
      <c r="J176" s="37">
        <f t="shared" si="33"/>
        <v>-9813</v>
      </c>
      <c r="K176" s="17"/>
    </row>
    <row r="177" spans="7:11" x14ac:dyDescent="0.25">
      <c r="G177" s="35">
        <v>2002</v>
      </c>
      <c r="H177" s="11">
        <v>17171</v>
      </c>
      <c r="I177">
        <f>'rockfish harvests'!D181</f>
        <v>7398</v>
      </c>
      <c r="J177" s="37">
        <f t="shared" si="33"/>
        <v>-9773</v>
      </c>
      <c r="K177" s="17"/>
    </row>
    <row r="178" spans="7:11" x14ac:dyDescent="0.25">
      <c r="G178" s="35">
        <v>2003</v>
      </c>
      <c r="H178" s="11">
        <v>18559</v>
      </c>
      <c r="I178">
        <f>'rockfish harvests'!D182</f>
        <v>11932</v>
      </c>
      <c r="J178" s="37">
        <f t="shared" si="33"/>
        <v>-6627</v>
      </c>
      <c r="K178" s="17"/>
    </row>
    <row r="179" spans="7:11" x14ac:dyDescent="0.25">
      <c r="G179" s="35">
        <v>2004</v>
      </c>
      <c r="H179" s="11">
        <v>28324</v>
      </c>
      <c r="I179">
        <f>'rockfish harvests'!D183</f>
        <v>10310</v>
      </c>
      <c r="J179" s="37">
        <f t="shared" si="33"/>
        <v>-18014</v>
      </c>
      <c r="K179" s="17"/>
    </row>
    <row r="180" spans="7:11" x14ac:dyDescent="0.25">
      <c r="G180" s="35">
        <v>2005</v>
      </c>
      <c r="H180" s="11">
        <v>25829</v>
      </c>
      <c r="I180">
        <f>'rockfish harvests'!D184</f>
        <v>10930</v>
      </c>
      <c r="J180" s="37">
        <f t="shared" si="33"/>
        <v>-14899</v>
      </c>
      <c r="K180" s="17"/>
    </row>
    <row r="181" spans="7:11" x14ac:dyDescent="0.25">
      <c r="G181" s="35">
        <v>2006</v>
      </c>
      <c r="H181" s="11">
        <v>27887</v>
      </c>
      <c r="I181">
        <f>'rockfish harvests'!D185</f>
        <v>7578</v>
      </c>
      <c r="J181" s="37">
        <f t="shared" si="33"/>
        <v>-20309</v>
      </c>
      <c r="K181" s="17"/>
    </row>
    <row r="182" spans="7:11" x14ac:dyDescent="0.25">
      <c r="G182" s="35">
        <v>2007</v>
      </c>
      <c r="H182" s="11">
        <v>32550</v>
      </c>
      <c r="I182">
        <f>'rockfish harvests'!D186</f>
        <v>12404</v>
      </c>
      <c r="J182" s="37">
        <f t="shared" si="33"/>
        <v>-20146</v>
      </c>
      <c r="K182" s="17"/>
    </row>
    <row r="183" spans="7:11" x14ac:dyDescent="0.25">
      <c r="G183" s="35">
        <v>2008</v>
      </c>
      <c r="H183" s="11">
        <v>30573</v>
      </c>
      <c r="I183">
        <f>'rockfish harvests'!D187</f>
        <v>9522</v>
      </c>
      <c r="J183" s="37">
        <f t="shared" si="33"/>
        <v>-21051</v>
      </c>
      <c r="K183" s="17"/>
    </row>
    <row r="184" spans="7:11" x14ac:dyDescent="0.25">
      <c r="G184" s="35">
        <v>2009</v>
      </c>
      <c r="H184" s="11">
        <v>36627</v>
      </c>
      <c r="I184">
        <f>'rockfish harvests'!D188</f>
        <v>8197</v>
      </c>
      <c r="J184" s="37">
        <f t="shared" si="33"/>
        <v>-28430</v>
      </c>
      <c r="K184" s="17"/>
    </row>
    <row r="185" spans="7:11" x14ac:dyDescent="0.25">
      <c r="G185" s="35">
        <v>2010</v>
      </c>
      <c r="H185" s="11">
        <v>32361</v>
      </c>
      <c r="I185">
        <f>'rockfish harvests'!D189</f>
        <v>11909</v>
      </c>
      <c r="J185" s="37">
        <f t="shared" si="33"/>
        <v>-20452</v>
      </c>
      <c r="K185" s="17"/>
    </row>
    <row r="186" spans="7:11" x14ac:dyDescent="0.25">
      <c r="G186" s="35">
        <v>2011</v>
      </c>
      <c r="H186">
        <f>'rockfish harvests'!E190+'rockfish harvests'!G190</f>
        <v>23230</v>
      </c>
      <c r="I186">
        <f>'rockfish harvests'!D190</f>
        <v>11367</v>
      </c>
      <c r="J186" s="37">
        <f t="shared" si="33"/>
        <v>-11863</v>
      </c>
      <c r="K186" s="17"/>
    </row>
    <row r="187" spans="7:11" x14ac:dyDescent="0.25">
      <c r="G187" s="35">
        <v>2012</v>
      </c>
      <c r="H187">
        <f>'rockfish harvests'!E191+'rockfish harvests'!G191</f>
        <v>21766</v>
      </c>
      <c r="I187">
        <f>'rockfish harvests'!D191</f>
        <v>13580</v>
      </c>
      <c r="J187" s="37">
        <f t="shared" si="33"/>
        <v>-8186</v>
      </c>
      <c r="K187" s="17"/>
    </row>
    <row r="188" spans="7:11" x14ac:dyDescent="0.25">
      <c r="G188" s="35">
        <v>2013</v>
      </c>
      <c r="H188">
        <f>'rockfish harvests'!E192+'rockfish harvests'!G192</f>
        <v>25963</v>
      </c>
      <c r="I188">
        <f>'rockfish harvests'!D192</f>
        <v>14209</v>
      </c>
      <c r="J188" s="37">
        <f t="shared" si="33"/>
        <v>-11754</v>
      </c>
      <c r="K188" s="17"/>
    </row>
    <row r="189" spans="7:11" x14ac:dyDescent="0.25">
      <c r="G189" s="35">
        <v>2014</v>
      </c>
      <c r="H189">
        <f>'rockfish harvests'!E193+'rockfish harvests'!G193</f>
        <v>32068</v>
      </c>
      <c r="I189">
        <f>'rockfish harvests'!D193</f>
        <v>14913</v>
      </c>
      <c r="J189" s="37">
        <f t="shared" si="33"/>
        <v>-17155</v>
      </c>
      <c r="K189" s="17"/>
    </row>
    <row r="190" spans="7:11" x14ac:dyDescent="0.25">
      <c r="G190" s="35">
        <v>2015</v>
      </c>
      <c r="H190">
        <f>'rockfish harvests'!E194+'rockfish harvests'!G194</f>
        <v>32359</v>
      </c>
      <c r="I190">
        <f>'rockfish harvests'!D194</f>
        <v>20073</v>
      </c>
      <c r="J190" s="37">
        <f t="shared" si="33"/>
        <v>-12286</v>
      </c>
      <c r="K190" s="17"/>
    </row>
    <row r="191" spans="7:11" x14ac:dyDescent="0.25">
      <c r="G191" s="35">
        <v>2016</v>
      </c>
      <c r="H191">
        <f>'rockfish harvests'!E195+'rockfish harvests'!G195</f>
        <v>33416</v>
      </c>
      <c r="I191">
        <f>'rockfish harvests'!D195</f>
        <v>28893</v>
      </c>
      <c r="J191" s="37">
        <f t="shared" si="33"/>
        <v>-4523</v>
      </c>
      <c r="K191" s="17"/>
    </row>
    <row r="192" spans="7:11" x14ac:dyDescent="0.25">
      <c r="G192" s="35">
        <v>2017</v>
      </c>
      <c r="H192">
        <f>'rockfish harvests'!E196+'rockfish harvests'!G196</f>
        <v>25186</v>
      </c>
      <c r="I192">
        <f>'rockfish harvests'!D196</f>
        <v>16300</v>
      </c>
      <c r="J192" s="37">
        <f t="shared" si="33"/>
        <v>-8886</v>
      </c>
      <c r="K192" s="17"/>
    </row>
    <row r="193" spans="7:11" x14ac:dyDescent="0.25">
      <c r="G193" s="35">
        <v>2018</v>
      </c>
      <c r="H193">
        <f>'rockfish harvests'!E197+'rockfish harvests'!G197</f>
        <v>26990</v>
      </c>
      <c r="I193">
        <f>'rockfish harvests'!D197</f>
        <v>12107</v>
      </c>
      <c r="J193" s="37">
        <f t="shared" si="33"/>
        <v>-14883</v>
      </c>
      <c r="K193" s="17"/>
    </row>
    <row r="194" spans="7:11" x14ac:dyDescent="0.25">
      <c r="G194" s="35">
        <v>2019</v>
      </c>
      <c r="H194">
        <f>'rockfish harvests'!E198+'rockfish harvests'!G198</f>
        <v>41013</v>
      </c>
      <c r="I194">
        <f>'rockfish harvests'!D198</f>
        <v>15083</v>
      </c>
      <c r="J194" s="37">
        <f t="shared" si="33"/>
        <v>-25930</v>
      </c>
      <c r="K194" s="17"/>
    </row>
    <row r="195" spans="7:11" x14ac:dyDescent="0.25">
      <c r="G195" s="35">
        <v>2020</v>
      </c>
      <c r="H195">
        <f>'rockfish harvests'!E199+'rockfish harvests'!G199</f>
        <v>26515</v>
      </c>
      <c r="I195">
        <f>'rockfish harvests'!D199</f>
        <v>9001</v>
      </c>
      <c r="J195" s="37">
        <f t="shared" ref="J195:J196" si="34">I195-H195</f>
        <v>-17514</v>
      </c>
      <c r="K195" s="17"/>
    </row>
    <row r="196" spans="7:11" x14ac:dyDescent="0.25">
      <c r="G196" s="35">
        <v>2021</v>
      </c>
      <c r="H196">
        <f>'rockfish harvests'!E200+'rockfish harvests'!G200</f>
        <v>34074</v>
      </c>
      <c r="I196">
        <f>'rockfish harvests'!D200</f>
        <v>16848</v>
      </c>
      <c r="J196" s="37">
        <f t="shared" si="34"/>
        <v>-17226</v>
      </c>
      <c r="K196" s="17"/>
    </row>
    <row r="197" spans="7:11" x14ac:dyDescent="0.25">
      <c r="G197" s="53"/>
      <c r="J197" s="37"/>
      <c r="K197" s="17"/>
    </row>
    <row r="198" spans="7:11" x14ac:dyDescent="0.25">
      <c r="H198" s="34" t="s">
        <v>52</v>
      </c>
    </row>
    <row r="199" spans="7:11" x14ac:dyDescent="0.25">
      <c r="G199" s="35">
        <v>1996</v>
      </c>
      <c r="H199" s="11">
        <v>135</v>
      </c>
    </row>
    <row r="200" spans="7:11" x14ac:dyDescent="0.25">
      <c r="G200" s="35">
        <v>1997</v>
      </c>
      <c r="H200" s="11">
        <v>66</v>
      </c>
    </row>
    <row r="201" spans="7:11" x14ac:dyDescent="0.25">
      <c r="G201" s="35">
        <v>1998</v>
      </c>
      <c r="H201" s="11">
        <v>146</v>
      </c>
      <c r="I201">
        <f>'rockfish harvests'!D202</f>
        <v>7091</v>
      </c>
      <c r="J201" s="37">
        <f>I201-H201</f>
        <v>6945</v>
      </c>
      <c r="K201" s="17">
        <f>J201/H201</f>
        <v>47.56849315068493</v>
      </c>
    </row>
    <row r="202" spans="7:11" x14ac:dyDescent="0.25">
      <c r="G202" s="35">
        <v>1999</v>
      </c>
      <c r="H202" s="11">
        <v>265</v>
      </c>
      <c r="I202">
        <f>'rockfish harvests'!D203</f>
        <v>4594</v>
      </c>
      <c r="J202" s="37">
        <f t="shared" ref="J202:J222" si="35">I202-H202</f>
        <v>4329</v>
      </c>
      <c r="K202" s="17">
        <f>J202/H202</f>
        <v>16.335849056603774</v>
      </c>
    </row>
    <row r="203" spans="7:11" x14ac:dyDescent="0.25">
      <c r="G203" s="35">
        <v>2000</v>
      </c>
      <c r="H203" s="11">
        <v>171</v>
      </c>
      <c r="I203">
        <f>'rockfish harvests'!D204</f>
        <v>9244</v>
      </c>
      <c r="J203" s="37">
        <f t="shared" si="35"/>
        <v>9073</v>
      </c>
      <c r="K203" s="17">
        <f>J203/H203</f>
        <v>53.058479532163744</v>
      </c>
    </row>
    <row r="204" spans="7:11" x14ac:dyDescent="0.25">
      <c r="G204" s="35">
        <v>2001</v>
      </c>
      <c r="H204" s="11">
        <v>7654</v>
      </c>
      <c r="I204">
        <f>'rockfish harvests'!D205</f>
        <v>11235</v>
      </c>
      <c r="J204" s="37">
        <f t="shared" si="35"/>
        <v>3581</v>
      </c>
      <c r="K204" s="17">
        <f>J204/H204</f>
        <v>0.46785994251371832</v>
      </c>
    </row>
    <row r="205" spans="7:11" x14ac:dyDescent="0.25">
      <c r="G205" s="35">
        <v>2002</v>
      </c>
      <c r="H205" s="11">
        <v>14443</v>
      </c>
      <c r="I205">
        <f>'rockfish harvests'!D206</f>
        <v>9018</v>
      </c>
      <c r="J205" s="37">
        <f t="shared" si="35"/>
        <v>-5425</v>
      </c>
      <c r="K205" s="17"/>
    </row>
    <row r="206" spans="7:11" x14ac:dyDescent="0.25">
      <c r="G206" s="35">
        <v>2003</v>
      </c>
      <c r="H206" s="11">
        <v>10056</v>
      </c>
      <c r="I206">
        <f>'rockfish harvests'!D207</f>
        <v>9696</v>
      </c>
      <c r="J206" s="37">
        <f t="shared" si="35"/>
        <v>-360</v>
      </c>
      <c r="K206" s="17"/>
    </row>
    <row r="207" spans="7:11" x14ac:dyDescent="0.25">
      <c r="G207" s="35">
        <v>2004</v>
      </c>
      <c r="H207" s="11">
        <v>16285</v>
      </c>
      <c r="I207">
        <f>'rockfish harvests'!D208</f>
        <v>12216</v>
      </c>
      <c r="J207" s="37">
        <f t="shared" si="35"/>
        <v>-4069</v>
      </c>
      <c r="K207" s="17"/>
    </row>
    <row r="208" spans="7:11" x14ac:dyDescent="0.25">
      <c r="G208" s="35">
        <v>2005</v>
      </c>
      <c r="H208" s="11">
        <v>13949</v>
      </c>
      <c r="I208">
        <f>'rockfish harvests'!D209</f>
        <v>9664</v>
      </c>
      <c r="J208" s="37">
        <f t="shared" si="35"/>
        <v>-4285</v>
      </c>
      <c r="K208" s="17"/>
    </row>
    <row r="209" spans="7:11" x14ac:dyDescent="0.25">
      <c r="G209" s="35">
        <v>2006</v>
      </c>
      <c r="H209" s="11">
        <v>14722</v>
      </c>
      <c r="I209">
        <f>'rockfish harvests'!D210</f>
        <v>9129</v>
      </c>
      <c r="J209" s="37">
        <f t="shared" si="35"/>
        <v>-5593</v>
      </c>
      <c r="K209" s="17"/>
    </row>
    <row r="210" spans="7:11" x14ac:dyDescent="0.25">
      <c r="G210" s="35">
        <v>2007</v>
      </c>
      <c r="H210" s="11">
        <v>18021</v>
      </c>
      <c r="I210">
        <f>'rockfish harvests'!D211</f>
        <v>12198</v>
      </c>
      <c r="J210" s="37">
        <f t="shared" si="35"/>
        <v>-5823</v>
      </c>
      <c r="K210" s="17"/>
    </row>
    <row r="211" spans="7:11" x14ac:dyDescent="0.25">
      <c r="G211" s="35">
        <v>2008</v>
      </c>
      <c r="H211" s="11">
        <v>9111</v>
      </c>
      <c r="I211">
        <f>'rockfish harvests'!D212</f>
        <v>13387</v>
      </c>
      <c r="J211" s="37">
        <f t="shared" si="35"/>
        <v>4276</v>
      </c>
      <c r="K211" s="17">
        <f t="shared" ref="K211:K222" si="36">J211/H211</f>
        <v>0.46932279661947096</v>
      </c>
    </row>
    <row r="212" spans="7:11" x14ac:dyDescent="0.25">
      <c r="G212" s="35">
        <v>2009</v>
      </c>
      <c r="H212" s="11">
        <v>7338</v>
      </c>
      <c r="I212">
        <f>'rockfish harvests'!D213</f>
        <v>13724</v>
      </c>
      <c r="J212" s="37">
        <f t="shared" si="35"/>
        <v>6386</v>
      </c>
      <c r="K212" s="17">
        <f t="shared" si="36"/>
        <v>0.8702643772144999</v>
      </c>
    </row>
    <row r="213" spans="7:11" x14ac:dyDescent="0.25">
      <c r="G213" s="35">
        <v>2010</v>
      </c>
      <c r="H213" s="11">
        <v>7592</v>
      </c>
      <c r="I213">
        <f>'rockfish harvests'!D214</f>
        <v>13038</v>
      </c>
      <c r="J213" s="37">
        <f t="shared" si="35"/>
        <v>5446</v>
      </c>
      <c r="K213" s="17">
        <f t="shared" si="36"/>
        <v>0.71733403582718647</v>
      </c>
    </row>
    <row r="214" spans="7:11" x14ac:dyDescent="0.25">
      <c r="G214" s="35">
        <v>2011</v>
      </c>
      <c r="H214">
        <f>'rockfish harvests'!E215+'rockfish harvests'!G215</f>
        <v>11779</v>
      </c>
      <c r="I214">
        <f>'rockfish harvests'!D215</f>
        <v>15590</v>
      </c>
      <c r="J214" s="37">
        <f t="shared" si="35"/>
        <v>3811</v>
      </c>
      <c r="K214" s="17">
        <f t="shared" si="36"/>
        <v>0.32354189659563631</v>
      </c>
    </row>
    <row r="215" spans="7:11" x14ac:dyDescent="0.25">
      <c r="G215" s="35">
        <v>2012</v>
      </c>
      <c r="H215">
        <f>'rockfish harvests'!E216+'rockfish harvests'!G216</f>
        <v>13084</v>
      </c>
      <c r="I215">
        <f>'rockfish harvests'!D216</f>
        <v>16566</v>
      </c>
      <c r="J215" s="37">
        <f t="shared" si="35"/>
        <v>3482</v>
      </c>
      <c r="K215" s="17">
        <f t="shared" si="36"/>
        <v>0.26612656679914398</v>
      </c>
    </row>
    <row r="216" spans="7:11" x14ac:dyDescent="0.25">
      <c r="G216" s="35">
        <v>2013</v>
      </c>
      <c r="H216">
        <f>'rockfish harvests'!E217+'rockfish harvests'!G217</f>
        <v>16513</v>
      </c>
      <c r="I216">
        <f>'rockfish harvests'!D217</f>
        <v>19818</v>
      </c>
      <c r="J216" s="37">
        <f t="shared" si="35"/>
        <v>3305</v>
      </c>
      <c r="K216" s="17">
        <f>J216/H216</f>
        <v>0.20014534003512385</v>
      </c>
    </row>
    <row r="217" spans="7:11" x14ac:dyDescent="0.25">
      <c r="G217" s="35">
        <v>2014</v>
      </c>
      <c r="H217">
        <f>'rockfish harvests'!E218+'rockfish harvests'!G218</f>
        <v>14499</v>
      </c>
      <c r="I217">
        <f>'rockfish harvests'!D218</f>
        <v>21309</v>
      </c>
      <c r="J217" s="37">
        <f t="shared" si="35"/>
        <v>6810</v>
      </c>
      <c r="K217" s="17">
        <f t="shared" si="36"/>
        <v>0.46968756465963168</v>
      </c>
    </row>
    <row r="218" spans="7:11" x14ac:dyDescent="0.25">
      <c r="G218" s="35">
        <v>2015</v>
      </c>
      <c r="H218">
        <f>'rockfish harvests'!E219+'rockfish harvests'!G219</f>
        <v>15854</v>
      </c>
      <c r="I218">
        <f>'rockfish harvests'!D219</f>
        <v>24516</v>
      </c>
      <c r="J218" s="37">
        <f t="shared" si="35"/>
        <v>8662</v>
      </c>
      <c r="K218" s="17">
        <f t="shared" si="36"/>
        <v>0.54636053992683231</v>
      </c>
    </row>
    <row r="219" spans="7:11" x14ac:dyDescent="0.25">
      <c r="G219" s="35">
        <v>2016</v>
      </c>
      <c r="H219">
        <f>'rockfish harvests'!E220+'rockfish harvests'!G220</f>
        <v>22355</v>
      </c>
      <c r="I219">
        <f>'rockfish harvests'!D220</f>
        <v>29349</v>
      </c>
      <c r="J219" s="37">
        <f t="shared" si="35"/>
        <v>6994</v>
      </c>
      <c r="K219" s="17">
        <f t="shared" si="36"/>
        <v>0.31286065757101322</v>
      </c>
    </row>
    <row r="220" spans="7:11" x14ac:dyDescent="0.25">
      <c r="G220" s="35">
        <v>2017</v>
      </c>
      <c r="H220">
        <f>'rockfish harvests'!E221+'rockfish harvests'!G221</f>
        <v>13076</v>
      </c>
      <c r="I220">
        <f>'rockfish harvests'!D221</f>
        <v>28647</v>
      </c>
      <c r="J220" s="37">
        <f t="shared" si="35"/>
        <v>15571</v>
      </c>
      <c r="K220" s="17">
        <f t="shared" si="36"/>
        <v>1.1908075864178649</v>
      </c>
    </row>
    <row r="221" spans="7:11" x14ac:dyDescent="0.25">
      <c r="G221" s="35">
        <v>2018</v>
      </c>
      <c r="H221">
        <f>'rockfish harvests'!E222+'rockfish harvests'!G222</f>
        <v>13300</v>
      </c>
      <c r="I221">
        <f>'rockfish harvests'!D222</f>
        <v>27142</v>
      </c>
      <c r="J221" s="37">
        <f t="shared" si="35"/>
        <v>13842</v>
      </c>
      <c r="K221" s="17">
        <f t="shared" si="36"/>
        <v>1.0407518796992481</v>
      </c>
    </row>
    <row r="222" spans="7:11" x14ac:dyDescent="0.25">
      <c r="G222" s="35">
        <v>2019</v>
      </c>
      <c r="H222">
        <f>'rockfish harvests'!E223+'rockfish harvests'!G223</f>
        <v>11153</v>
      </c>
      <c r="I222">
        <f>'rockfish harvests'!D223</f>
        <v>33682</v>
      </c>
      <c r="J222" s="37">
        <f t="shared" si="35"/>
        <v>22529</v>
      </c>
      <c r="K222" s="17">
        <f t="shared" si="36"/>
        <v>2.0199946202815386</v>
      </c>
    </row>
    <row r="223" spans="7:11" x14ac:dyDescent="0.25">
      <c r="G223" s="35">
        <v>2020</v>
      </c>
      <c r="H223">
        <f>'rockfish harvests'!E224+'rockfish harvests'!G224</f>
        <v>9134</v>
      </c>
      <c r="I223">
        <f>'rockfish harvests'!D224</f>
        <v>29279</v>
      </c>
      <c r="J223" s="37">
        <f t="shared" ref="J223:J224" si="37">I223-H223</f>
        <v>20145</v>
      </c>
      <c r="K223" s="17">
        <f t="shared" ref="K223:K224" si="38">J223/H223</f>
        <v>2.2054959492007882</v>
      </c>
    </row>
    <row r="224" spans="7:11" x14ac:dyDescent="0.25">
      <c r="G224" s="35">
        <v>2021</v>
      </c>
      <c r="H224">
        <f>'rockfish harvests'!E225+'rockfish harvests'!G225</f>
        <v>14624</v>
      </c>
      <c r="I224">
        <f>'rockfish harvests'!D225</f>
        <v>38638</v>
      </c>
      <c r="J224" s="37">
        <f t="shared" si="37"/>
        <v>24014</v>
      </c>
      <c r="K224" s="17">
        <f t="shared" si="38"/>
        <v>1.6420951859956237</v>
      </c>
    </row>
  </sheetData>
  <conditionalFormatting sqref="D5:D30">
    <cfRule type="colorScale" priority="9">
      <colorScale>
        <cfvo type="num" val="0"/>
        <cfvo type="num" val="0"/>
        <color rgb="FFFF7128"/>
        <color rgb="FFFFEF9C"/>
      </colorScale>
    </cfRule>
  </conditionalFormatting>
  <conditionalFormatting sqref="D33:D57">
    <cfRule type="colorScale" priority="10">
      <colorScale>
        <cfvo type="num" val="0"/>
        <cfvo type="num" val="0"/>
        <color rgb="FFFF7128"/>
        <color rgb="FFFFEF9C"/>
      </colorScale>
    </cfRule>
  </conditionalFormatting>
  <conditionalFormatting sqref="D61:D85">
    <cfRule type="colorScale" priority="11">
      <colorScale>
        <cfvo type="num" val="0"/>
        <cfvo type="num" val="0"/>
        <color rgb="FFFF7128"/>
        <color rgb="FFFFEF9C"/>
      </colorScale>
    </cfRule>
  </conditionalFormatting>
  <conditionalFormatting sqref="D89:D113">
    <cfRule type="colorScale" priority="12">
      <colorScale>
        <cfvo type="num" val="0"/>
        <cfvo type="num" val="0"/>
        <color rgb="FFFF7128"/>
        <color rgb="FFFFEF9C"/>
      </colorScale>
    </cfRule>
  </conditionalFormatting>
  <conditionalFormatting sqref="D117:D141">
    <cfRule type="colorScale" priority="13">
      <colorScale>
        <cfvo type="num" val="0"/>
        <cfvo type="num" val="0"/>
        <color rgb="FFFF7128"/>
        <color rgb="FFFFEF9C"/>
      </colorScale>
    </cfRule>
  </conditionalFormatting>
  <conditionalFormatting sqref="D145:D169">
    <cfRule type="colorScale" priority="14">
      <colorScale>
        <cfvo type="num" val="0"/>
        <cfvo type="num" val="0"/>
        <color rgb="FFFF7128"/>
        <color rgb="FFFFEF9C"/>
      </colorScale>
    </cfRule>
  </conditionalFormatting>
  <conditionalFormatting sqref="J5:J29">
    <cfRule type="colorScale" priority="8">
      <colorScale>
        <cfvo type="num" val="0"/>
        <cfvo type="num" val="0"/>
        <color rgb="FFFF7128"/>
        <color rgb="FFFFEF9C"/>
      </colorScale>
    </cfRule>
  </conditionalFormatting>
  <conditionalFormatting sqref="J33:J57">
    <cfRule type="colorScale" priority="7">
      <colorScale>
        <cfvo type="num" val="0"/>
        <cfvo type="num" val="0"/>
        <color rgb="FFFF7128"/>
        <color rgb="FFFFEF9C"/>
      </colorScale>
    </cfRule>
  </conditionalFormatting>
  <conditionalFormatting sqref="J61:J85">
    <cfRule type="colorScale" priority="6">
      <colorScale>
        <cfvo type="num" val="0"/>
        <cfvo type="num" val="0"/>
        <color rgb="FFFF7128"/>
        <color rgb="FFFFEF9C"/>
      </colorScale>
    </cfRule>
  </conditionalFormatting>
  <conditionalFormatting sqref="J89:J113">
    <cfRule type="colorScale" priority="5">
      <colorScale>
        <cfvo type="num" val="0"/>
        <cfvo type="num" val="0"/>
        <color rgb="FFFF7128"/>
        <color rgb="FFFFEF9C"/>
      </colorScale>
    </cfRule>
  </conditionalFormatting>
  <conditionalFormatting sqref="J117:J141">
    <cfRule type="colorScale" priority="4">
      <colorScale>
        <cfvo type="num" val="0"/>
        <cfvo type="num" val="0"/>
        <color rgb="FFFF7128"/>
        <color rgb="FFFFEF9C"/>
      </colorScale>
    </cfRule>
  </conditionalFormatting>
  <conditionalFormatting sqref="J145:J169">
    <cfRule type="colorScale" priority="3">
      <colorScale>
        <cfvo type="num" val="0"/>
        <cfvo type="num" val="0"/>
        <color rgb="FFFF7128"/>
        <color rgb="FFFFEF9C"/>
      </colorScale>
    </cfRule>
  </conditionalFormatting>
  <conditionalFormatting sqref="J173:J197">
    <cfRule type="colorScale" priority="2">
      <colorScale>
        <cfvo type="num" val="0"/>
        <cfvo type="num" val="0"/>
        <color rgb="FFFF7128"/>
        <color rgb="FFFFEF9C"/>
      </colorScale>
    </cfRule>
  </conditionalFormatting>
  <conditionalFormatting sqref="J201:J224">
    <cfRule type="colorScale" priority="1">
      <colorScale>
        <cfvo type="num" val="0"/>
        <cfvo type="num" val="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6BBE-BEA9-4A2C-A98C-67B806577655}">
  <sheetPr filterMode="1">
    <tabColor theme="9"/>
  </sheetPr>
  <dimension ref="A1:Y376"/>
  <sheetViews>
    <sheetView zoomScale="103" zoomScaleNormal="103" workbookViewId="0">
      <pane ySplit="1" topLeftCell="A236" activePane="bottomLeft" state="frozen"/>
      <selection pane="bottomLeft" activeCell="H251" sqref="H251"/>
    </sheetView>
  </sheetViews>
  <sheetFormatPr defaultRowHeight="15" x14ac:dyDescent="0.25"/>
  <cols>
    <col min="3" max="5" width="12.42578125" customWidth="1"/>
    <col min="6" max="6" width="15.7109375" customWidth="1"/>
    <col min="7" max="7" width="11.42578125" customWidth="1"/>
    <col min="8" max="8" width="14" customWidth="1"/>
    <col min="9" max="10" width="12.42578125" customWidth="1"/>
    <col min="11" max="11" width="16.85546875" style="1" customWidth="1"/>
    <col min="12" max="12" width="13.42578125" style="1" bestFit="1" customWidth="1"/>
    <col min="13" max="13" width="11.85546875" bestFit="1" customWidth="1"/>
    <col min="14" max="14" width="11.7109375" bestFit="1" customWidth="1"/>
    <col min="15" max="15" width="13.140625" customWidth="1"/>
    <col min="16" max="16" width="13.42578125" style="1" bestFit="1" customWidth="1"/>
    <col min="17" max="17" width="11.85546875" bestFit="1" customWidth="1"/>
    <col min="18" max="18" width="8.7109375" style="1" customWidth="1"/>
    <col min="19" max="19" width="10.5703125" customWidth="1"/>
    <col min="21" max="21" width="10.5703125" bestFit="1" customWidth="1"/>
  </cols>
  <sheetData>
    <row r="1" spans="1:25" s="3" customFormat="1" ht="93" customHeight="1" x14ac:dyDescent="0.35">
      <c r="A1" s="3" t="s">
        <v>1</v>
      </c>
      <c r="B1" s="3" t="s">
        <v>2</v>
      </c>
      <c r="C1" s="3" t="s">
        <v>3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22" t="s">
        <v>67</v>
      </c>
      <c r="L1" s="22" t="s">
        <v>68</v>
      </c>
      <c r="M1" s="3" t="s">
        <v>33</v>
      </c>
      <c r="N1" s="3" t="s">
        <v>30</v>
      </c>
      <c r="O1" s="3" t="s">
        <v>65</v>
      </c>
      <c r="P1" s="10" t="s">
        <v>66</v>
      </c>
      <c r="Q1" s="3" t="s">
        <v>31</v>
      </c>
      <c r="R1" s="10" t="s">
        <v>32</v>
      </c>
      <c r="U1" s="20"/>
      <c r="V1" t="s">
        <v>57</v>
      </c>
    </row>
    <row r="2" spans="1:25" hidden="1" x14ac:dyDescent="0.25">
      <c r="A2" t="s">
        <v>81</v>
      </c>
      <c r="B2">
        <v>1998</v>
      </c>
      <c r="C2" t="s">
        <v>45</v>
      </c>
      <c r="D2" s="13">
        <v>416</v>
      </c>
      <c r="E2" s="1"/>
      <c r="F2" s="1"/>
      <c r="G2" s="1"/>
      <c r="H2" s="1"/>
      <c r="I2" s="21">
        <f>AVERAGE(I$15:I$22)</f>
        <v>0.78564446845120783</v>
      </c>
      <c r="J2" s="21">
        <v>8.6817583848992491E-3</v>
      </c>
      <c r="K2" s="13">
        <f>D2/I2</f>
        <v>529.5015960846614</v>
      </c>
      <c r="L2" s="1">
        <f>(D2^2)*J2*(1/(I2^4))</f>
        <v>3943.5752117924521</v>
      </c>
      <c r="M2">
        <f>SQRT(L2)</f>
        <v>62.797891778247241</v>
      </c>
      <c r="N2" s="40">
        <f>(1.96*M2)</f>
        <v>123.08386788536458</v>
      </c>
      <c r="O2" s="24">
        <f t="shared" ref="O2:O52" si="0">K2-D2</f>
        <v>113.5015960846614</v>
      </c>
      <c r="P2" s="1">
        <f>L2</f>
        <v>3943.5752117924521</v>
      </c>
      <c r="Q2">
        <f>SQRT(P2)</f>
        <v>62.797891778247241</v>
      </c>
      <c r="R2" s="1">
        <f>(1.96*Q2)</f>
        <v>123.08386788536458</v>
      </c>
      <c r="U2" s="21"/>
      <c r="V2" s="51" t="s">
        <v>152</v>
      </c>
      <c r="W2" s="51"/>
      <c r="X2" s="51"/>
      <c r="Y2" s="51"/>
    </row>
    <row r="3" spans="1:25" hidden="1" x14ac:dyDescent="0.25">
      <c r="A3" t="s">
        <v>81</v>
      </c>
      <c r="B3">
        <v>1999</v>
      </c>
      <c r="C3" t="s">
        <v>45</v>
      </c>
      <c r="D3" s="13">
        <v>506</v>
      </c>
      <c r="E3" s="1"/>
      <c r="F3" s="1"/>
      <c r="G3" s="1"/>
      <c r="H3" s="1"/>
      <c r="I3" s="21">
        <f t="shared" ref="I3:I14" si="1">AVERAGE(I$15:I$22)</f>
        <v>0.78564446845120783</v>
      </c>
      <c r="J3" s="21">
        <v>8.6817583848992491E-3</v>
      </c>
      <c r="K3" s="13">
        <f t="shared" ref="K3:K48" si="2">D3/I3</f>
        <v>644.05722985297768</v>
      </c>
      <c r="L3" s="1">
        <f>(D3^2)*J3*(1/(I3^4))</f>
        <v>5834.5115045216135</v>
      </c>
      <c r="M3">
        <f t="shared" ref="M3:M64" si="3">SQRT(L3)</f>
        <v>76.383974134118034</v>
      </c>
      <c r="N3" s="40">
        <f t="shared" ref="N3:N64" si="4">(1.96*M3)</f>
        <v>149.71258930287135</v>
      </c>
      <c r="O3" s="24">
        <f t="shared" si="0"/>
        <v>138.05722985297768</v>
      </c>
      <c r="P3" s="1">
        <f t="shared" ref="P3:P53" si="5">L3</f>
        <v>5834.5115045216135</v>
      </c>
      <c r="Q3">
        <f t="shared" ref="Q3:Q53" si="6">SQRT(P3)</f>
        <v>76.383974134118034</v>
      </c>
      <c r="R3" s="1">
        <f t="shared" ref="R3:R53" si="7">(1.96*Q3)</f>
        <v>149.71258930287135</v>
      </c>
      <c r="V3" s="26" t="s">
        <v>80</v>
      </c>
    </row>
    <row r="4" spans="1:25" hidden="1" x14ac:dyDescent="0.25">
      <c r="A4" t="s">
        <v>81</v>
      </c>
      <c r="B4">
        <v>2000</v>
      </c>
      <c r="C4" t="s">
        <v>45</v>
      </c>
      <c r="D4" s="13">
        <v>1412</v>
      </c>
      <c r="E4" s="1"/>
      <c r="F4" s="1"/>
      <c r="G4" s="1"/>
      <c r="H4" s="1"/>
      <c r="I4" s="21">
        <f t="shared" si="1"/>
        <v>0.78564446845120783</v>
      </c>
      <c r="J4" s="21">
        <v>8.6817583848992491E-3</v>
      </c>
      <c r="K4" s="13">
        <f t="shared" si="2"/>
        <v>1797.2506097873604</v>
      </c>
      <c r="L4" s="1">
        <f t="shared" ref="L4:L14" si="8">(D4^2)*J4*(1/(I4^4))</f>
        <v>45433.151217293431</v>
      </c>
      <c r="M4">
        <f t="shared" si="3"/>
        <v>213.15053651655074</v>
      </c>
      <c r="N4" s="40">
        <f t="shared" si="4"/>
        <v>417.77505157243945</v>
      </c>
      <c r="O4" s="24">
        <f t="shared" si="0"/>
        <v>385.25060978736042</v>
      </c>
      <c r="P4" s="1">
        <f t="shared" si="5"/>
        <v>45433.151217293431</v>
      </c>
      <c r="Q4">
        <f t="shared" si="6"/>
        <v>213.15053651655074</v>
      </c>
      <c r="R4" s="1">
        <f t="shared" si="7"/>
        <v>417.77505157243945</v>
      </c>
    </row>
    <row r="5" spans="1:25" hidden="1" x14ac:dyDescent="0.25">
      <c r="A5" t="s">
        <v>81</v>
      </c>
      <c r="B5">
        <v>2001</v>
      </c>
      <c r="C5" t="s">
        <v>45</v>
      </c>
      <c r="D5" s="13">
        <v>535</v>
      </c>
      <c r="E5" s="1"/>
      <c r="F5" s="1"/>
      <c r="G5" s="1"/>
      <c r="H5" s="1"/>
      <c r="I5" s="21">
        <f t="shared" si="1"/>
        <v>0.78564446845120783</v>
      </c>
      <c r="J5" s="21">
        <v>8.6817583848992491E-3</v>
      </c>
      <c r="K5" s="13">
        <f t="shared" si="2"/>
        <v>680.96960073387947</v>
      </c>
      <c r="L5" s="1">
        <f t="shared" si="8"/>
        <v>6522.4540899783578</v>
      </c>
      <c r="M5">
        <f t="shared" si="3"/>
        <v>80.761711782120855</v>
      </c>
      <c r="N5" s="40">
        <f t="shared" si="4"/>
        <v>158.29295509295687</v>
      </c>
      <c r="O5" s="24">
        <f t="shared" si="0"/>
        <v>145.96960073387947</v>
      </c>
      <c r="P5" s="1">
        <f t="shared" si="5"/>
        <v>6522.4540899783578</v>
      </c>
      <c r="Q5">
        <f t="shared" si="6"/>
        <v>80.761711782120855</v>
      </c>
      <c r="R5" s="1">
        <f t="shared" si="7"/>
        <v>158.29295509295687</v>
      </c>
    </row>
    <row r="6" spans="1:25" hidden="1" x14ac:dyDescent="0.25">
      <c r="A6" t="s">
        <v>81</v>
      </c>
      <c r="B6">
        <v>2002</v>
      </c>
      <c r="C6" t="s">
        <v>45</v>
      </c>
      <c r="D6" s="13">
        <v>345</v>
      </c>
      <c r="E6" s="1"/>
      <c r="F6" s="1"/>
      <c r="G6" s="1"/>
      <c r="H6" s="1"/>
      <c r="I6" s="21">
        <f t="shared" si="1"/>
        <v>0.78564446845120783</v>
      </c>
      <c r="J6" s="21">
        <v>8.6817583848992491E-3</v>
      </c>
      <c r="K6" s="13">
        <f t="shared" si="2"/>
        <v>439.12992944521204</v>
      </c>
      <c r="L6" s="1">
        <f t="shared" si="8"/>
        <v>2712.3245630524034</v>
      </c>
      <c r="M6">
        <f t="shared" si="3"/>
        <v>52.079982364171393</v>
      </c>
      <c r="N6" s="40">
        <f t="shared" si="4"/>
        <v>102.07676543377593</v>
      </c>
      <c r="O6" s="24">
        <f t="shared" si="0"/>
        <v>94.129929445212042</v>
      </c>
      <c r="P6" s="1">
        <f t="shared" si="5"/>
        <v>2712.3245630524034</v>
      </c>
      <c r="Q6">
        <f t="shared" si="6"/>
        <v>52.079982364171393</v>
      </c>
      <c r="R6" s="1">
        <f t="shared" si="7"/>
        <v>102.07676543377593</v>
      </c>
    </row>
    <row r="7" spans="1:25" hidden="1" x14ac:dyDescent="0.25">
      <c r="A7" t="s">
        <v>81</v>
      </c>
      <c r="B7">
        <v>2003</v>
      </c>
      <c r="C7" t="s">
        <v>45</v>
      </c>
      <c r="D7" s="13">
        <v>567</v>
      </c>
      <c r="E7" s="1"/>
      <c r="F7" s="1"/>
      <c r="G7" s="1"/>
      <c r="H7" s="1"/>
      <c r="I7" s="21">
        <f t="shared" si="1"/>
        <v>0.78564446845120783</v>
      </c>
      <c r="J7" s="21">
        <v>8.6817583848992491E-3</v>
      </c>
      <c r="K7" s="13">
        <f t="shared" si="2"/>
        <v>721.70049274039195</v>
      </c>
      <c r="L7" s="1">
        <f t="shared" si="8"/>
        <v>7326.0450447481962</v>
      </c>
      <c r="M7">
        <f t="shared" si="3"/>
        <v>85.592318841986028</v>
      </c>
      <c r="N7" s="40">
        <f t="shared" si="4"/>
        <v>167.76094493029262</v>
      </c>
      <c r="O7" s="24">
        <f t="shared" si="0"/>
        <v>154.70049274039195</v>
      </c>
      <c r="P7" s="1">
        <f t="shared" si="5"/>
        <v>7326.0450447481962</v>
      </c>
      <c r="Q7">
        <f t="shared" si="6"/>
        <v>85.592318841986028</v>
      </c>
      <c r="R7" s="1">
        <f t="shared" si="7"/>
        <v>167.76094493029262</v>
      </c>
    </row>
    <row r="8" spans="1:25" hidden="1" x14ac:dyDescent="0.25">
      <c r="A8" t="s">
        <v>81</v>
      </c>
      <c r="B8">
        <v>2004</v>
      </c>
      <c r="C8" t="s">
        <v>45</v>
      </c>
      <c r="D8" s="13">
        <v>468</v>
      </c>
      <c r="E8" s="1"/>
      <c r="F8" s="1"/>
      <c r="G8" s="1"/>
      <c r="H8" s="1"/>
      <c r="I8" s="21">
        <f t="shared" si="1"/>
        <v>0.78564446845120783</v>
      </c>
      <c r="J8" s="21">
        <v>8.6817583848992491E-3</v>
      </c>
      <c r="K8" s="13">
        <f t="shared" si="2"/>
        <v>595.68929559524418</v>
      </c>
      <c r="L8" s="1">
        <f t="shared" si="8"/>
        <v>4991.087377424823</v>
      </c>
      <c r="M8">
        <f t="shared" si="3"/>
        <v>70.647628250528143</v>
      </c>
      <c r="N8" s="40">
        <f t="shared" si="4"/>
        <v>138.46935137103515</v>
      </c>
      <c r="O8" s="24">
        <f t="shared" si="0"/>
        <v>127.68929559524418</v>
      </c>
      <c r="P8" s="1">
        <f t="shared" si="5"/>
        <v>4991.087377424823</v>
      </c>
      <c r="Q8">
        <f t="shared" si="6"/>
        <v>70.647628250528143</v>
      </c>
      <c r="R8" s="1">
        <f t="shared" si="7"/>
        <v>138.46935137103515</v>
      </c>
    </row>
    <row r="9" spans="1:25" hidden="1" x14ac:dyDescent="0.25">
      <c r="A9" t="s">
        <v>81</v>
      </c>
      <c r="B9">
        <v>2005</v>
      </c>
      <c r="C9" t="s">
        <v>45</v>
      </c>
      <c r="D9" s="13">
        <v>1385</v>
      </c>
      <c r="E9" s="1"/>
      <c r="F9" s="1"/>
      <c r="G9" s="1"/>
      <c r="H9" s="1"/>
      <c r="I9" s="21">
        <f t="shared" si="1"/>
        <v>0.78564446845120783</v>
      </c>
      <c r="J9" s="21">
        <v>8.6817583848992491E-3</v>
      </c>
      <c r="K9" s="13">
        <f t="shared" si="2"/>
        <v>1762.8839196568656</v>
      </c>
      <c r="L9" s="1">
        <f t="shared" si="8"/>
        <v>43712.235118346529</v>
      </c>
      <c r="M9">
        <f t="shared" si="3"/>
        <v>209.07471180978948</v>
      </c>
      <c r="N9" s="40">
        <f t="shared" si="4"/>
        <v>409.78643514718738</v>
      </c>
      <c r="O9" s="24">
        <f t="shared" si="0"/>
        <v>377.8839196568656</v>
      </c>
      <c r="P9" s="1">
        <f t="shared" si="5"/>
        <v>43712.235118346529</v>
      </c>
      <c r="Q9">
        <f t="shared" si="6"/>
        <v>209.07471180978948</v>
      </c>
      <c r="R9" s="1">
        <f t="shared" si="7"/>
        <v>409.78643514718738</v>
      </c>
    </row>
    <row r="10" spans="1:25" hidden="1" x14ac:dyDescent="0.25">
      <c r="A10" t="s">
        <v>81</v>
      </c>
      <c r="B10">
        <v>2006</v>
      </c>
      <c r="C10" t="s">
        <v>45</v>
      </c>
      <c r="D10" s="13">
        <v>925</v>
      </c>
      <c r="E10" s="1"/>
      <c r="F10" s="1"/>
      <c r="G10" s="1"/>
      <c r="H10" s="1"/>
      <c r="I10" s="21">
        <f t="shared" si="1"/>
        <v>0.78564446845120783</v>
      </c>
      <c r="J10" s="21">
        <v>8.6817583848992491E-3</v>
      </c>
      <c r="K10" s="13">
        <f t="shared" si="2"/>
        <v>1177.3773470632495</v>
      </c>
      <c r="L10" s="1">
        <f t="shared" si="8"/>
        <v>19497.859309067106</v>
      </c>
      <c r="M10">
        <f t="shared" si="3"/>
        <v>139.63473532422765</v>
      </c>
      <c r="N10" s="40">
        <f t="shared" si="4"/>
        <v>273.68408123548619</v>
      </c>
      <c r="O10" s="24">
        <f t="shared" si="0"/>
        <v>252.37734706324954</v>
      </c>
      <c r="P10" s="1">
        <f t="shared" si="5"/>
        <v>19497.859309067106</v>
      </c>
      <c r="Q10">
        <f t="shared" si="6"/>
        <v>139.63473532422765</v>
      </c>
      <c r="R10" s="1">
        <f t="shared" si="7"/>
        <v>273.68408123548619</v>
      </c>
    </row>
    <row r="11" spans="1:25" hidden="1" x14ac:dyDescent="0.25">
      <c r="A11" t="s">
        <v>81</v>
      </c>
      <c r="B11">
        <v>2007</v>
      </c>
      <c r="C11" t="s">
        <v>45</v>
      </c>
      <c r="D11" s="13">
        <v>2488</v>
      </c>
      <c r="E11" s="1"/>
      <c r="F11" s="1"/>
      <c r="G11" s="1"/>
      <c r="H11" s="1"/>
      <c r="I11" s="21">
        <f t="shared" si="1"/>
        <v>0.78564446845120783</v>
      </c>
      <c r="J11" s="21">
        <v>8.6817583848992491E-3</v>
      </c>
      <c r="K11" s="13">
        <f t="shared" si="2"/>
        <v>3166.8268535063407</v>
      </c>
      <c r="L11" s="1">
        <f t="shared" si="8"/>
        <v>141060.11022920778</v>
      </c>
      <c r="M11">
        <f t="shared" si="3"/>
        <v>375.57969890451716</v>
      </c>
      <c r="N11" s="40">
        <f t="shared" si="4"/>
        <v>736.13620985285365</v>
      </c>
      <c r="O11" s="24">
        <f t="shared" si="0"/>
        <v>678.82685350634074</v>
      </c>
      <c r="P11" s="1">
        <f t="shared" si="5"/>
        <v>141060.11022920778</v>
      </c>
      <c r="Q11">
        <f t="shared" si="6"/>
        <v>375.57969890451716</v>
      </c>
      <c r="R11" s="1">
        <f t="shared" si="7"/>
        <v>736.13620985285365</v>
      </c>
    </row>
    <row r="12" spans="1:25" hidden="1" x14ac:dyDescent="0.25">
      <c r="A12" t="s">
        <v>81</v>
      </c>
      <c r="B12">
        <v>2008</v>
      </c>
      <c r="C12" t="s">
        <v>45</v>
      </c>
      <c r="D12" s="13">
        <v>2670</v>
      </c>
      <c r="E12" s="1"/>
      <c r="F12" s="1"/>
      <c r="G12" s="1"/>
      <c r="H12" s="1"/>
      <c r="I12" s="21">
        <f t="shared" si="1"/>
        <v>0.78564446845120783</v>
      </c>
      <c r="J12" s="21">
        <v>8.6817583848992491E-3</v>
      </c>
      <c r="K12" s="13">
        <f t="shared" si="2"/>
        <v>3398.4838017933798</v>
      </c>
      <c r="L12" s="1">
        <f t="shared" si="8"/>
        <v>162452.3467972634</v>
      </c>
      <c r="M12">
        <f t="shared" si="3"/>
        <v>403.05377655750033</v>
      </c>
      <c r="N12" s="40">
        <f t="shared" si="4"/>
        <v>789.98540205270058</v>
      </c>
      <c r="O12" s="24">
        <f t="shared" si="0"/>
        <v>728.48380179337983</v>
      </c>
      <c r="P12" s="1">
        <f t="shared" si="5"/>
        <v>162452.3467972634</v>
      </c>
      <c r="Q12">
        <f t="shared" si="6"/>
        <v>403.05377655750033</v>
      </c>
      <c r="R12" s="1">
        <f t="shared" si="7"/>
        <v>789.98540205270058</v>
      </c>
    </row>
    <row r="13" spans="1:25" hidden="1" x14ac:dyDescent="0.25">
      <c r="A13" t="s">
        <v>81</v>
      </c>
      <c r="B13">
        <v>2009</v>
      </c>
      <c r="C13" t="s">
        <v>45</v>
      </c>
      <c r="D13" s="13">
        <v>3763</v>
      </c>
      <c r="E13" s="1"/>
      <c r="F13" s="1"/>
      <c r="G13" s="1"/>
      <c r="H13" s="1"/>
      <c r="I13" s="21">
        <f t="shared" si="1"/>
        <v>0.78564446845120783</v>
      </c>
      <c r="J13" s="21">
        <v>8.6817583848992491E-3</v>
      </c>
      <c r="K13" s="13">
        <f t="shared" si="2"/>
        <v>4789.6983318908196</v>
      </c>
      <c r="L13" s="1">
        <f t="shared" si="8"/>
        <v>322679.89242321515</v>
      </c>
      <c r="M13">
        <f t="shared" si="3"/>
        <v>568.04919894602017</v>
      </c>
      <c r="N13" s="40">
        <f t="shared" si="4"/>
        <v>1113.3764299341995</v>
      </c>
      <c r="O13" s="24">
        <f t="shared" si="0"/>
        <v>1026.6983318908196</v>
      </c>
      <c r="P13" s="1">
        <f t="shared" si="5"/>
        <v>322679.89242321515</v>
      </c>
      <c r="Q13">
        <f>SQRT(P13)</f>
        <v>568.04919894602017</v>
      </c>
      <c r="R13" s="1">
        <f t="shared" si="7"/>
        <v>1113.3764299341995</v>
      </c>
    </row>
    <row r="14" spans="1:25" hidden="1" x14ac:dyDescent="0.25">
      <c r="A14" t="s">
        <v>81</v>
      </c>
      <c r="B14">
        <v>2010</v>
      </c>
      <c r="C14" t="s">
        <v>45</v>
      </c>
      <c r="D14" s="13">
        <v>3032</v>
      </c>
      <c r="E14" s="1"/>
      <c r="F14" s="1"/>
      <c r="G14" s="1"/>
      <c r="H14" s="1"/>
      <c r="I14" s="21">
        <f t="shared" si="1"/>
        <v>0.78564446845120783</v>
      </c>
      <c r="J14" s="21">
        <v>8.6817583848992491E-3</v>
      </c>
      <c r="K14" s="13">
        <f>D14/I14</f>
        <v>3859.2520176170519</v>
      </c>
      <c r="L14" s="1">
        <f t="shared" si="8"/>
        <v>209489.30732140518</v>
      </c>
      <c r="M14">
        <f t="shared" si="3"/>
        <v>457.70001892222507</v>
      </c>
      <c r="N14" s="40">
        <f t="shared" si="4"/>
        <v>897.09203708756115</v>
      </c>
      <c r="O14" s="24">
        <f t="shared" si="0"/>
        <v>827.25201761705193</v>
      </c>
      <c r="P14" s="1">
        <f t="shared" si="5"/>
        <v>209489.30732140518</v>
      </c>
      <c r="Q14">
        <f t="shared" si="6"/>
        <v>457.70001892222507</v>
      </c>
      <c r="R14" s="1">
        <f t="shared" si="7"/>
        <v>897.09203708756115</v>
      </c>
    </row>
    <row r="15" spans="1:25" hidden="1" x14ac:dyDescent="0.25">
      <c r="A15" t="s">
        <v>81</v>
      </c>
      <c r="B15">
        <v>2011</v>
      </c>
      <c r="C15" t="s">
        <v>45</v>
      </c>
      <c r="D15" s="13">
        <v>3052</v>
      </c>
      <c r="E15" s="1">
        <v>1879</v>
      </c>
      <c r="F15" s="1">
        <v>363784.7037397403</v>
      </c>
      <c r="G15" s="1">
        <v>525</v>
      </c>
      <c r="H15" s="1">
        <v>47423.413924924906</v>
      </c>
      <c r="I15">
        <f t="shared" ref="I15:I22" si="9">E15/(E15+G15)</f>
        <v>0.78161397670549082</v>
      </c>
      <c r="J15">
        <f t="shared" ref="J15:J47" si="10">((((E15)^2*H15)+((G15)^2*F15))/(E15+G15)^4)</f>
        <v>8.0152250904136062E-3</v>
      </c>
      <c r="K15" s="13">
        <f>D15/I15</f>
        <v>3904.7408195848857</v>
      </c>
      <c r="L15" s="1">
        <f>(D15^2)*J15*(1/(I15^4))</f>
        <v>200039.3867927817</v>
      </c>
      <c r="M15">
        <f t="shared" si="3"/>
        <v>447.25762910517437</v>
      </c>
      <c r="N15" s="1">
        <f t="shared" si="4"/>
        <v>876.62495304614174</v>
      </c>
      <c r="O15" s="24">
        <f t="shared" si="0"/>
        <v>852.74081958488568</v>
      </c>
      <c r="P15" s="1">
        <f t="shared" si="5"/>
        <v>200039.3867927817</v>
      </c>
      <c r="Q15">
        <f t="shared" si="6"/>
        <v>447.25762910517437</v>
      </c>
      <c r="R15" s="1">
        <f t="shared" si="7"/>
        <v>876.62495304614174</v>
      </c>
    </row>
    <row r="16" spans="1:25" hidden="1" x14ac:dyDescent="0.25">
      <c r="A16" t="s">
        <v>81</v>
      </c>
      <c r="B16">
        <v>2012</v>
      </c>
      <c r="C16" t="s">
        <v>45</v>
      </c>
      <c r="D16" s="13">
        <v>3025</v>
      </c>
      <c r="E16" s="1">
        <v>1969</v>
      </c>
      <c r="F16" s="1">
        <v>185157.30107707661</v>
      </c>
      <c r="G16" s="1">
        <v>723</v>
      </c>
      <c r="H16" s="1">
        <v>85784.507591591391</v>
      </c>
      <c r="I16">
        <f t="shared" si="9"/>
        <v>0.73142644873699847</v>
      </c>
      <c r="J16">
        <f t="shared" si="10"/>
        <v>8.1758282431056983E-3</v>
      </c>
      <c r="K16" s="13">
        <f t="shared" si="2"/>
        <v>4135.7541899441339</v>
      </c>
      <c r="L16" s="1">
        <f t="shared" ref="L16:L38" si="11">(D16^2)*J16*(1/(I16^4))</f>
        <v>261396.56419933448</v>
      </c>
      <c r="M16">
        <f t="shared" si="3"/>
        <v>511.26956118992109</v>
      </c>
      <c r="N16" s="1">
        <f t="shared" si="4"/>
        <v>1002.0883399322453</v>
      </c>
      <c r="O16" s="24">
        <f t="shared" si="0"/>
        <v>1110.7541899441339</v>
      </c>
      <c r="P16" s="1">
        <f t="shared" si="5"/>
        <v>261396.56419933448</v>
      </c>
      <c r="Q16">
        <f t="shared" si="6"/>
        <v>511.26956118992109</v>
      </c>
      <c r="R16" s="1">
        <f t="shared" si="7"/>
        <v>1002.0883399322453</v>
      </c>
    </row>
    <row r="17" spans="1:18" hidden="1" x14ac:dyDescent="0.25">
      <c r="A17" t="s">
        <v>81</v>
      </c>
      <c r="B17">
        <v>2013</v>
      </c>
      <c r="C17" t="s">
        <v>45</v>
      </c>
      <c r="D17" s="13">
        <v>2487</v>
      </c>
      <c r="E17" s="1">
        <v>3854</v>
      </c>
      <c r="F17" s="1">
        <v>627331.7504664677</v>
      </c>
      <c r="G17" s="1">
        <v>1133</v>
      </c>
      <c r="H17" s="1">
        <v>248295.11999599624</v>
      </c>
      <c r="I17">
        <f t="shared" si="9"/>
        <v>0.77280930419089633</v>
      </c>
      <c r="J17">
        <f t="shared" si="10"/>
        <v>7.2645447191123412E-3</v>
      </c>
      <c r="K17" s="13">
        <f t="shared" si="2"/>
        <v>3218.128956927867</v>
      </c>
      <c r="L17" s="1">
        <f t="shared" si="11"/>
        <v>125971.00775365347</v>
      </c>
      <c r="M17">
        <f t="shared" si="3"/>
        <v>354.92394643592797</v>
      </c>
      <c r="N17" s="1">
        <f t="shared" si="4"/>
        <v>695.65093501441879</v>
      </c>
      <c r="O17" s="24">
        <f t="shared" si="0"/>
        <v>731.12895692786697</v>
      </c>
      <c r="P17" s="1">
        <f t="shared" si="5"/>
        <v>125971.00775365347</v>
      </c>
      <c r="Q17">
        <f t="shared" si="6"/>
        <v>354.92394643592797</v>
      </c>
      <c r="R17" s="1">
        <f t="shared" si="7"/>
        <v>695.65093501441879</v>
      </c>
    </row>
    <row r="18" spans="1:18" hidden="1" x14ac:dyDescent="0.25">
      <c r="A18" t="s">
        <v>81</v>
      </c>
      <c r="B18">
        <v>2014</v>
      </c>
      <c r="C18" t="s">
        <v>45</v>
      </c>
      <c r="D18" s="13">
        <v>2843</v>
      </c>
      <c r="E18" s="1">
        <v>2246</v>
      </c>
      <c r="F18" s="1">
        <v>393472.21569970029</v>
      </c>
      <c r="G18" s="1">
        <v>975</v>
      </c>
      <c r="H18" s="1">
        <v>93653.113317317213</v>
      </c>
      <c r="I18">
        <f t="shared" si="9"/>
        <v>0.69729897547345543</v>
      </c>
      <c r="J18">
        <f t="shared" si="10"/>
        <v>7.8641785972626051E-3</v>
      </c>
      <c r="K18" s="13">
        <f t="shared" si="2"/>
        <v>4077.1607301869994</v>
      </c>
      <c r="L18" s="1">
        <f t="shared" si="11"/>
        <v>268862.96198516607</v>
      </c>
      <c r="M18">
        <f t="shared" si="3"/>
        <v>518.51997260005908</v>
      </c>
      <c r="N18" s="1">
        <f t="shared" si="4"/>
        <v>1016.2991462961157</v>
      </c>
      <c r="O18" s="24">
        <f t="shared" si="0"/>
        <v>1234.1607301869994</v>
      </c>
      <c r="P18" s="1">
        <f t="shared" si="5"/>
        <v>268862.96198516607</v>
      </c>
      <c r="Q18">
        <f t="shared" si="6"/>
        <v>518.51997260005908</v>
      </c>
      <c r="R18" s="1">
        <f t="shared" si="7"/>
        <v>1016.2991462961157</v>
      </c>
    </row>
    <row r="19" spans="1:18" hidden="1" x14ac:dyDescent="0.25">
      <c r="A19" t="s">
        <v>81</v>
      </c>
      <c r="B19">
        <v>2015</v>
      </c>
      <c r="C19" t="s">
        <v>45</v>
      </c>
      <c r="D19" s="13">
        <v>3919</v>
      </c>
      <c r="E19" s="1">
        <v>2803</v>
      </c>
      <c r="F19" s="1">
        <v>433491.106097096</v>
      </c>
      <c r="G19" s="1">
        <v>1242</v>
      </c>
      <c r="H19" s="1">
        <v>465044.89507107087</v>
      </c>
      <c r="I19">
        <f t="shared" si="9"/>
        <v>0.6929542645241038</v>
      </c>
      <c r="J19">
        <f t="shared" si="10"/>
        <v>1.6145687661791763E-2</v>
      </c>
      <c r="K19" s="13">
        <f t="shared" si="2"/>
        <v>5655.4958972529439</v>
      </c>
      <c r="L19" s="1">
        <f t="shared" si="11"/>
        <v>1075446.4405794584</v>
      </c>
      <c r="M19">
        <f t="shared" si="3"/>
        <v>1037.0373380835708</v>
      </c>
      <c r="N19" s="1">
        <f t="shared" si="4"/>
        <v>2032.5931826437989</v>
      </c>
      <c r="O19" s="24">
        <f t="shared" si="0"/>
        <v>1736.4958972529439</v>
      </c>
      <c r="P19" s="1">
        <f t="shared" si="5"/>
        <v>1075446.4405794584</v>
      </c>
      <c r="Q19">
        <f t="shared" si="6"/>
        <v>1037.0373380835708</v>
      </c>
      <c r="R19" s="1">
        <f t="shared" si="7"/>
        <v>2032.5931826437989</v>
      </c>
    </row>
    <row r="20" spans="1:18" hidden="1" x14ac:dyDescent="0.25">
      <c r="A20" t="s">
        <v>81</v>
      </c>
      <c r="B20">
        <v>2016</v>
      </c>
      <c r="C20" t="s">
        <v>45</v>
      </c>
      <c r="D20" s="13">
        <v>5287</v>
      </c>
      <c r="E20" s="1">
        <v>5009</v>
      </c>
      <c r="F20" s="1">
        <v>1202196.1427988084</v>
      </c>
      <c r="G20" s="1">
        <v>443</v>
      </c>
      <c r="H20" s="1">
        <v>47759.630349349238</v>
      </c>
      <c r="I20">
        <f t="shared" si="9"/>
        <v>0.91874541452677916</v>
      </c>
      <c r="J20">
        <f t="shared" si="10"/>
        <v>1.6232792193491376E-3</v>
      </c>
      <c r="K20" s="13">
        <f t="shared" si="2"/>
        <v>5754.5865442204031</v>
      </c>
      <c r="L20" s="1">
        <f t="shared" si="11"/>
        <v>63684.114088437818</v>
      </c>
      <c r="M20">
        <f t="shared" si="3"/>
        <v>252.35711618347088</v>
      </c>
      <c r="N20" s="1">
        <f t="shared" si="4"/>
        <v>494.61994771960292</v>
      </c>
      <c r="O20" s="24">
        <f t="shared" si="0"/>
        <v>467.58654422040308</v>
      </c>
      <c r="P20" s="1">
        <f t="shared" si="5"/>
        <v>63684.114088437818</v>
      </c>
      <c r="Q20">
        <f t="shared" si="6"/>
        <v>252.35711618347088</v>
      </c>
      <c r="R20" s="1">
        <f t="shared" si="7"/>
        <v>494.61994771960292</v>
      </c>
    </row>
    <row r="21" spans="1:18" hidden="1" x14ac:dyDescent="0.25">
      <c r="A21" t="s">
        <v>81</v>
      </c>
      <c r="B21">
        <v>2017</v>
      </c>
      <c r="C21" t="s">
        <v>45</v>
      </c>
      <c r="D21" s="13">
        <v>4756</v>
      </c>
      <c r="E21" s="1">
        <v>4033</v>
      </c>
      <c r="F21" s="1">
        <v>807947.31687587558</v>
      </c>
      <c r="G21" s="1">
        <v>456</v>
      </c>
      <c r="H21" s="1">
        <v>54145.819915915832</v>
      </c>
      <c r="I21">
        <f t="shared" si="9"/>
        <v>0.89841835598128761</v>
      </c>
      <c r="J21">
        <f t="shared" si="10"/>
        <v>2.5825446622649933E-3</v>
      </c>
      <c r="K21" s="13">
        <f t="shared" si="2"/>
        <v>5293.7475824448302</v>
      </c>
      <c r="L21" s="1">
        <f t="shared" si="11"/>
        <v>89663.784684390819</v>
      </c>
      <c r="M21">
        <f t="shared" si="3"/>
        <v>299.43911682408969</v>
      </c>
      <c r="N21" s="1">
        <f t="shared" si="4"/>
        <v>586.90066897521581</v>
      </c>
      <c r="O21" s="24">
        <f t="shared" si="0"/>
        <v>537.74758244483019</v>
      </c>
      <c r="P21" s="1">
        <f t="shared" si="5"/>
        <v>89663.784684390819</v>
      </c>
      <c r="Q21">
        <f t="shared" si="6"/>
        <v>299.43911682408969</v>
      </c>
      <c r="R21" s="1">
        <f t="shared" si="7"/>
        <v>586.90066897521581</v>
      </c>
    </row>
    <row r="22" spans="1:18" hidden="1" x14ac:dyDescent="0.25">
      <c r="A22" t="s">
        <v>81</v>
      </c>
      <c r="B22">
        <v>2018</v>
      </c>
      <c r="C22" t="s">
        <v>45</v>
      </c>
      <c r="D22" s="13">
        <v>5694</v>
      </c>
      <c r="E22" s="1">
        <v>4452</v>
      </c>
      <c r="F22" s="1">
        <v>1148849.8470910951</v>
      </c>
      <c r="G22" s="1">
        <v>1170</v>
      </c>
      <c r="H22" s="1">
        <v>172680.33109509546</v>
      </c>
      <c r="I22">
        <f t="shared" si="9"/>
        <v>0.79188900747065105</v>
      </c>
      <c r="J22">
        <f t="shared" si="10"/>
        <v>5.0002618950352462E-3</v>
      </c>
      <c r="K22" s="13">
        <f t="shared" si="2"/>
        <v>7190.4016172506736</v>
      </c>
      <c r="L22" s="1">
        <f t="shared" si="11"/>
        <v>412259.26032139536</v>
      </c>
      <c r="M22">
        <f t="shared" si="3"/>
        <v>642.07418599519735</v>
      </c>
      <c r="N22" s="1">
        <f t="shared" si="4"/>
        <v>1258.4654045505868</v>
      </c>
      <c r="O22" s="24">
        <f t="shared" si="0"/>
        <v>1496.4016172506736</v>
      </c>
      <c r="P22" s="1">
        <f t="shared" si="5"/>
        <v>412259.26032139536</v>
      </c>
      <c r="Q22">
        <f t="shared" si="6"/>
        <v>642.07418599519735</v>
      </c>
      <c r="R22" s="1">
        <f t="shared" si="7"/>
        <v>1258.4654045505868</v>
      </c>
    </row>
    <row r="23" spans="1:18" hidden="1" x14ac:dyDescent="0.25">
      <c r="A23" t="s">
        <v>81</v>
      </c>
      <c r="B23">
        <v>2019</v>
      </c>
      <c r="C23" t="s">
        <v>45</v>
      </c>
      <c r="D23" s="13">
        <v>6782</v>
      </c>
      <c r="E23" s="1">
        <v>4471</v>
      </c>
      <c r="F23" s="1">
        <v>1079051.1470470487</v>
      </c>
      <c r="G23" s="1">
        <v>2924</v>
      </c>
      <c r="H23" s="1">
        <v>1085782.9156346328</v>
      </c>
      <c r="I23">
        <f>E23/(E23+G23)</f>
        <v>0.60459770114942524</v>
      </c>
      <c r="J23" s="25">
        <f>((((E23)^2*H23)+((G23)^2*F23))/(E23+G23)^4)</f>
        <v>1.0342631375073253E-2</v>
      </c>
      <c r="K23" s="13">
        <f>D23/I23</f>
        <v>11217.376425855515</v>
      </c>
      <c r="L23" s="1">
        <f>(D23^2)*J23*(1/(I23^4))</f>
        <v>3560251.2769631236</v>
      </c>
      <c r="M23">
        <f>SQRT(L23)</f>
        <v>1886.8628134984069</v>
      </c>
      <c r="N23" s="1">
        <f t="shared" si="4"/>
        <v>3698.2511144568775</v>
      </c>
      <c r="O23" s="24">
        <f t="shared" si="0"/>
        <v>4435.3764258555148</v>
      </c>
      <c r="P23" s="1">
        <f>L23</f>
        <v>3560251.2769631236</v>
      </c>
      <c r="Q23">
        <f>SQRT(P23)</f>
        <v>1886.8628134984069</v>
      </c>
      <c r="R23" s="1">
        <f>(1.96*Q23)</f>
        <v>3698.2511144568775</v>
      </c>
    </row>
    <row r="24" spans="1:18" hidden="1" x14ac:dyDescent="0.25">
      <c r="A24" t="s">
        <v>81</v>
      </c>
      <c r="B24">
        <v>2020</v>
      </c>
      <c r="C24" t="s">
        <v>45</v>
      </c>
      <c r="D24" s="13">
        <v>5835</v>
      </c>
      <c r="E24" s="1">
        <v>3343</v>
      </c>
      <c r="F24" s="1">
        <v>430086.30718318297</v>
      </c>
      <c r="G24" s="1">
        <v>1004</v>
      </c>
      <c r="H24" s="1">
        <v>146546.27703603628</v>
      </c>
      <c r="I24">
        <f t="shared" ref="I24:I26" si="12">E24/(E24+G24)</f>
        <v>0.76903611686220386</v>
      </c>
      <c r="J24">
        <f t="shared" ref="J24:J26" si="13">((((E24)^2*H24)+((G24)^2*F24))/(E24+G24)^4)</f>
        <v>5.800708114528228E-3</v>
      </c>
      <c r="K24" s="13">
        <f>D24/I24</f>
        <v>7587.4199820520489</v>
      </c>
      <c r="L24" s="1">
        <f t="shared" ref="L24:L26" si="14">(D24^2)*J24*(1/(I24^4))</f>
        <v>564645.39156800637</v>
      </c>
      <c r="M24">
        <f t="shared" ref="M24:M26" si="15">SQRT(L24)</f>
        <v>751.42889987543492</v>
      </c>
      <c r="N24" s="1">
        <f t="shared" ref="N24" si="16">(1.96*M24)</f>
        <v>1472.8006437558524</v>
      </c>
      <c r="O24" s="24">
        <f t="shared" ref="O24:O26" si="17">K24-D24</f>
        <v>1752.4199820520489</v>
      </c>
      <c r="P24" s="1">
        <f t="shared" ref="P24:P26" si="18">L24</f>
        <v>564645.39156800637</v>
      </c>
      <c r="Q24">
        <f t="shared" ref="Q24:Q26" si="19">SQRT(P24)</f>
        <v>751.42889987543492</v>
      </c>
      <c r="R24" s="1">
        <f t="shared" ref="R24:R26" si="20">(1.96*Q24)</f>
        <v>1472.8006437558524</v>
      </c>
    </row>
    <row r="25" spans="1:18" hidden="1" x14ac:dyDescent="0.25">
      <c r="A25" t="s">
        <v>81</v>
      </c>
      <c r="B25">
        <v>2021</v>
      </c>
      <c r="C25" t="s">
        <v>45</v>
      </c>
      <c r="D25" s="13">
        <v>9007</v>
      </c>
      <c r="E25" s="1">
        <v>8516</v>
      </c>
      <c r="F25" s="1">
        <v>2362897.2666416327</v>
      </c>
      <c r="G25" s="1">
        <v>1330</v>
      </c>
      <c r="H25" s="1">
        <v>243454.78281381403</v>
      </c>
      <c r="I25">
        <f t="shared" si="12"/>
        <v>0.86491976437131834</v>
      </c>
      <c r="J25">
        <f t="shared" si="13"/>
        <v>2.3234117604804612E-3</v>
      </c>
      <c r="K25" s="13">
        <f>D25/I25</f>
        <v>10413.682714889619</v>
      </c>
      <c r="L25" s="1">
        <f t="shared" si="14"/>
        <v>336808.63980312884</v>
      </c>
      <c r="M25">
        <f t="shared" si="15"/>
        <v>580.35216877610515</v>
      </c>
      <c r="N25" s="1">
        <f t="shared" si="4"/>
        <v>1137.490250801166</v>
      </c>
      <c r="O25" s="24">
        <f t="shared" si="17"/>
        <v>1406.6827148896191</v>
      </c>
      <c r="P25" s="1">
        <f t="shared" si="18"/>
        <v>336808.63980312884</v>
      </c>
      <c r="Q25">
        <f t="shared" si="19"/>
        <v>580.35216877610515</v>
      </c>
      <c r="R25" s="1">
        <f t="shared" si="20"/>
        <v>1137.490250801166</v>
      </c>
    </row>
    <row r="26" spans="1:18" s="51" customFormat="1" hidden="1" x14ac:dyDescent="0.25">
      <c r="A26" s="51" t="s">
        <v>81</v>
      </c>
      <c r="B26" s="51">
        <v>2022</v>
      </c>
      <c r="C26" s="51" t="s">
        <v>45</v>
      </c>
      <c r="D26" s="71">
        <v>9241</v>
      </c>
      <c r="E26" s="84">
        <v>6339</v>
      </c>
      <c r="F26" s="84">
        <f>1211^2</f>
        <v>1466521</v>
      </c>
      <c r="G26" s="84">
        <v>2420</v>
      </c>
      <c r="H26" s="84">
        <f>861^2</f>
        <v>741321</v>
      </c>
      <c r="I26" s="51">
        <f t="shared" si="12"/>
        <v>0.72371275259732848</v>
      </c>
      <c r="J26">
        <f t="shared" si="13"/>
        <v>6.5200759365410454E-3</v>
      </c>
      <c r="K26" s="71">
        <f>D26/I26</f>
        <v>12768.878214229373</v>
      </c>
      <c r="L26" s="1">
        <f t="shared" si="14"/>
        <v>2029671.2150868119</v>
      </c>
      <c r="M26">
        <f t="shared" si="15"/>
        <v>1424.6652993200937</v>
      </c>
      <c r="N26" s="1">
        <f t="shared" si="4"/>
        <v>2792.3439866673834</v>
      </c>
      <c r="O26" s="73">
        <f t="shared" si="17"/>
        <v>3527.878214229373</v>
      </c>
      <c r="P26" s="1">
        <f t="shared" si="18"/>
        <v>2029671.2150868119</v>
      </c>
      <c r="Q26">
        <f t="shared" si="19"/>
        <v>1424.6652993200937</v>
      </c>
      <c r="R26" s="1">
        <f t="shared" si="20"/>
        <v>2792.3439866673834</v>
      </c>
    </row>
    <row r="27" spans="1:18" hidden="1" x14ac:dyDescent="0.25">
      <c r="A27" t="s">
        <v>81</v>
      </c>
      <c r="B27">
        <v>1998</v>
      </c>
      <c r="C27" t="s">
        <v>54</v>
      </c>
      <c r="D27" s="13">
        <v>148</v>
      </c>
      <c r="E27" s="1"/>
      <c r="F27" s="1"/>
      <c r="G27" s="1"/>
      <c r="H27" s="1"/>
      <c r="I27" s="21">
        <f>AVERAGE(I$40:I$47)</f>
        <v>0.77614261709683463</v>
      </c>
      <c r="J27" s="21">
        <v>1.128359283133713E-2</v>
      </c>
      <c r="K27" s="13">
        <f t="shared" si="2"/>
        <v>190.68660416251171</v>
      </c>
      <c r="L27" s="1">
        <f>(D27^2)*J27*(1/(I27^4))</f>
        <v>681.09032990436276</v>
      </c>
      <c r="M27">
        <f t="shared" si="3"/>
        <v>26.097707368739552</v>
      </c>
      <c r="N27" s="40">
        <f t="shared" si="4"/>
        <v>51.15150644272952</v>
      </c>
      <c r="O27" s="24">
        <f t="shared" si="0"/>
        <v>42.686604162511713</v>
      </c>
      <c r="P27" s="1">
        <f t="shared" si="5"/>
        <v>681.09032990436276</v>
      </c>
      <c r="Q27">
        <f t="shared" si="6"/>
        <v>26.097707368739552</v>
      </c>
      <c r="R27" s="1">
        <f t="shared" si="7"/>
        <v>51.15150644272952</v>
      </c>
    </row>
    <row r="28" spans="1:18" hidden="1" x14ac:dyDescent="0.25">
      <c r="A28" t="s">
        <v>81</v>
      </c>
      <c r="B28">
        <v>1999</v>
      </c>
      <c r="C28" t="s">
        <v>54</v>
      </c>
      <c r="D28" s="13">
        <v>228</v>
      </c>
      <c r="E28" s="1"/>
      <c r="F28" s="1"/>
      <c r="G28" s="1"/>
      <c r="H28" s="1"/>
      <c r="I28" s="21">
        <f>I$27</f>
        <v>0.77614261709683463</v>
      </c>
      <c r="J28" s="21">
        <v>1.128359283133713E-2</v>
      </c>
      <c r="K28" s="13">
        <f t="shared" si="2"/>
        <v>293.76044425035587</v>
      </c>
      <c r="L28" s="1">
        <f t="shared" si="11"/>
        <v>1616.4079487649926</v>
      </c>
      <c r="M28">
        <f t="shared" si="3"/>
        <v>40.204576216706883</v>
      </c>
      <c r="N28" s="40">
        <f t="shared" si="4"/>
        <v>78.800969384745486</v>
      </c>
      <c r="O28" s="24">
        <f t="shared" si="0"/>
        <v>65.760444250355874</v>
      </c>
      <c r="P28" s="1">
        <f t="shared" si="5"/>
        <v>1616.4079487649926</v>
      </c>
      <c r="Q28">
        <f t="shared" si="6"/>
        <v>40.204576216706883</v>
      </c>
      <c r="R28" s="1">
        <f t="shared" si="7"/>
        <v>78.800969384745486</v>
      </c>
    </row>
    <row r="29" spans="1:18" hidden="1" x14ac:dyDescent="0.25">
      <c r="A29" t="s">
        <v>81</v>
      </c>
      <c r="B29">
        <v>2000</v>
      </c>
      <c r="C29" t="s">
        <v>54</v>
      </c>
      <c r="D29" s="13">
        <v>386</v>
      </c>
      <c r="E29" s="1"/>
      <c r="F29" s="1"/>
      <c r="G29" s="1"/>
      <c r="H29" s="1"/>
      <c r="I29" s="21">
        <f t="shared" ref="I29:I38" si="21">I$27</f>
        <v>0.77614261709683463</v>
      </c>
      <c r="J29" s="21">
        <v>1.128359283133713E-2</v>
      </c>
      <c r="K29" s="13">
        <f t="shared" si="2"/>
        <v>497.33127842384812</v>
      </c>
      <c r="L29" s="1">
        <f t="shared" si="11"/>
        <v>4632.9316469334572</v>
      </c>
      <c r="M29">
        <f t="shared" si="3"/>
        <v>68.06564219144235</v>
      </c>
      <c r="N29" s="40">
        <f t="shared" si="4"/>
        <v>133.40865869522702</v>
      </c>
      <c r="O29" s="24">
        <f t="shared" si="0"/>
        <v>111.33127842384812</v>
      </c>
      <c r="P29" s="1">
        <f t="shared" si="5"/>
        <v>4632.9316469334572</v>
      </c>
      <c r="Q29">
        <f t="shared" si="6"/>
        <v>68.06564219144235</v>
      </c>
      <c r="R29" s="1">
        <f t="shared" si="7"/>
        <v>133.40865869522702</v>
      </c>
    </row>
    <row r="30" spans="1:18" hidden="1" x14ac:dyDescent="0.25">
      <c r="A30" t="s">
        <v>81</v>
      </c>
      <c r="B30">
        <v>2001</v>
      </c>
      <c r="C30" t="s">
        <v>54</v>
      </c>
      <c r="D30" s="13">
        <v>1182</v>
      </c>
      <c r="E30" s="1"/>
      <c r="F30" s="1"/>
      <c r="G30" s="1"/>
      <c r="H30" s="1"/>
      <c r="I30" s="21">
        <f t="shared" si="21"/>
        <v>0.77614261709683463</v>
      </c>
      <c r="J30" s="21">
        <v>1.128359283133713E-2</v>
      </c>
      <c r="K30" s="13">
        <f t="shared" si="2"/>
        <v>1522.9159872978976</v>
      </c>
      <c r="L30" s="1">
        <f t="shared" si="11"/>
        <v>43442.642717188777</v>
      </c>
      <c r="M30">
        <f t="shared" si="3"/>
        <v>208.42898722871723</v>
      </c>
      <c r="N30" s="40">
        <f t="shared" si="4"/>
        <v>408.52081496828578</v>
      </c>
      <c r="O30" s="24">
        <f t="shared" si="0"/>
        <v>340.91598729789757</v>
      </c>
      <c r="P30" s="1">
        <f t="shared" si="5"/>
        <v>43442.642717188777</v>
      </c>
      <c r="Q30">
        <f t="shared" si="6"/>
        <v>208.42898722871723</v>
      </c>
      <c r="R30" s="1">
        <f t="shared" si="7"/>
        <v>408.52081496828578</v>
      </c>
    </row>
    <row r="31" spans="1:18" hidden="1" x14ac:dyDescent="0.25">
      <c r="A31" t="s">
        <v>81</v>
      </c>
      <c r="B31">
        <v>2002</v>
      </c>
      <c r="C31" t="s">
        <v>54</v>
      </c>
      <c r="D31" s="13">
        <v>880</v>
      </c>
      <c r="E31" s="1"/>
      <c r="F31" s="1"/>
      <c r="G31" s="1"/>
      <c r="H31" s="1"/>
      <c r="I31" s="21">
        <f t="shared" si="21"/>
        <v>0.77614261709683463</v>
      </c>
      <c r="J31" s="21">
        <v>1.128359283133713E-2</v>
      </c>
      <c r="K31" s="13">
        <f t="shared" si="2"/>
        <v>1133.8122409662858</v>
      </c>
      <c r="L31" s="1">
        <f t="shared" si="11"/>
        <v>24079.453591943871</v>
      </c>
      <c r="M31">
        <f t="shared" si="3"/>
        <v>155.1755573276406</v>
      </c>
      <c r="N31" s="40">
        <f t="shared" si="4"/>
        <v>304.14409236217557</v>
      </c>
      <c r="O31" s="24">
        <f t="shared" si="0"/>
        <v>253.8122409662858</v>
      </c>
      <c r="P31" s="1">
        <f t="shared" si="5"/>
        <v>24079.453591943871</v>
      </c>
      <c r="Q31">
        <f t="shared" si="6"/>
        <v>155.1755573276406</v>
      </c>
      <c r="R31" s="1">
        <f t="shared" si="7"/>
        <v>304.14409236217557</v>
      </c>
    </row>
    <row r="32" spans="1:18" hidden="1" x14ac:dyDescent="0.25">
      <c r="A32" t="s">
        <v>81</v>
      </c>
      <c r="B32">
        <v>2003</v>
      </c>
      <c r="C32" t="s">
        <v>54</v>
      </c>
      <c r="D32" s="13">
        <v>1107</v>
      </c>
      <c r="E32" s="1"/>
      <c r="F32" s="1"/>
      <c r="G32" s="1"/>
      <c r="H32" s="1"/>
      <c r="I32" s="21">
        <f t="shared" si="21"/>
        <v>0.77614261709683463</v>
      </c>
      <c r="J32" s="21">
        <v>1.128359283133713E-2</v>
      </c>
      <c r="K32" s="13">
        <f t="shared" si="2"/>
        <v>1426.2842622155438</v>
      </c>
      <c r="L32" s="1">
        <f t="shared" si="11"/>
        <v>38104.522630157575</v>
      </c>
      <c r="M32">
        <f t="shared" si="3"/>
        <v>195.20379768374789</v>
      </c>
      <c r="N32" s="40">
        <f t="shared" si="4"/>
        <v>382.59944346014589</v>
      </c>
      <c r="O32" s="24">
        <f t="shared" si="0"/>
        <v>319.28426221554378</v>
      </c>
      <c r="P32" s="1">
        <f t="shared" si="5"/>
        <v>38104.522630157575</v>
      </c>
      <c r="Q32">
        <f t="shared" si="6"/>
        <v>195.20379768374789</v>
      </c>
      <c r="R32" s="1">
        <f t="shared" si="7"/>
        <v>382.59944346014589</v>
      </c>
    </row>
    <row r="33" spans="1:18" hidden="1" x14ac:dyDescent="0.25">
      <c r="A33" t="s">
        <v>81</v>
      </c>
      <c r="B33">
        <v>2004</v>
      </c>
      <c r="C33" t="s">
        <v>54</v>
      </c>
      <c r="D33" s="13">
        <v>810</v>
      </c>
      <c r="E33" s="1"/>
      <c r="F33" s="1"/>
      <c r="G33" s="1"/>
      <c r="H33" s="1"/>
      <c r="I33" s="21">
        <f t="shared" si="21"/>
        <v>0.77614261709683463</v>
      </c>
      <c r="J33" s="21">
        <v>1.128359283133713E-2</v>
      </c>
      <c r="K33" s="13">
        <f t="shared" si="2"/>
        <v>1043.6226308894222</v>
      </c>
      <c r="L33" s="1">
        <f t="shared" si="11"/>
        <v>20400.993674682817</v>
      </c>
      <c r="M33">
        <f t="shared" si="3"/>
        <v>142.83204708566919</v>
      </c>
      <c r="N33" s="40">
        <f t="shared" si="4"/>
        <v>279.95081228791162</v>
      </c>
      <c r="O33" s="24">
        <f t="shared" si="0"/>
        <v>233.62263088942223</v>
      </c>
      <c r="P33" s="1">
        <f t="shared" si="5"/>
        <v>20400.993674682817</v>
      </c>
      <c r="Q33">
        <f t="shared" si="6"/>
        <v>142.83204708566919</v>
      </c>
      <c r="R33" s="1">
        <f t="shared" si="7"/>
        <v>279.95081228791162</v>
      </c>
    </row>
    <row r="34" spans="1:18" hidden="1" x14ac:dyDescent="0.25">
      <c r="A34" t="s">
        <v>81</v>
      </c>
      <c r="B34">
        <v>2005</v>
      </c>
      <c r="C34" t="s">
        <v>54</v>
      </c>
      <c r="D34" s="13">
        <v>1266</v>
      </c>
      <c r="E34" s="1"/>
      <c r="F34" s="1"/>
      <c r="G34" s="1"/>
      <c r="H34" s="1"/>
      <c r="I34" s="21">
        <f t="shared" si="21"/>
        <v>0.77614261709683463</v>
      </c>
      <c r="J34" s="21">
        <v>1.128359283133713E-2</v>
      </c>
      <c r="K34" s="13">
        <f t="shared" si="2"/>
        <v>1631.1435193901339</v>
      </c>
      <c r="L34" s="1">
        <f t="shared" si="11"/>
        <v>49836.633162719001</v>
      </c>
      <c r="M34">
        <f t="shared" si="3"/>
        <v>223.24119951908295</v>
      </c>
      <c r="N34" s="40">
        <f t="shared" si="4"/>
        <v>437.55275105740259</v>
      </c>
      <c r="O34" s="24">
        <f t="shared" si="0"/>
        <v>365.14351939013386</v>
      </c>
      <c r="P34" s="1">
        <f t="shared" si="5"/>
        <v>49836.633162719001</v>
      </c>
      <c r="Q34">
        <f t="shared" si="6"/>
        <v>223.24119951908295</v>
      </c>
      <c r="R34" s="1">
        <f t="shared" si="7"/>
        <v>437.55275105740259</v>
      </c>
    </row>
    <row r="35" spans="1:18" hidden="1" x14ac:dyDescent="0.25">
      <c r="A35" t="s">
        <v>81</v>
      </c>
      <c r="B35">
        <v>2006</v>
      </c>
      <c r="C35" t="s">
        <v>54</v>
      </c>
      <c r="D35" s="13">
        <v>737</v>
      </c>
      <c r="E35" s="1"/>
      <c r="F35" s="1"/>
      <c r="G35" s="1"/>
      <c r="H35" s="1"/>
      <c r="I35" s="21">
        <f t="shared" si="21"/>
        <v>0.77614261709683463</v>
      </c>
      <c r="J35" s="21">
        <v>1.128359283133713E-2</v>
      </c>
      <c r="K35" s="13">
        <f t="shared" si="2"/>
        <v>949.56775180926445</v>
      </c>
      <c r="L35" s="1">
        <f t="shared" si="11"/>
        <v>16889.47924597438</v>
      </c>
      <c r="M35">
        <f t="shared" si="3"/>
        <v>129.95952926189898</v>
      </c>
      <c r="N35" s="40">
        <f t="shared" si="4"/>
        <v>254.720677353322</v>
      </c>
      <c r="O35" s="24">
        <f t="shared" si="0"/>
        <v>212.56775180926445</v>
      </c>
      <c r="P35" s="1">
        <f t="shared" si="5"/>
        <v>16889.47924597438</v>
      </c>
      <c r="Q35">
        <f t="shared" si="6"/>
        <v>129.95952926189898</v>
      </c>
      <c r="R35" s="1">
        <f t="shared" si="7"/>
        <v>254.720677353322</v>
      </c>
    </row>
    <row r="36" spans="1:18" hidden="1" x14ac:dyDescent="0.25">
      <c r="A36" t="s">
        <v>81</v>
      </c>
      <c r="B36">
        <v>2007</v>
      </c>
      <c r="C36" t="s">
        <v>54</v>
      </c>
      <c r="D36" s="13">
        <v>1645</v>
      </c>
      <c r="E36" s="1"/>
      <c r="F36" s="1"/>
      <c r="G36" s="1"/>
      <c r="H36" s="1"/>
      <c r="I36" s="21">
        <f t="shared" si="21"/>
        <v>0.77614261709683463</v>
      </c>
      <c r="J36" s="21">
        <v>1.128359283133713E-2</v>
      </c>
      <c r="K36" s="13">
        <f t="shared" si="2"/>
        <v>2119.4558368062958</v>
      </c>
      <c r="L36" s="1">
        <f t="shared" si="11"/>
        <v>84142.049852969925</v>
      </c>
      <c r="M36">
        <f t="shared" si="3"/>
        <v>290.07249068632814</v>
      </c>
      <c r="N36" s="40">
        <f t="shared" si="4"/>
        <v>568.54208174520318</v>
      </c>
      <c r="O36" s="24">
        <f t="shared" si="0"/>
        <v>474.45583680629579</v>
      </c>
      <c r="P36" s="1">
        <f t="shared" si="5"/>
        <v>84142.049852969925</v>
      </c>
      <c r="Q36">
        <f t="shared" si="6"/>
        <v>290.07249068632814</v>
      </c>
      <c r="R36" s="1">
        <f t="shared" si="7"/>
        <v>568.54208174520318</v>
      </c>
    </row>
    <row r="37" spans="1:18" hidden="1" x14ac:dyDescent="0.25">
      <c r="A37" t="s">
        <v>81</v>
      </c>
      <c r="B37">
        <v>2008</v>
      </c>
      <c r="C37" t="s">
        <v>54</v>
      </c>
      <c r="D37" s="13">
        <v>1196</v>
      </c>
      <c r="E37" s="1"/>
      <c r="F37" s="1"/>
      <c r="G37" s="1"/>
      <c r="H37" s="1"/>
      <c r="I37" s="21">
        <f t="shared" si="21"/>
        <v>0.77614261709683463</v>
      </c>
      <c r="J37" s="21">
        <v>1.128359283133713E-2</v>
      </c>
      <c r="K37" s="13">
        <f t="shared" si="2"/>
        <v>1540.9539093132703</v>
      </c>
      <c r="L37" s="1">
        <f t="shared" si="11"/>
        <v>44477.835342425082</v>
      </c>
      <c r="M37">
        <f t="shared" si="3"/>
        <v>210.89768927711154</v>
      </c>
      <c r="N37" s="40">
        <f t="shared" si="4"/>
        <v>413.35947098313864</v>
      </c>
      <c r="O37" s="24">
        <f t="shared" si="0"/>
        <v>344.95390931327029</v>
      </c>
      <c r="P37" s="1">
        <f t="shared" si="5"/>
        <v>44477.835342425082</v>
      </c>
      <c r="Q37">
        <f t="shared" si="6"/>
        <v>210.89768927711154</v>
      </c>
      <c r="R37" s="1">
        <f t="shared" si="7"/>
        <v>413.35947098313864</v>
      </c>
    </row>
    <row r="38" spans="1:18" hidden="1" x14ac:dyDescent="0.25">
      <c r="A38" t="s">
        <v>81</v>
      </c>
      <c r="B38">
        <v>2009</v>
      </c>
      <c r="C38" t="s">
        <v>54</v>
      </c>
      <c r="D38" s="13">
        <v>1849</v>
      </c>
      <c r="E38" s="1"/>
      <c r="F38" s="1"/>
      <c r="G38" s="1"/>
      <c r="H38" s="1"/>
      <c r="I38" s="21">
        <f t="shared" si="21"/>
        <v>0.77614261709683463</v>
      </c>
      <c r="J38" s="21">
        <v>1.128359283133713E-2</v>
      </c>
      <c r="K38" s="13">
        <f t="shared" si="2"/>
        <v>2382.2941290302983</v>
      </c>
      <c r="L38" s="1">
        <f t="shared" si="11"/>
        <v>106305.34609967883</v>
      </c>
      <c r="M38">
        <f t="shared" si="3"/>
        <v>326.04500624864482</v>
      </c>
      <c r="N38" s="40">
        <f t="shared" si="4"/>
        <v>639.04821224734383</v>
      </c>
      <c r="O38" s="24">
        <f t="shared" si="0"/>
        <v>533.29412903029834</v>
      </c>
      <c r="P38" s="1">
        <f t="shared" si="5"/>
        <v>106305.34609967883</v>
      </c>
      <c r="Q38">
        <f t="shared" si="6"/>
        <v>326.04500624864482</v>
      </c>
      <c r="R38" s="1">
        <f t="shared" si="7"/>
        <v>639.04821224734383</v>
      </c>
    </row>
    <row r="39" spans="1:18" hidden="1" x14ac:dyDescent="0.25">
      <c r="A39" t="s">
        <v>81</v>
      </c>
      <c r="B39">
        <v>2010</v>
      </c>
      <c r="C39" t="s">
        <v>54</v>
      </c>
      <c r="D39" s="13">
        <v>1266</v>
      </c>
      <c r="E39" s="1"/>
      <c r="F39" s="1"/>
      <c r="G39" s="1"/>
      <c r="H39" s="1"/>
      <c r="I39" s="21">
        <f>I$27</f>
        <v>0.77614261709683463</v>
      </c>
      <c r="J39" s="21">
        <v>1.128359283133713E-2</v>
      </c>
      <c r="K39" s="13">
        <f t="shared" si="2"/>
        <v>1631.1435193901339</v>
      </c>
      <c r="L39" s="1">
        <f t="shared" ref="L39:L47" si="22">(D39^2)*J39*(1/(I39^4))</f>
        <v>49836.633162719001</v>
      </c>
      <c r="M39">
        <f t="shared" si="3"/>
        <v>223.24119951908295</v>
      </c>
      <c r="N39" s="40">
        <f t="shared" si="4"/>
        <v>437.55275105740259</v>
      </c>
      <c r="O39" s="24">
        <f t="shared" si="0"/>
        <v>365.14351939013386</v>
      </c>
      <c r="P39" s="1">
        <f t="shared" si="5"/>
        <v>49836.633162719001</v>
      </c>
      <c r="Q39">
        <f t="shared" si="6"/>
        <v>223.24119951908295</v>
      </c>
      <c r="R39" s="1">
        <f t="shared" si="7"/>
        <v>437.55275105740259</v>
      </c>
    </row>
    <row r="40" spans="1:18" hidden="1" x14ac:dyDescent="0.25">
      <c r="A40" t="s">
        <v>81</v>
      </c>
      <c r="B40">
        <v>2011</v>
      </c>
      <c r="C40" t="s">
        <v>54</v>
      </c>
      <c r="D40" s="13">
        <v>1366</v>
      </c>
      <c r="E40" s="1">
        <v>991</v>
      </c>
      <c r="F40" s="1">
        <v>93606.430714714777</v>
      </c>
      <c r="G40" s="11">
        <v>233</v>
      </c>
      <c r="H40" s="1">
        <v>21914.576320320331</v>
      </c>
      <c r="I40">
        <f t="shared" ref="I40:I47" si="23">E40/(E40+G40)</f>
        <v>0.809640522875817</v>
      </c>
      <c r="J40">
        <f>((((E40)^2*H40)+((G40)^2*F40))/(E40+G40)^4)</f>
        <v>1.185266974203926E-2</v>
      </c>
      <c r="K40" s="13">
        <f t="shared" si="2"/>
        <v>1687.1685166498487</v>
      </c>
      <c r="L40" s="1">
        <f t="shared" si="22"/>
        <v>51469.344301835146</v>
      </c>
      <c r="M40">
        <f t="shared" ref="M40:M46" si="24">SQRT(L40)</f>
        <v>226.86856173087347</v>
      </c>
      <c r="N40" s="1">
        <f t="shared" si="4"/>
        <v>444.662380992512</v>
      </c>
      <c r="O40" s="24">
        <f t="shared" si="0"/>
        <v>321.1685166498487</v>
      </c>
      <c r="P40" s="1">
        <f t="shared" si="5"/>
        <v>51469.344301835146</v>
      </c>
      <c r="Q40">
        <f t="shared" si="6"/>
        <v>226.86856173087347</v>
      </c>
      <c r="R40" s="1">
        <f t="shared" si="7"/>
        <v>444.662380992512</v>
      </c>
    </row>
    <row r="41" spans="1:18" hidden="1" x14ac:dyDescent="0.25">
      <c r="A41" t="s">
        <v>81</v>
      </c>
      <c r="B41">
        <v>2012</v>
      </c>
      <c r="C41" t="s">
        <v>54</v>
      </c>
      <c r="D41" s="13">
        <v>1747</v>
      </c>
      <c r="E41" s="1">
        <v>612</v>
      </c>
      <c r="F41" s="1">
        <v>37368.602801802022</v>
      </c>
      <c r="G41" s="11">
        <v>394</v>
      </c>
      <c r="H41" s="1">
        <v>35156.844808808622</v>
      </c>
      <c r="I41">
        <f t="shared" si="23"/>
        <v>0.60834990059642147</v>
      </c>
      <c r="J41">
        <f t="shared" si="10"/>
        <v>1.8520235654515379E-2</v>
      </c>
      <c r="K41" s="13">
        <f t="shared" si="2"/>
        <v>2871.7026143790849</v>
      </c>
      <c r="L41" s="1">
        <f t="shared" si="22"/>
        <v>412684.87548151758</v>
      </c>
      <c r="M41">
        <f t="shared" si="24"/>
        <v>642.40553817780676</v>
      </c>
      <c r="N41" s="1">
        <f t="shared" si="4"/>
        <v>1259.1148548285012</v>
      </c>
      <c r="O41" s="24">
        <f t="shared" si="0"/>
        <v>1124.7026143790849</v>
      </c>
      <c r="P41" s="1">
        <f t="shared" si="5"/>
        <v>412684.87548151758</v>
      </c>
      <c r="Q41">
        <f t="shared" si="6"/>
        <v>642.40553817780676</v>
      </c>
      <c r="R41" s="1">
        <f t="shared" si="7"/>
        <v>1259.1148548285012</v>
      </c>
    </row>
    <row r="42" spans="1:18" hidden="1" x14ac:dyDescent="0.25">
      <c r="A42" t="s">
        <v>81</v>
      </c>
      <c r="B42">
        <v>2013</v>
      </c>
      <c r="C42" t="s">
        <v>54</v>
      </c>
      <c r="D42" s="13">
        <v>1983</v>
      </c>
      <c r="E42" s="1">
        <v>2072</v>
      </c>
      <c r="F42" s="1">
        <v>290813.90840440401</v>
      </c>
      <c r="G42" s="11">
        <v>420</v>
      </c>
      <c r="H42" s="1">
        <v>63870.855879880037</v>
      </c>
      <c r="I42">
        <f t="shared" si="23"/>
        <v>0.8314606741573034</v>
      </c>
      <c r="J42">
        <f t="shared" si="10"/>
        <v>8.4405496488616713E-3</v>
      </c>
      <c r="K42" s="13">
        <f t="shared" si="2"/>
        <v>2384.9594594594591</v>
      </c>
      <c r="L42" s="1">
        <f t="shared" si="22"/>
        <v>69446.330827502126</v>
      </c>
      <c r="M42">
        <f t="shared" si="24"/>
        <v>263.52671748326037</v>
      </c>
      <c r="N42" s="1">
        <f t="shared" si="4"/>
        <v>516.51236626719026</v>
      </c>
      <c r="O42" s="24">
        <f t="shared" si="0"/>
        <v>401.95945945945914</v>
      </c>
      <c r="P42" s="1">
        <f t="shared" si="5"/>
        <v>69446.330827502126</v>
      </c>
      <c r="Q42">
        <f t="shared" si="6"/>
        <v>263.52671748326037</v>
      </c>
      <c r="R42" s="1">
        <f t="shared" si="7"/>
        <v>516.51236626719026</v>
      </c>
    </row>
    <row r="43" spans="1:18" hidden="1" x14ac:dyDescent="0.25">
      <c r="A43" t="s">
        <v>81</v>
      </c>
      <c r="B43">
        <v>2014</v>
      </c>
      <c r="C43" t="s">
        <v>54</v>
      </c>
      <c r="D43" s="13">
        <v>2396</v>
      </c>
      <c r="E43" s="1">
        <v>2239</v>
      </c>
      <c r="F43" s="1">
        <v>356324.55903003004</v>
      </c>
      <c r="G43" s="11">
        <v>754</v>
      </c>
      <c r="H43" s="1">
        <v>173290.73473473437</v>
      </c>
      <c r="I43">
        <f t="shared" si="23"/>
        <v>0.74807885065152024</v>
      </c>
      <c r="J43">
        <f t="shared" si="10"/>
        <v>1.3350136644000693E-2</v>
      </c>
      <c r="K43" s="13">
        <f t="shared" si="2"/>
        <v>3202.8709245198747</v>
      </c>
      <c r="L43" s="1">
        <f t="shared" si="22"/>
        <v>244720.20702808804</v>
      </c>
      <c r="M43">
        <f t="shared" si="24"/>
        <v>494.69203250920469</v>
      </c>
      <c r="N43" s="1">
        <f t="shared" si="4"/>
        <v>969.59638371804124</v>
      </c>
      <c r="O43" s="24">
        <f t="shared" si="0"/>
        <v>806.87092451987473</v>
      </c>
      <c r="P43" s="1">
        <f t="shared" si="5"/>
        <v>244720.20702808804</v>
      </c>
      <c r="Q43">
        <f t="shared" si="6"/>
        <v>494.69203250920469</v>
      </c>
      <c r="R43" s="1">
        <f t="shared" si="7"/>
        <v>969.59638371804124</v>
      </c>
    </row>
    <row r="44" spans="1:18" hidden="1" x14ac:dyDescent="0.25">
      <c r="A44" t="s">
        <v>81</v>
      </c>
      <c r="B44">
        <v>2015</v>
      </c>
      <c r="C44" t="s">
        <v>54</v>
      </c>
      <c r="D44" s="13">
        <v>2031</v>
      </c>
      <c r="E44" s="1">
        <v>1753</v>
      </c>
      <c r="F44" s="1">
        <v>589204.68546046084</v>
      </c>
      <c r="G44" s="11">
        <v>798</v>
      </c>
      <c r="H44" s="1">
        <v>376855.00260160118</v>
      </c>
      <c r="I44">
        <f t="shared" si="23"/>
        <v>0.68718149745197965</v>
      </c>
      <c r="J44">
        <f t="shared" si="10"/>
        <v>3.6206082645008374E-2</v>
      </c>
      <c r="K44" s="13">
        <f t="shared" si="2"/>
        <v>2955.5510553337135</v>
      </c>
      <c r="L44" s="1">
        <f t="shared" si="22"/>
        <v>669754.36895301775</v>
      </c>
      <c r="M44">
        <f t="shared" si="24"/>
        <v>818.38522039013981</v>
      </c>
      <c r="N44" s="1">
        <f t="shared" si="4"/>
        <v>1604.0350319646741</v>
      </c>
      <c r="O44" s="24">
        <f t="shared" si="0"/>
        <v>924.55105533371352</v>
      </c>
      <c r="P44" s="1">
        <f t="shared" si="5"/>
        <v>669754.36895301775</v>
      </c>
      <c r="Q44">
        <f t="shared" si="6"/>
        <v>818.38522039013981</v>
      </c>
      <c r="R44" s="1">
        <f t="shared" si="7"/>
        <v>1604.0350319646741</v>
      </c>
    </row>
    <row r="45" spans="1:18" hidden="1" x14ac:dyDescent="0.25">
      <c r="A45" t="s">
        <v>81</v>
      </c>
      <c r="B45">
        <v>2016</v>
      </c>
      <c r="C45" t="s">
        <v>54</v>
      </c>
      <c r="D45" s="13">
        <v>3337</v>
      </c>
      <c r="E45" s="61">
        <v>5009</v>
      </c>
      <c r="F45" s="61">
        <v>1202196.1427988084</v>
      </c>
      <c r="G45" s="61">
        <v>443</v>
      </c>
      <c r="H45" s="61">
        <v>47759.630349349238</v>
      </c>
      <c r="I45">
        <f>E45/(E45+G45)</f>
        <v>0.91874541452677916</v>
      </c>
      <c r="J45">
        <f t="shared" si="10"/>
        <v>1.6232792193491376E-3</v>
      </c>
      <c r="K45" s="13">
        <f t="shared" si="2"/>
        <v>3632.1269714513874</v>
      </c>
      <c r="L45" s="1">
        <f t="shared" si="22"/>
        <v>25370.25919469192</v>
      </c>
      <c r="M45">
        <f t="shared" si="24"/>
        <v>159.28044197167435</v>
      </c>
      <c r="N45" s="1">
        <f t="shared" si="4"/>
        <v>312.18966626448173</v>
      </c>
      <c r="O45" s="24">
        <f t="shared" si="0"/>
        <v>295.12697145138736</v>
      </c>
      <c r="P45" s="1">
        <f t="shared" si="5"/>
        <v>25370.25919469192</v>
      </c>
      <c r="Q45">
        <f t="shared" si="6"/>
        <v>159.28044197167435</v>
      </c>
      <c r="R45" s="1">
        <f t="shared" si="7"/>
        <v>312.18966626448173</v>
      </c>
    </row>
    <row r="46" spans="1:18" hidden="1" x14ac:dyDescent="0.25">
      <c r="A46" t="s">
        <v>81</v>
      </c>
      <c r="B46">
        <v>2017</v>
      </c>
      <c r="C46" t="s">
        <v>54</v>
      </c>
      <c r="D46" s="13">
        <v>2899</v>
      </c>
      <c r="E46" s="1">
        <v>2144</v>
      </c>
      <c r="F46" s="1">
        <v>280432.76311411388</v>
      </c>
      <c r="G46" s="11">
        <v>738</v>
      </c>
      <c r="H46" s="1">
        <v>153491.03426526548</v>
      </c>
      <c r="I46">
        <f t="shared" si="23"/>
        <v>0.7439278278972935</v>
      </c>
      <c r="J46">
        <f>((((E46)^2*H46)+((G46)^2*F46))/(E46+G46)^4)</f>
        <v>1.2441136690885117E-2</v>
      </c>
      <c r="K46" s="13">
        <f t="shared" si="2"/>
        <v>3896.8833955223881</v>
      </c>
      <c r="L46" s="1">
        <f t="shared" si="22"/>
        <v>341376.2270959196</v>
      </c>
      <c r="M46">
        <f t="shared" si="24"/>
        <v>584.27410270858286</v>
      </c>
      <c r="N46" s="1">
        <f t="shared" si="4"/>
        <v>1145.1772413088224</v>
      </c>
      <c r="O46" s="24">
        <f t="shared" si="0"/>
        <v>997.88339552238813</v>
      </c>
      <c r="P46" s="1">
        <f t="shared" si="5"/>
        <v>341376.2270959196</v>
      </c>
      <c r="Q46">
        <f t="shared" si="6"/>
        <v>584.27410270858286</v>
      </c>
      <c r="R46" s="1">
        <f t="shared" si="7"/>
        <v>1145.1772413088224</v>
      </c>
    </row>
    <row r="47" spans="1:18" hidden="1" x14ac:dyDescent="0.25">
      <c r="A47" t="s">
        <v>81</v>
      </c>
      <c r="B47">
        <v>2018</v>
      </c>
      <c r="C47" t="s">
        <v>54</v>
      </c>
      <c r="D47" s="13">
        <v>4291</v>
      </c>
      <c r="E47" s="1">
        <v>3896</v>
      </c>
      <c r="F47" s="1">
        <v>1060621.9609919984</v>
      </c>
      <c r="G47" s="11">
        <v>625</v>
      </c>
      <c r="H47" s="1">
        <v>118540.05008908936</v>
      </c>
      <c r="I47">
        <f t="shared" si="23"/>
        <v>0.8617562486175625</v>
      </c>
      <c r="J47">
        <f t="shared" si="10"/>
        <v>5.2986071211619818E-3</v>
      </c>
      <c r="K47" s="13">
        <f t="shared" si="2"/>
        <v>4979.3662731006161</v>
      </c>
      <c r="L47" s="1">
        <f t="shared" si="22"/>
        <v>176905.35655507445</v>
      </c>
      <c r="M47">
        <f t="shared" si="3"/>
        <v>420.60118468101638</v>
      </c>
      <c r="N47" s="1">
        <f t="shared" si="4"/>
        <v>824.37832197479213</v>
      </c>
      <c r="O47" s="24">
        <f t="shared" si="0"/>
        <v>688.36627310061613</v>
      </c>
      <c r="P47" s="1">
        <f t="shared" si="5"/>
        <v>176905.35655507445</v>
      </c>
      <c r="Q47">
        <f t="shared" si="6"/>
        <v>420.60118468101638</v>
      </c>
      <c r="R47" s="1">
        <f t="shared" si="7"/>
        <v>824.37832197479213</v>
      </c>
    </row>
    <row r="48" spans="1:18" hidden="1" x14ac:dyDescent="0.25">
      <c r="A48" t="s">
        <v>81</v>
      </c>
      <c r="B48">
        <v>2019</v>
      </c>
      <c r="C48" t="s">
        <v>54</v>
      </c>
      <c r="D48" s="13">
        <v>6954</v>
      </c>
      <c r="E48" s="61">
        <v>4471</v>
      </c>
      <c r="F48" s="61">
        <v>1079051.1470470487</v>
      </c>
      <c r="G48" s="61">
        <v>2924</v>
      </c>
      <c r="H48" s="61">
        <v>1085782.9156346328</v>
      </c>
      <c r="I48">
        <f>E48/(E48+G48)</f>
        <v>0.60459770114942524</v>
      </c>
      <c r="J48">
        <f>((((E48)^2*H48)+((G48)^2*F48))/(E48+G48)^4)</f>
        <v>1.0342631375073253E-2</v>
      </c>
      <c r="K48" s="13">
        <f t="shared" si="2"/>
        <v>11501.863117870724</v>
      </c>
      <c r="L48" s="1">
        <f>(D48^2)*J48*(1/(I48^4))</f>
        <v>3743126.0537553802</v>
      </c>
      <c r="M48">
        <f t="shared" si="3"/>
        <v>1934.7160137227841</v>
      </c>
      <c r="N48" s="1">
        <f t="shared" si="4"/>
        <v>3792.0433868966566</v>
      </c>
      <c r="O48" s="24">
        <f t="shared" si="0"/>
        <v>4547.8631178707237</v>
      </c>
      <c r="P48" s="1">
        <f>L48</f>
        <v>3743126.0537553802</v>
      </c>
      <c r="Q48">
        <f>SQRT(P48)</f>
        <v>1934.7160137227841</v>
      </c>
      <c r="R48" s="1">
        <f>(1.96*Q48)</f>
        <v>3792.0433868966566</v>
      </c>
    </row>
    <row r="49" spans="1:18" hidden="1" x14ac:dyDescent="0.25">
      <c r="A49" t="s">
        <v>81</v>
      </c>
      <c r="B49">
        <v>2020</v>
      </c>
      <c r="C49" t="s">
        <v>54</v>
      </c>
      <c r="D49" s="13">
        <v>4035</v>
      </c>
      <c r="E49" s="1">
        <v>2289</v>
      </c>
      <c r="F49" s="1">
        <v>233242.22538938923</v>
      </c>
      <c r="G49" s="54">
        <v>433</v>
      </c>
      <c r="H49" s="40">
        <v>38585.891791791895</v>
      </c>
      <c r="I49">
        <f t="shared" ref="I49:I50" si="25">E49/(E49+G49)</f>
        <v>0.84092578986039679</v>
      </c>
      <c r="J49">
        <f>((((E49)^2*H49)+((G49)^2*F49))/(E49+G49)^4)</f>
        <v>4.4792930362266871E-3</v>
      </c>
      <c r="K49" s="13">
        <f t="shared" ref="K49:K50" si="26">D49/I49</f>
        <v>4798.2830930537348</v>
      </c>
      <c r="L49" s="1">
        <f t="shared" ref="L49:L50" si="27">(D49^2)*J49*(1/(I49^4))</f>
        <v>145836.37674785985</v>
      </c>
      <c r="M49">
        <f t="shared" si="3"/>
        <v>381.88529265717978</v>
      </c>
      <c r="N49" s="1">
        <f t="shared" ref="N49:N50" si="28">(1.96*M49)</f>
        <v>748.49517360807238</v>
      </c>
      <c r="O49" s="24">
        <f t="shared" ref="O49:O50" si="29">K49-D49</f>
        <v>763.28309305373477</v>
      </c>
      <c r="P49" s="1">
        <f t="shared" ref="P49:P50" si="30">L49</f>
        <v>145836.37674785985</v>
      </c>
      <c r="Q49">
        <f t="shared" ref="Q49:Q50" si="31">SQRT(P49)</f>
        <v>381.88529265717978</v>
      </c>
      <c r="R49" s="1">
        <f t="shared" ref="R49:R50" si="32">(1.96*Q49)</f>
        <v>748.49517360807238</v>
      </c>
    </row>
    <row r="50" spans="1:18" hidden="1" x14ac:dyDescent="0.25">
      <c r="A50" t="s">
        <v>81</v>
      </c>
      <c r="B50">
        <v>2021</v>
      </c>
      <c r="C50" t="s">
        <v>54</v>
      </c>
      <c r="D50" s="13">
        <v>7924</v>
      </c>
      <c r="E50" s="61">
        <v>8516</v>
      </c>
      <c r="F50" s="61">
        <v>2362897.2666416327</v>
      </c>
      <c r="G50" s="61">
        <v>1330</v>
      </c>
      <c r="H50" s="61">
        <v>243454.78281381403</v>
      </c>
      <c r="I50">
        <f t="shared" si="25"/>
        <v>0.86491976437131834</v>
      </c>
      <c r="J50">
        <f>((((E50)^2*H50)+((G50)^2*F50))/(E50+G50)^4)</f>
        <v>2.3234117604804612E-3</v>
      </c>
      <c r="K50" s="13">
        <f t="shared" si="26"/>
        <v>9161.5434476279934</v>
      </c>
      <c r="L50" s="1">
        <f t="shared" si="27"/>
        <v>260682.47263099358</v>
      </c>
      <c r="M50">
        <f t="shared" si="3"/>
        <v>510.57073225067808</v>
      </c>
      <c r="N50" s="1">
        <f t="shared" si="28"/>
        <v>1000.718635211329</v>
      </c>
      <c r="O50" s="24">
        <f t="shared" si="29"/>
        <v>1237.5434476279934</v>
      </c>
      <c r="P50" s="1">
        <f t="shared" si="30"/>
        <v>260682.47263099358</v>
      </c>
      <c r="Q50">
        <f t="shared" si="31"/>
        <v>510.57073225067808</v>
      </c>
      <c r="R50" s="1">
        <f t="shared" si="32"/>
        <v>1000.718635211329</v>
      </c>
    </row>
    <row r="51" spans="1:18" s="51" customFormat="1" hidden="1" x14ac:dyDescent="0.25">
      <c r="A51" s="51" t="s">
        <v>81</v>
      </c>
      <c r="B51" s="51">
        <v>2022</v>
      </c>
      <c r="C51" s="51" t="s">
        <v>54</v>
      </c>
      <c r="D51" s="71">
        <v>11146</v>
      </c>
      <c r="E51" s="84">
        <v>5960</v>
      </c>
      <c r="F51" s="84">
        <f>1640^2</f>
        <v>2689600</v>
      </c>
      <c r="G51" s="84">
        <f>G26</f>
        <v>2420</v>
      </c>
      <c r="H51" s="84">
        <f>H26</f>
        <v>741321</v>
      </c>
      <c r="I51">
        <f t="shared" ref="I51" si="33">E51/(E51+G51)</f>
        <v>0.71121718377088305</v>
      </c>
      <c r="J51">
        <f>((((E51)^2*H51)+((G51)^2*F51))/(E51+G51)^4)</f>
        <v>8.5338271501860068E-3</v>
      </c>
      <c r="K51" s="13">
        <f t="shared" ref="K51" si="34">D51/I51</f>
        <v>15671.724832214764</v>
      </c>
      <c r="L51" s="1">
        <f t="shared" ref="L51" si="35">(D51^2)*J51*(1/(I51^4))</f>
        <v>4143553.5425617779</v>
      </c>
      <c r="M51">
        <f t="shared" ref="M51" si="36">SQRT(L51)</f>
        <v>2035.5720430782542</v>
      </c>
      <c r="N51" s="1">
        <f t="shared" ref="N51" si="37">(1.96*M51)</f>
        <v>3989.7212044333783</v>
      </c>
      <c r="O51" s="24">
        <f t="shared" ref="O51" si="38">K51-D51</f>
        <v>4525.7248322147643</v>
      </c>
      <c r="P51" s="1">
        <f t="shared" ref="P51" si="39">L51</f>
        <v>4143553.5425617779</v>
      </c>
      <c r="Q51">
        <f t="shared" ref="Q51" si="40">SQRT(P51)</f>
        <v>2035.5720430782542</v>
      </c>
      <c r="R51" s="1">
        <f t="shared" ref="R51" si="41">(1.96*Q51)</f>
        <v>3989.7212044333783</v>
      </c>
    </row>
    <row r="52" spans="1:18" hidden="1" x14ac:dyDescent="0.25">
      <c r="A52" t="s">
        <v>81</v>
      </c>
      <c r="B52">
        <v>1998</v>
      </c>
      <c r="C52" t="s">
        <v>82</v>
      </c>
      <c r="D52" s="13">
        <v>27</v>
      </c>
      <c r="E52" s="1"/>
      <c r="F52" s="1"/>
      <c r="G52" s="1"/>
      <c r="H52" s="1"/>
      <c r="I52" s="21">
        <f>AVERAGE(I65:I72)</f>
        <v>0.77316263942598185</v>
      </c>
      <c r="J52" s="21">
        <v>1.128359283133713E-2</v>
      </c>
      <c r="K52" s="13">
        <f>D52/I52</f>
        <v>34.921501147605341</v>
      </c>
      <c r="L52" s="1">
        <f t="shared" ref="L52:L64" si="42">(D52^2)*J52*(1/(I52^4))</f>
        <v>23.019267226088481</v>
      </c>
      <c r="M52">
        <f t="shared" si="3"/>
        <v>4.7978398499833732</v>
      </c>
      <c r="N52" s="1">
        <f t="shared" si="4"/>
        <v>9.4037661059674118</v>
      </c>
      <c r="O52" s="24">
        <f t="shared" si="0"/>
        <v>7.9215011476053405</v>
      </c>
      <c r="P52" s="1">
        <f t="shared" si="5"/>
        <v>23.019267226088481</v>
      </c>
      <c r="Q52">
        <f t="shared" si="6"/>
        <v>4.7978398499833732</v>
      </c>
      <c r="R52" s="1">
        <f t="shared" si="7"/>
        <v>9.4037661059674118</v>
      </c>
    </row>
    <row r="53" spans="1:18" hidden="1" x14ac:dyDescent="0.25">
      <c r="A53" t="s">
        <v>81</v>
      </c>
      <c r="B53">
        <v>1999</v>
      </c>
      <c r="C53" t="s">
        <v>82</v>
      </c>
      <c r="D53" s="13">
        <v>88</v>
      </c>
      <c r="E53" s="1"/>
      <c r="F53" s="1"/>
      <c r="G53" s="1"/>
      <c r="H53" s="1"/>
      <c r="I53" s="21">
        <f>I$52</f>
        <v>0.77316263942598185</v>
      </c>
      <c r="J53" s="21">
        <f>J$52</f>
        <v>1.128359283133713E-2</v>
      </c>
      <c r="K53" s="13">
        <f>D53/I53</f>
        <v>113.81822596256556</v>
      </c>
      <c r="L53" s="1">
        <f t="shared" si="42"/>
        <v>244.52840246752979</v>
      </c>
      <c r="M53">
        <f t="shared" si="3"/>
        <v>15.637403955501366</v>
      </c>
      <c r="N53" s="1">
        <f t="shared" si="4"/>
        <v>30.649311752782676</v>
      </c>
      <c r="O53" s="24">
        <f t="shared" ref="O53:O128" si="43">K53-D53</f>
        <v>25.818225962565563</v>
      </c>
      <c r="P53" s="1">
        <f t="shared" si="5"/>
        <v>244.52840246752979</v>
      </c>
      <c r="Q53">
        <f t="shared" si="6"/>
        <v>15.637403955501366</v>
      </c>
      <c r="R53" s="1">
        <f t="shared" si="7"/>
        <v>30.649311752782676</v>
      </c>
    </row>
    <row r="54" spans="1:18" hidden="1" x14ac:dyDescent="0.25">
      <c r="A54" t="s">
        <v>81</v>
      </c>
      <c r="B54">
        <v>2000</v>
      </c>
      <c r="C54" t="s">
        <v>82</v>
      </c>
      <c r="D54" s="13">
        <v>65</v>
      </c>
      <c r="E54" s="1"/>
      <c r="F54" s="1"/>
      <c r="G54" s="1"/>
      <c r="H54" s="1"/>
      <c r="I54" s="21">
        <f t="shared" ref="I54:J64" si="44">I$52</f>
        <v>0.77316263942598185</v>
      </c>
      <c r="J54" s="21">
        <f t="shared" si="44"/>
        <v>1.128359283133713E-2</v>
      </c>
      <c r="K54" s="13">
        <f t="shared" ref="K54:K123" si="45">D54/I54</f>
        <v>84.070280540531371</v>
      </c>
      <c r="L54" s="1">
        <f t="shared" si="42"/>
        <v>133.41070511690512</v>
      </c>
      <c r="M54">
        <f t="shared" si="3"/>
        <v>11.550355194404418</v>
      </c>
      <c r="N54" s="1">
        <f t="shared" si="4"/>
        <v>22.638696181032657</v>
      </c>
      <c r="O54" s="24">
        <f t="shared" si="43"/>
        <v>19.070280540531371</v>
      </c>
      <c r="P54" s="1">
        <f t="shared" ref="P54:P122" si="46">L54</f>
        <v>133.41070511690512</v>
      </c>
      <c r="Q54">
        <f t="shared" ref="Q54:Q122" si="47">SQRT(P54)</f>
        <v>11.550355194404418</v>
      </c>
      <c r="R54" s="1">
        <f t="shared" ref="R54:R122" si="48">(1.96*Q54)</f>
        <v>22.638696181032657</v>
      </c>
    </row>
    <row r="55" spans="1:18" hidden="1" x14ac:dyDescent="0.25">
      <c r="A55" t="s">
        <v>81</v>
      </c>
      <c r="B55">
        <v>2001</v>
      </c>
      <c r="C55" t="s">
        <v>82</v>
      </c>
      <c r="D55" s="13">
        <v>27</v>
      </c>
      <c r="E55" s="1"/>
      <c r="F55" s="1"/>
      <c r="G55" s="1"/>
      <c r="H55" s="1"/>
      <c r="I55" s="21">
        <f t="shared" si="44"/>
        <v>0.77316263942598185</v>
      </c>
      <c r="J55" s="21">
        <f t="shared" si="44"/>
        <v>1.128359283133713E-2</v>
      </c>
      <c r="K55" s="13">
        <f t="shared" si="45"/>
        <v>34.921501147605341</v>
      </c>
      <c r="L55" s="1">
        <f t="shared" si="42"/>
        <v>23.019267226088481</v>
      </c>
      <c r="M55">
        <f t="shared" si="3"/>
        <v>4.7978398499833732</v>
      </c>
      <c r="N55" s="1">
        <f t="shared" si="4"/>
        <v>9.4037661059674118</v>
      </c>
      <c r="O55" s="24">
        <f t="shared" si="43"/>
        <v>7.9215011476053405</v>
      </c>
      <c r="P55" s="1">
        <f t="shared" si="46"/>
        <v>23.019267226088481</v>
      </c>
      <c r="Q55">
        <f t="shared" si="47"/>
        <v>4.7978398499833732</v>
      </c>
      <c r="R55" s="1">
        <f t="shared" si="48"/>
        <v>9.4037661059674118</v>
      </c>
    </row>
    <row r="56" spans="1:18" hidden="1" x14ac:dyDescent="0.25">
      <c r="A56" t="s">
        <v>81</v>
      </c>
      <c r="B56">
        <v>2002</v>
      </c>
      <c r="C56" t="s">
        <v>82</v>
      </c>
      <c r="D56" s="13">
        <v>99</v>
      </c>
      <c r="E56" s="1"/>
      <c r="F56" s="1"/>
      <c r="G56" s="1"/>
      <c r="H56" s="1"/>
      <c r="I56" s="21">
        <f t="shared" si="44"/>
        <v>0.77316263942598185</v>
      </c>
      <c r="J56" s="21">
        <f t="shared" si="44"/>
        <v>1.128359283133713E-2</v>
      </c>
      <c r="K56" s="13">
        <f t="shared" si="45"/>
        <v>128.04550420788624</v>
      </c>
      <c r="L56" s="1">
        <f t="shared" si="42"/>
        <v>309.48125937296737</v>
      </c>
      <c r="M56">
        <f t="shared" si="3"/>
        <v>17.592079449939035</v>
      </c>
      <c r="N56" s="1">
        <f t="shared" si="4"/>
        <v>34.480475721880509</v>
      </c>
      <c r="O56" s="24">
        <f t="shared" si="43"/>
        <v>29.045504207886239</v>
      </c>
      <c r="P56" s="1">
        <f t="shared" si="46"/>
        <v>309.48125937296737</v>
      </c>
      <c r="Q56">
        <f t="shared" si="47"/>
        <v>17.592079449939035</v>
      </c>
      <c r="R56" s="1">
        <f t="shared" si="48"/>
        <v>34.480475721880509</v>
      </c>
    </row>
    <row r="57" spans="1:18" hidden="1" x14ac:dyDescent="0.25">
      <c r="A57" t="s">
        <v>81</v>
      </c>
      <c r="B57">
        <v>2003</v>
      </c>
      <c r="C57" t="s">
        <v>82</v>
      </c>
      <c r="D57" s="13">
        <v>144</v>
      </c>
      <c r="E57" s="1"/>
      <c r="F57" s="1"/>
      <c r="G57" s="1"/>
      <c r="H57" s="1"/>
      <c r="I57" s="21">
        <f t="shared" si="44"/>
        <v>0.77316263942598185</v>
      </c>
      <c r="J57" s="21">
        <f t="shared" si="44"/>
        <v>1.128359283133713E-2</v>
      </c>
      <c r="K57" s="13">
        <f t="shared" si="45"/>
        <v>186.24800612056183</v>
      </c>
      <c r="L57" s="1">
        <f t="shared" si="42"/>
        <v>654.77026776429454</v>
      </c>
      <c r="M57">
        <f t="shared" si="3"/>
        <v>25.588479199911326</v>
      </c>
      <c r="N57" s="1">
        <f t="shared" si="4"/>
        <v>50.153419231826199</v>
      </c>
      <c r="O57" s="24">
        <f t="shared" si="43"/>
        <v>42.248006120561826</v>
      </c>
      <c r="P57" s="1">
        <f t="shared" si="46"/>
        <v>654.77026776429454</v>
      </c>
      <c r="Q57">
        <f t="shared" si="47"/>
        <v>25.588479199911326</v>
      </c>
      <c r="R57" s="1">
        <f t="shared" si="48"/>
        <v>50.153419231826199</v>
      </c>
    </row>
    <row r="58" spans="1:18" hidden="1" x14ac:dyDescent="0.25">
      <c r="A58" t="s">
        <v>81</v>
      </c>
      <c r="B58">
        <v>2004</v>
      </c>
      <c r="C58" t="s">
        <v>82</v>
      </c>
      <c r="D58" s="13">
        <v>200</v>
      </c>
      <c r="E58" s="1"/>
      <c r="F58" s="1"/>
      <c r="G58" s="1"/>
      <c r="H58" s="1"/>
      <c r="I58" s="21">
        <f t="shared" si="44"/>
        <v>0.77316263942598185</v>
      </c>
      <c r="J58" s="21">
        <f t="shared" si="44"/>
        <v>1.128359283133713E-2</v>
      </c>
      <c r="K58" s="13">
        <f t="shared" si="45"/>
        <v>258.67778627855807</v>
      </c>
      <c r="L58" s="1">
        <f t="shared" si="42"/>
        <v>1263.059930100877</v>
      </c>
      <c r="M58">
        <f t="shared" si="3"/>
        <v>35.53955444432129</v>
      </c>
      <c r="N58" s="1">
        <f t="shared" si="4"/>
        <v>69.657526710869732</v>
      </c>
      <c r="O58" s="24">
        <f t="shared" si="43"/>
        <v>58.677786278558074</v>
      </c>
      <c r="P58" s="1">
        <f t="shared" si="46"/>
        <v>1263.059930100877</v>
      </c>
      <c r="Q58">
        <f t="shared" si="47"/>
        <v>35.53955444432129</v>
      </c>
      <c r="R58" s="1">
        <f t="shared" si="48"/>
        <v>69.657526710869732</v>
      </c>
    </row>
    <row r="59" spans="1:18" hidden="1" x14ac:dyDescent="0.25">
      <c r="A59" t="s">
        <v>81</v>
      </c>
      <c r="B59">
        <v>2005</v>
      </c>
      <c r="C59" t="s">
        <v>82</v>
      </c>
      <c r="D59" s="13">
        <v>287</v>
      </c>
      <c r="E59" s="1"/>
      <c r="F59" s="1"/>
      <c r="G59" s="1"/>
      <c r="H59" s="1"/>
      <c r="I59" s="21">
        <f t="shared" si="44"/>
        <v>0.77316263942598185</v>
      </c>
      <c r="J59" s="21">
        <f t="shared" si="44"/>
        <v>1.128359283133713E-2</v>
      </c>
      <c r="K59" s="13">
        <f t="shared" si="45"/>
        <v>371.20262330973088</v>
      </c>
      <c r="L59" s="1">
        <f t="shared" si="42"/>
        <v>2600.9245845619785</v>
      </c>
      <c r="M59">
        <f t="shared" si="3"/>
        <v>50.999260627601046</v>
      </c>
      <c r="N59" s="1">
        <f t="shared" si="4"/>
        <v>99.958550830098048</v>
      </c>
      <c r="O59" s="24">
        <f t="shared" si="43"/>
        <v>84.202623309730882</v>
      </c>
      <c r="P59" s="1">
        <f t="shared" si="46"/>
        <v>2600.9245845619785</v>
      </c>
      <c r="Q59">
        <f t="shared" si="47"/>
        <v>50.999260627601046</v>
      </c>
      <c r="R59" s="1">
        <f t="shared" si="48"/>
        <v>99.958550830098048</v>
      </c>
    </row>
    <row r="60" spans="1:18" hidden="1" x14ac:dyDescent="0.25">
      <c r="A60" t="s">
        <v>81</v>
      </c>
      <c r="B60">
        <v>2006</v>
      </c>
      <c r="C60" t="s">
        <v>82</v>
      </c>
      <c r="D60" s="13">
        <v>303</v>
      </c>
      <c r="E60" s="1"/>
      <c r="F60" s="1"/>
      <c r="G60" s="1"/>
      <c r="H60" s="1"/>
      <c r="I60" s="21">
        <f t="shared" si="44"/>
        <v>0.77316263942598185</v>
      </c>
      <c r="J60" s="21">
        <f t="shared" si="44"/>
        <v>1.128359283133713E-2</v>
      </c>
      <c r="K60" s="13">
        <f t="shared" si="45"/>
        <v>391.89684621201548</v>
      </c>
      <c r="L60" s="1">
        <f t="shared" si="42"/>
        <v>2899.0067280657854</v>
      </c>
      <c r="M60">
        <f t="shared" si="3"/>
        <v>53.842424983146749</v>
      </c>
      <c r="N60" s="1">
        <f t="shared" si="4"/>
        <v>105.53115296696762</v>
      </c>
      <c r="O60" s="24">
        <f t="shared" si="43"/>
        <v>88.896846212015475</v>
      </c>
      <c r="P60" s="1">
        <f t="shared" si="46"/>
        <v>2899.0067280657854</v>
      </c>
      <c r="Q60">
        <f t="shared" si="47"/>
        <v>53.842424983146749</v>
      </c>
      <c r="R60" s="1">
        <f t="shared" si="48"/>
        <v>105.53115296696762</v>
      </c>
    </row>
    <row r="61" spans="1:18" hidden="1" x14ac:dyDescent="0.25">
      <c r="A61" t="s">
        <v>81</v>
      </c>
      <c r="B61">
        <v>2007</v>
      </c>
      <c r="C61" t="s">
        <v>82</v>
      </c>
      <c r="D61" s="13">
        <v>1148</v>
      </c>
      <c r="E61" s="1"/>
      <c r="F61" s="1"/>
      <c r="G61" s="1"/>
      <c r="H61" s="1"/>
      <c r="I61" s="21">
        <f t="shared" si="44"/>
        <v>0.77316263942598185</v>
      </c>
      <c r="J61" s="21">
        <f t="shared" si="44"/>
        <v>1.128359283133713E-2</v>
      </c>
      <c r="K61" s="13">
        <f t="shared" si="45"/>
        <v>1484.8104932389235</v>
      </c>
      <c r="L61" s="1">
        <f t="shared" si="42"/>
        <v>41614.793352991655</v>
      </c>
      <c r="M61">
        <f t="shared" si="3"/>
        <v>203.99704251040419</v>
      </c>
      <c r="N61" s="1">
        <f t="shared" si="4"/>
        <v>399.83420332039219</v>
      </c>
      <c r="O61" s="24">
        <f t="shared" si="43"/>
        <v>336.81049323892353</v>
      </c>
      <c r="P61" s="1">
        <f t="shared" si="46"/>
        <v>41614.793352991655</v>
      </c>
      <c r="Q61">
        <f t="shared" si="47"/>
        <v>203.99704251040419</v>
      </c>
      <c r="R61" s="1">
        <f t="shared" si="48"/>
        <v>399.83420332039219</v>
      </c>
    </row>
    <row r="62" spans="1:18" hidden="1" x14ac:dyDescent="0.25">
      <c r="A62" t="s">
        <v>81</v>
      </c>
      <c r="B62">
        <v>2008</v>
      </c>
      <c r="C62" t="s">
        <v>82</v>
      </c>
      <c r="D62" s="13">
        <v>1130</v>
      </c>
      <c r="E62" s="1"/>
      <c r="F62" s="1"/>
      <c r="G62" s="1"/>
      <c r="H62" s="1"/>
      <c r="I62" s="21">
        <f t="shared" si="44"/>
        <v>0.77316263942598185</v>
      </c>
      <c r="J62" s="21">
        <f t="shared" si="44"/>
        <v>1.128359283133713E-2</v>
      </c>
      <c r="K62" s="13">
        <f t="shared" si="45"/>
        <v>1461.5294924738532</v>
      </c>
      <c r="L62" s="1">
        <f t="shared" si="42"/>
        <v>40320.030618645244</v>
      </c>
      <c r="M62">
        <f t="shared" si="3"/>
        <v>200.79848261041528</v>
      </c>
      <c r="N62" s="1">
        <f t="shared" si="4"/>
        <v>393.56502591641396</v>
      </c>
      <c r="O62" s="24">
        <f t="shared" si="43"/>
        <v>331.52949247385322</v>
      </c>
      <c r="P62" s="1">
        <f t="shared" si="46"/>
        <v>40320.030618645244</v>
      </c>
      <c r="Q62">
        <f t="shared" si="47"/>
        <v>200.79848261041528</v>
      </c>
      <c r="R62" s="1">
        <f t="shared" si="48"/>
        <v>393.56502591641396</v>
      </c>
    </row>
    <row r="63" spans="1:18" hidden="1" x14ac:dyDescent="0.25">
      <c r="A63" t="s">
        <v>81</v>
      </c>
      <c r="B63">
        <v>2009</v>
      </c>
      <c r="C63" t="s">
        <v>82</v>
      </c>
      <c r="D63" s="13">
        <v>810</v>
      </c>
      <c r="E63" s="1"/>
      <c r="F63" s="1"/>
      <c r="G63" s="1"/>
      <c r="H63" s="1"/>
      <c r="I63" s="21">
        <f t="shared" si="44"/>
        <v>0.77316263942598185</v>
      </c>
      <c r="J63" s="21">
        <f t="shared" si="44"/>
        <v>1.128359283133713E-2</v>
      </c>
      <c r="K63" s="13">
        <f t="shared" si="45"/>
        <v>1047.6450344281602</v>
      </c>
      <c r="L63" s="1">
        <f t="shared" si="42"/>
        <v>20717.340503479634</v>
      </c>
      <c r="M63">
        <f t="shared" si="3"/>
        <v>143.93519549950122</v>
      </c>
      <c r="N63" s="1">
        <f t="shared" si="4"/>
        <v>282.11298317902236</v>
      </c>
      <c r="O63" s="24">
        <f t="shared" si="43"/>
        <v>237.64503442816022</v>
      </c>
      <c r="P63" s="1">
        <f t="shared" si="46"/>
        <v>20717.340503479634</v>
      </c>
      <c r="Q63">
        <f t="shared" si="47"/>
        <v>143.93519549950122</v>
      </c>
      <c r="R63" s="1">
        <f t="shared" si="48"/>
        <v>282.11298317902236</v>
      </c>
    </row>
    <row r="64" spans="1:18" hidden="1" x14ac:dyDescent="0.25">
      <c r="A64" t="s">
        <v>81</v>
      </c>
      <c r="B64">
        <v>2010</v>
      </c>
      <c r="C64" t="s">
        <v>82</v>
      </c>
      <c r="D64" s="13">
        <v>644</v>
      </c>
      <c r="E64" s="1"/>
      <c r="F64" s="1"/>
      <c r="G64" s="1"/>
      <c r="H64" s="1"/>
      <c r="I64" s="21">
        <f t="shared" si="44"/>
        <v>0.77316263942598185</v>
      </c>
      <c r="J64" s="21">
        <f t="shared" si="44"/>
        <v>1.128359283133713E-2</v>
      </c>
      <c r="K64" s="13">
        <f t="shared" si="45"/>
        <v>832.94247181695698</v>
      </c>
      <c r="L64" s="1">
        <f t="shared" si="42"/>
        <v>13095.910579257932</v>
      </c>
      <c r="M64">
        <f t="shared" si="3"/>
        <v>114.43736531071454</v>
      </c>
      <c r="N64" s="1">
        <f t="shared" si="4"/>
        <v>224.2972360090005</v>
      </c>
      <c r="O64" s="24">
        <f t="shared" si="43"/>
        <v>188.94247181695698</v>
      </c>
      <c r="P64" s="1">
        <f t="shared" si="46"/>
        <v>13095.910579257932</v>
      </c>
      <c r="Q64">
        <f t="shared" si="47"/>
        <v>114.43736531071454</v>
      </c>
      <c r="R64" s="1">
        <f t="shared" si="48"/>
        <v>224.2972360090005</v>
      </c>
    </row>
    <row r="65" spans="1:18" hidden="1" x14ac:dyDescent="0.25">
      <c r="A65" t="s">
        <v>81</v>
      </c>
      <c r="B65">
        <v>2011</v>
      </c>
      <c r="C65" t="s">
        <v>82</v>
      </c>
      <c r="D65" s="13">
        <v>689</v>
      </c>
      <c r="E65" s="28">
        <v>991</v>
      </c>
      <c r="F65" s="28">
        <v>93606.430714714777</v>
      </c>
      <c r="G65" s="29">
        <v>233</v>
      </c>
      <c r="H65" s="28">
        <v>21914.576320320331</v>
      </c>
      <c r="I65">
        <f t="shared" ref="I65:I73" si="49">E65/(E65+G65)</f>
        <v>0.809640522875817</v>
      </c>
      <c r="J65">
        <f t="shared" ref="J65:J73" si="50">((((E65)^2*H65)+((G65)^2*F65))/(E65+G65)^4)</f>
        <v>1.185266974203926E-2</v>
      </c>
      <c r="K65" s="13">
        <f t="shared" si="45"/>
        <v>850.99495459132186</v>
      </c>
      <c r="L65" s="1">
        <f t="shared" ref="L65:L72" si="51">(D65^2)*J65*(1/(I65^4))</f>
        <v>13094.402331197241</v>
      </c>
      <c r="M65">
        <f t="shared" ref="M65:M129" si="52">SQRT(L65)</f>
        <v>114.43077528006721</v>
      </c>
      <c r="N65" s="1">
        <f t="shared" ref="N65:N129" si="53">(1.96*M65)</f>
        <v>224.28431954893173</v>
      </c>
      <c r="O65" s="24">
        <f t="shared" si="43"/>
        <v>161.99495459132186</v>
      </c>
      <c r="P65" s="1">
        <f t="shared" si="46"/>
        <v>13094.402331197241</v>
      </c>
      <c r="Q65">
        <f t="shared" si="47"/>
        <v>114.43077528006721</v>
      </c>
      <c r="R65" s="1">
        <f t="shared" si="48"/>
        <v>224.28431954893173</v>
      </c>
    </row>
    <row r="66" spans="1:18" hidden="1" x14ac:dyDescent="0.25">
      <c r="A66" t="s">
        <v>81</v>
      </c>
      <c r="B66">
        <v>2012</v>
      </c>
      <c r="C66" t="s">
        <v>82</v>
      </c>
      <c r="D66" s="13">
        <v>918</v>
      </c>
      <c r="E66" s="28">
        <v>612</v>
      </c>
      <c r="F66" s="28">
        <v>37368.602801802022</v>
      </c>
      <c r="G66" s="29">
        <v>394</v>
      </c>
      <c r="H66" s="28">
        <v>35156.844808808622</v>
      </c>
      <c r="I66">
        <f t="shared" si="49"/>
        <v>0.60834990059642147</v>
      </c>
      <c r="J66">
        <f t="shared" si="50"/>
        <v>1.8520235654515379E-2</v>
      </c>
      <c r="K66" s="13">
        <f t="shared" si="45"/>
        <v>1509</v>
      </c>
      <c r="L66" s="1">
        <f t="shared" si="51"/>
        <v>113950.9906442892</v>
      </c>
      <c r="M66">
        <f t="shared" si="52"/>
        <v>337.56627592857848</v>
      </c>
      <c r="N66" s="1">
        <f t="shared" si="53"/>
        <v>661.62990082001386</v>
      </c>
      <c r="O66" s="24">
        <f t="shared" si="43"/>
        <v>591</v>
      </c>
      <c r="P66" s="1">
        <f t="shared" si="46"/>
        <v>113950.9906442892</v>
      </c>
      <c r="Q66">
        <f t="shared" si="47"/>
        <v>337.56627592857848</v>
      </c>
      <c r="R66" s="1">
        <f t="shared" si="48"/>
        <v>661.62990082001386</v>
      </c>
    </row>
    <row r="67" spans="1:18" hidden="1" x14ac:dyDescent="0.25">
      <c r="A67" t="s">
        <v>81</v>
      </c>
      <c r="B67">
        <v>2013</v>
      </c>
      <c r="C67" t="s">
        <v>82</v>
      </c>
      <c r="D67" s="13">
        <v>1035</v>
      </c>
      <c r="E67" s="28">
        <v>2072</v>
      </c>
      <c r="F67" s="28">
        <v>290813.90840440401</v>
      </c>
      <c r="G67" s="29">
        <v>420</v>
      </c>
      <c r="H67" s="28">
        <v>63870.855879880037</v>
      </c>
      <c r="I67">
        <f t="shared" si="49"/>
        <v>0.8314606741573034</v>
      </c>
      <c r="J67">
        <f t="shared" si="50"/>
        <v>8.4405496488616713E-3</v>
      </c>
      <c r="K67" s="13">
        <f t="shared" si="45"/>
        <v>1244.7972972972973</v>
      </c>
      <c r="L67" s="1">
        <f t="shared" si="51"/>
        <v>18918.407507863983</v>
      </c>
      <c r="M67">
        <f t="shared" si="52"/>
        <v>137.54420201471228</v>
      </c>
      <c r="N67" s="1">
        <f t="shared" si="53"/>
        <v>269.58663594883609</v>
      </c>
      <c r="O67" s="24">
        <f t="shared" si="43"/>
        <v>209.79729729729729</v>
      </c>
      <c r="P67" s="1">
        <f t="shared" si="46"/>
        <v>18918.407507863983</v>
      </c>
      <c r="Q67">
        <f t="shared" si="47"/>
        <v>137.54420201471228</v>
      </c>
      <c r="R67" s="1">
        <f t="shared" si="48"/>
        <v>269.58663594883609</v>
      </c>
    </row>
    <row r="68" spans="1:18" hidden="1" x14ac:dyDescent="0.25">
      <c r="A68" t="s">
        <v>81</v>
      </c>
      <c r="B68">
        <v>2014</v>
      </c>
      <c r="C68" t="s">
        <v>82</v>
      </c>
      <c r="D68" s="13">
        <v>653</v>
      </c>
      <c r="E68" s="28">
        <v>2239</v>
      </c>
      <c r="F68" s="28">
        <v>356324.55903003004</v>
      </c>
      <c r="G68" s="29">
        <v>754</v>
      </c>
      <c r="H68" s="28">
        <v>173290.73473473437</v>
      </c>
      <c r="I68">
        <f t="shared" si="49"/>
        <v>0.74807885065152024</v>
      </c>
      <c r="J68">
        <f t="shared" si="50"/>
        <v>1.3350136644000693E-2</v>
      </c>
      <c r="K68" s="13">
        <f t="shared" si="45"/>
        <v>872.90263510495754</v>
      </c>
      <c r="L68" s="1">
        <f t="shared" si="51"/>
        <v>18177.015037346606</v>
      </c>
      <c r="M68">
        <f t="shared" si="52"/>
        <v>134.82216077984586</v>
      </c>
      <c r="N68" s="1">
        <f t="shared" si="53"/>
        <v>264.25143512849786</v>
      </c>
      <c r="O68" s="24">
        <f t="shared" si="43"/>
        <v>219.90263510495754</v>
      </c>
      <c r="P68" s="1">
        <f t="shared" si="46"/>
        <v>18177.015037346606</v>
      </c>
      <c r="Q68">
        <f t="shared" si="47"/>
        <v>134.82216077984586</v>
      </c>
      <c r="R68" s="1">
        <f t="shared" si="48"/>
        <v>264.25143512849786</v>
      </c>
    </row>
    <row r="69" spans="1:18" hidden="1" x14ac:dyDescent="0.25">
      <c r="A69" t="s">
        <v>81</v>
      </c>
      <c r="B69">
        <v>2015</v>
      </c>
      <c r="C69" t="s">
        <v>82</v>
      </c>
      <c r="D69" s="13">
        <v>619</v>
      </c>
      <c r="E69" s="28">
        <v>1753</v>
      </c>
      <c r="F69" s="28">
        <v>589204.68546046084</v>
      </c>
      <c r="G69" s="29">
        <v>798</v>
      </c>
      <c r="H69" s="28">
        <v>376855.00260160118</v>
      </c>
      <c r="I69">
        <f t="shared" si="49"/>
        <v>0.68718149745197965</v>
      </c>
      <c r="J69">
        <f t="shared" si="50"/>
        <v>3.6206082645008374E-2</v>
      </c>
      <c r="K69" s="13">
        <f t="shared" si="45"/>
        <v>900.78094694808897</v>
      </c>
      <c r="L69" s="1">
        <f t="shared" si="51"/>
        <v>62212.407283949418</v>
      </c>
      <c r="M69">
        <f t="shared" si="52"/>
        <v>249.42415136459704</v>
      </c>
      <c r="N69" s="1">
        <f t="shared" si="53"/>
        <v>488.87133667461018</v>
      </c>
      <c r="O69" s="24">
        <f t="shared" si="43"/>
        <v>281.78094694808897</v>
      </c>
      <c r="P69" s="1">
        <f t="shared" si="46"/>
        <v>62212.407283949418</v>
      </c>
      <c r="Q69">
        <f t="shared" si="47"/>
        <v>249.42415136459704</v>
      </c>
      <c r="R69" s="1">
        <f t="shared" si="48"/>
        <v>488.87133667461018</v>
      </c>
    </row>
    <row r="70" spans="1:18" hidden="1" x14ac:dyDescent="0.25">
      <c r="A70" t="s">
        <v>81</v>
      </c>
      <c r="B70">
        <v>2016</v>
      </c>
      <c r="C70" t="s">
        <v>82</v>
      </c>
      <c r="D70" s="13">
        <v>804</v>
      </c>
      <c r="E70" s="62">
        <v>2512</v>
      </c>
      <c r="F70" s="62">
        <v>737293.04611712019</v>
      </c>
      <c r="G70" s="62">
        <v>295</v>
      </c>
      <c r="H70" s="62">
        <v>32635.602066066011</v>
      </c>
      <c r="I70">
        <f t="shared" si="49"/>
        <v>0.89490559315995721</v>
      </c>
      <c r="J70">
        <f t="shared" si="50"/>
        <v>4.3506301125708254E-3</v>
      </c>
      <c r="K70" s="13">
        <f t="shared" si="45"/>
        <v>898.41878980891727</v>
      </c>
      <c r="L70" s="1">
        <f t="shared" si="51"/>
        <v>4384.8563398414108</v>
      </c>
      <c r="M70">
        <f t="shared" si="52"/>
        <v>66.218247785949544</v>
      </c>
      <c r="N70" s="1">
        <f t="shared" si="53"/>
        <v>129.7877656604611</v>
      </c>
      <c r="O70" s="24">
        <f t="shared" si="43"/>
        <v>94.418789808917268</v>
      </c>
      <c r="P70" s="1">
        <f t="shared" si="46"/>
        <v>4384.8563398414108</v>
      </c>
      <c r="Q70">
        <f t="shared" si="47"/>
        <v>66.218247785949544</v>
      </c>
      <c r="R70" s="1">
        <f t="shared" si="48"/>
        <v>129.7877656604611</v>
      </c>
    </row>
    <row r="71" spans="1:18" hidden="1" x14ac:dyDescent="0.25">
      <c r="A71" t="s">
        <v>81</v>
      </c>
      <c r="B71">
        <v>2017</v>
      </c>
      <c r="C71" t="s">
        <v>82</v>
      </c>
      <c r="D71" s="13">
        <v>666</v>
      </c>
      <c r="E71" s="28">
        <v>2144</v>
      </c>
      <c r="F71" s="28">
        <v>280432.76311411388</v>
      </c>
      <c r="G71" s="29">
        <v>738</v>
      </c>
      <c r="H71" s="28">
        <v>153491.03426526548</v>
      </c>
      <c r="I71">
        <f t="shared" si="49"/>
        <v>0.7439278278972935</v>
      </c>
      <c r="J71">
        <f t="shared" si="50"/>
        <v>1.2441136690885117E-2</v>
      </c>
      <c r="K71" s="13">
        <f t="shared" si="45"/>
        <v>895.24813432835822</v>
      </c>
      <c r="L71" s="1">
        <f t="shared" si="51"/>
        <v>18017.117128178837</v>
      </c>
      <c r="M71">
        <f t="shared" si="52"/>
        <v>134.22785526178549</v>
      </c>
      <c r="N71" s="1">
        <f t="shared" si="53"/>
        <v>263.08659631309956</v>
      </c>
      <c r="O71" s="24">
        <f t="shared" si="43"/>
        <v>229.24813432835822</v>
      </c>
      <c r="P71" s="1">
        <f t="shared" si="46"/>
        <v>18017.117128178837</v>
      </c>
      <c r="Q71">
        <f t="shared" si="47"/>
        <v>134.22785526178549</v>
      </c>
      <c r="R71" s="1">
        <f t="shared" si="48"/>
        <v>263.08659631309956</v>
      </c>
    </row>
    <row r="72" spans="1:18" hidden="1" x14ac:dyDescent="0.25">
      <c r="A72" t="s">
        <v>81</v>
      </c>
      <c r="B72">
        <v>2018</v>
      </c>
      <c r="C72" t="s">
        <v>82</v>
      </c>
      <c r="D72" s="13">
        <v>671</v>
      </c>
      <c r="E72" s="28">
        <v>3896</v>
      </c>
      <c r="F72" s="28">
        <v>1060621.9609919984</v>
      </c>
      <c r="G72" s="29">
        <v>625</v>
      </c>
      <c r="H72" s="28">
        <v>118540.05008908936</v>
      </c>
      <c r="I72">
        <f t="shared" si="49"/>
        <v>0.8617562486175625</v>
      </c>
      <c r="J72">
        <f t="shared" si="50"/>
        <v>5.2986071211619818E-3</v>
      </c>
      <c r="K72" s="13">
        <f t="shared" si="45"/>
        <v>778.64245379876797</v>
      </c>
      <c r="L72" s="1">
        <f t="shared" si="51"/>
        <v>4325.8254808581805</v>
      </c>
      <c r="M72">
        <f t="shared" si="52"/>
        <v>65.77100790514146</v>
      </c>
      <c r="N72" s="1">
        <f t="shared" si="53"/>
        <v>128.91117549407727</v>
      </c>
      <c r="O72" s="24">
        <f t="shared" si="43"/>
        <v>107.64245379876797</v>
      </c>
      <c r="P72" s="1">
        <f t="shared" si="46"/>
        <v>4325.8254808581805</v>
      </c>
      <c r="Q72">
        <f t="shared" si="47"/>
        <v>65.77100790514146</v>
      </c>
      <c r="R72" s="1">
        <f t="shared" si="48"/>
        <v>128.91117549407727</v>
      </c>
    </row>
    <row r="73" spans="1:18" hidden="1" x14ac:dyDescent="0.25">
      <c r="A73" t="s">
        <v>81</v>
      </c>
      <c r="B73">
        <v>2019</v>
      </c>
      <c r="C73" t="s">
        <v>82</v>
      </c>
      <c r="D73" s="63">
        <v>716</v>
      </c>
      <c r="E73" s="64">
        <v>1831</v>
      </c>
      <c r="F73" s="64">
        <v>541050.77915415505</v>
      </c>
      <c r="G73" s="64">
        <v>589</v>
      </c>
      <c r="H73" s="64">
        <v>145527.89294894913</v>
      </c>
      <c r="I73">
        <f t="shared" si="49"/>
        <v>0.75661157024793391</v>
      </c>
      <c r="J73">
        <f t="shared" si="50"/>
        <v>1.9698070489197521E-2</v>
      </c>
      <c r="K73" s="63">
        <f t="shared" si="45"/>
        <v>946.32441288913162</v>
      </c>
      <c r="L73" s="40">
        <f>(D73^2)*J73*(1/(I73^4))</f>
        <v>30814.691102249373</v>
      </c>
      <c r="M73">
        <f>SQRT(L73)</f>
        <v>175.5411379200026</v>
      </c>
      <c r="N73" s="40">
        <f>(1.96*M73)</f>
        <v>344.06063032320509</v>
      </c>
      <c r="O73" s="24">
        <f t="shared" si="43"/>
        <v>230.32441288913162</v>
      </c>
      <c r="P73" s="40">
        <f>L73</f>
        <v>30814.691102249373</v>
      </c>
      <c r="Q73">
        <f>SQRT(P73)</f>
        <v>175.5411379200026</v>
      </c>
      <c r="R73" s="40">
        <f>(1.96*Q73)</f>
        <v>344.06063032320509</v>
      </c>
    </row>
    <row r="74" spans="1:18" hidden="1" x14ac:dyDescent="0.25">
      <c r="A74" t="s">
        <v>81</v>
      </c>
      <c r="B74">
        <v>2020</v>
      </c>
      <c r="C74" t="s">
        <v>82</v>
      </c>
      <c r="D74" s="13">
        <v>302</v>
      </c>
      <c r="E74" s="28">
        <v>2289</v>
      </c>
      <c r="F74" s="28">
        <v>233242.22538938923</v>
      </c>
      <c r="G74" s="57">
        <v>433</v>
      </c>
      <c r="H74" s="58">
        <v>38585.891791791895</v>
      </c>
      <c r="I74">
        <f t="shared" ref="I74" si="54">E74/(E74+G74)</f>
        <v>0.84092578986039679</v>
      </c>
      <c r="J74">
        <f t="shared" ref="J74:J75" si="55">((((E74)^2*H74)+((G74)^2*F74))/(E74+G74)^4)</f>
        <v>4.4792930362266871E-3</v>
      </c>
      <c r="K74" s="13">
        <f t="shared" ref="K74:K75" si="56">D74/I74</f>
        <v>359.12800349497599</v>
      </c>
      <c r="L74" s="1">
        <f t="shared" ref="L74:L75" si="57">(D74^2)*J74*(1/(I74^4))</f>
        <v>816.94472651239755</v>
      </c>
      <c r="M74">
        <f t="shared" ref="M74:M75" si="58">SQRT(L74)</f>
        <v>28.582244952284583</v>
      </c>
      <c r="N74" s="1">
        <f t="shared" ref="N74:N75" si="59">(1.96*M74)</f>
        <v>56.021200106477778</v>
      </c>
      <c r="O74" s="24">
        <f t="shared" ref="O74:O75" si="60">K74-D74</f>
        <v>57.128003494975985</v>
      </c>
      <c r="P74" s="1">
        <f t="shared" ref="P74:P75" si="61">L74</f>
        <v>816.94472651239755</v>
      </c>
      <c r="Q74">
        <f t="shared" ref="Q74:Q75" si="62">SQRT(P74)</f>
        <v>28.582244952284583</v>
      </c>
      <c r="R74" s="1">
        <f t="shared" ref="R74:R75" si="63">(1.96*Q74)</f>
        <v>56.021200106477778</v>
      </c>
    </row>
    <row r="75" spans="1:18" hidden="1" x14ac:dyDescent="0.25">
      <c r="A75" t="s">
        <v>81</v>
      </c>
      <c r="B75">
        <v>2021</v>
      </c>
      <c r="C75" t="s">
        <v>82</v>
      </c>
      <c r="D75" s="13">
        <v>1622</v>
      </c>
      <c r="E75" s="61">
        <v>8516</v>
      </c>
      <c r="F75" s="61">
        <v>2362897.2666416327</v>
      </c>
      <c r="G75" s="61">
        <v>1330</v>
      </c>
      <c r="H75" s="61">
        <v>243454.78281381403</v>
      </c>
      <c r="I75">
        <f>E75/(E75+G75)</f>
        <v>0.86491976437131834</v>
      </c>
      <c r="J75">
        <f t="shared" si="55"/>
        <v>2.3234117604804612E-3</v>
      </c>
      <c r="K75" s="13">
        <f t="shared" si="56"/>
        <v>1875.3184593705964</v>
      </c>
      <c r="L75" s="1">
        <f t="shared" si="57"/>
        <v>10922.563990757333</v>
      </c>
      <c r="M75">
        <f t="shared" si="58"/>
        <v>104.51107113965168</v>
      </c>
      <c r="N75" s="1">
        <f t="shared" si="59"/>
        <v>204.84169943371728</v>
      </c>
      <c r="O75" s="24">
        <f t="shared" si="60"/>
        <v>253.31845937059643</v>
      </c>
      <c r="P75" s="1">
        <f t="shared" si="61"/>
        <v>10922.563990757333</v>
      </c>
      <c r="Q75">
        <f t="shared" si="62"/>
        <v>104.51107113965168</v>
      </c>
      <c r="R75" s="1">
        <f t="shared" si="63"/>
        <v>204.84169943371728</v>
      </c>
    </row>
    <row r="76" spans="1:18" s="51" customFormat="1" hidden="1" x14ac:dyDescent="0.25">
      <c r="A76" s="51" t="s">
        <v>81</v>
      </c>
      <c r="B76" s="51">
        <v>2022</v>
      </c>
      <c r="C76" s="51" t="s">
        <v>82</v>
      </c>
      <c r="D76" s="71">
        <v>1321</v>
      </c>
      <c r="E76" s="74">
        <f>E26</f>
        <v>6339</v>
      </c>
      <c r="F76" s="74">
        <f>F26</f>
        <v>1466521</v>
      </c>
      <c r="G76" s="74">
        <f>G26</f>
        <v>2420</v>
      </c>
      <c r="H76" s="74">
        <f>H26</f>
        <v>741321</v>
      </c>
      <c r="I76">
        <f>E76/(E76+G76)</f>
        <v>0.72371275259732848</v>
      </c>
      <c r="J76">
        <f t="shared" ref="J76" si="64">((((E76)^2*H76)+((G76)^2*F76))/(E76+G76)^4)</f>
        <v>6.5200759365410454E-3</v>
      </c>
      <c r="K76" s="13">
        <f t="shared" ref="K76" si="65">D76/I76</f>
        <v>1825.3098280485881</v>
      </c>
      <c r="L76" s="1">
        <f t="shared" ref="L76" si="66">(D76^2)*J76*(1/(I76^4))</f>
        <v>41475.667798459108</v>
      </c>
      <c r="M76">
        <f t="shared" ref="M76" si="67">SQRT(L76)</f>
        <v>203.6557580783296</v>
      </c>
      <c r="N76" s="1">
        <f t="shared" ref="N76" si="68">(1.96*M76)</f>
        <v>399.16528583352601</v>
      </c>
      <c r="O76" s="24">
        <f t="shared" ref="O76" si="69">K76-D76</f>
        <v>504.30982804858809</v>
      </c>
      <c r="P76" s="1">
        <f t="shared" ref="P76" si="70">L76</f>
        <v>41475.667798459108</v>
      </c>
      <c r="Q76">
        <f t="shared" ref="Q76" si="71">SQRT(P76)</f>
        <v>203.6557580783296</v>
      </c>
      <c r="R76" s="1">
        <f t="shared" ref="R76" si="72">(1.96*Q76)</f>
        <v>399.16528583352601</v>
      </c>
    </row>
    <row r="77" spans="1:18" hidden="1" x14ac:dyDescent="0.25">
      <c r="A77" t="s">
        <v>81</v>
      </c>
      <c r="B77">
        <v>1998</v>
      </c>
      <c r="C77" t="s">
        <v>47</v>
      </c>
      <c r="D77" s="13">
        <v>994</v>
      </c>
      <c r="E77" s="23"/>
      <c r="F77" s="23"/>
      <c r="G77" s="23"/>
      <c r="H77" s="23"/>
      <c r="I77" s="21">
        <f>AVERAGE(I90:I97)</f>
        <v>0.58939472710535679</v>
      </c>
      <c r="J77" s="21">
        <v>5.4034193697657142E-3</v>
      </c>
      <c r="K77" s="13">
        <f t="shared" si="45"/>
        <v>1686.4758951640881</v>
      </c>
      <c r="L77" s="1">
        <f t="shared" ref="L77:L89" si="73">(D77^2)*J77*(1/(I77^4))</f>
        <v>44240.136597187789</v>
      </c>
      <c r="M77">
        <f t="shared" si="52"/>
        <v>210.33339391829293</v>
      </c>
      <c r="N77" s="1">
        <f t="shared" si="53"/>
        <v>412.25345207985413</v>
      </c>
      <c r="O77" s="24">
        <f t="shared" si="43"/>
        <v>692.47589516408812</v>
      </c>
      <c r="P77" s="1">
        <f t="shared" si="46"/>
        <v>44240.136597187789</v>
      </c>
      <c r="Q77">
        <f t="shared" si="47"/>
        <v>210.33339391829293</v>
      </c>
      <c r="R77" s="1">
        <f t="shared" si="48"/>
        <v>412.25345207985413</v>
      </c>
    </row>
    <row r="78" spans="1:18" hidden="1" x14ac:dyDescent="0.25">
      <c r="A78" t="s">
        <v>81</v>
      </c>
      <c r="B78">
        <v>1999</v>
      </c>
      <c r="C78" t="s">
        <v>47</v>
      </c>
      <c r="D78" s="13">
        <v>911</v>
      </c>
      <c r="E78" s="23"/>
      <c r="F78" s="23"/>
      <c r="G78" s="23"/>
      <c r="H78" s="23"/>
      <c r="I78" s="21">
        <v>0.58939472710535679</v>
      </c>
      <c r="J78" s="21">
        <v>5.4034193697657142E-3</v>
      </c>
      <c r="K78" s="13">
        <f t="shared" si="45"/>
        <v>1545.6534612620567</v>
      </c>
      <c r="L78" s="1">
        <f t="shared" si="73"/>
        <v>37160.4054962316</v>
      </c>
      <c r="M78">
        <f t="shared" si="52"/>
        <v>192.7703439231035</v>
      </c>
      <c r="N78" s="1">
        <f t="shared" si="53"/>
        <v>377.82987408928284</v>
      </c>
      <c r="O78" s="24">
        <f t="shared" si="43"/>
        <v>634.65346126205668</v>
      </c>
      <c r="P78" s="1">
        <f t="shared" si="46"/>
        <v>37160.4054962316</v>
      </c>
      <c r="Q78">
        <f t="shared" si="47"/>
        <v>192.7703439231035</v>
      </c>
      <c r="R78" s="1">
        <f t="shared" si="48"/>
        <v>377.82987408928284</v>
      </c>
    </row>
    <row r="79" spans="1:18" hidden="1" x14ac:dyDescent="0.25">
      <c r="A79" t="s">
        <v>81</v>
      </c>
      <c r="B79">
        <v>2000</v>
      </c>
      <c r="C79" t="s">
        <v>47</v>
      </c>
      <c r="D79" s="13">
        <v>1400</v>
      </c>
      <c r="E79" s="1"/>
      <c r="F79" s="1"/>
      <c r="G79" s="1"/>
      <c r="H79" s="1"/>
      <c r="I79" s="21">
        <v>0.58939472710535679</v>
      </c>
      <c r="J79" s="21">
        <v>5.4034193697657142E-3</v>
      </c>
      <c r="K79" s="13">
        <f t="shared" si="45"/>
        <v>2375.318162202941</v>
      </c>
      <c r="L79" s="1">
        <f t="shared" si="73"/>
        <v>87760.635979344952</v>
      </c>
      <c r="M79">
        <f t="shared" si="52"/>
        <v>296.24421678632808</v>
      </c>
      <c r="N79" s="1">
        <f t="shared" si="53"/>
        <v>580.63866490120301</v>
      </c>
      <c r="O79" s="24">
        <f t="shared" si="43"/>
        <v>975.31816220294104</v>
      </c>
      <c r="P79" s="1">
        <f t="shared" si="46"/>
        <v>87760.635979344952</v>
      </c>
      <c r="Q79">
        <f t="shared" si="47"/>
        <v>296.24421678632808</v>
      </c>
      <c r="R79" s="1">
        <f t="shared" si="48"/>
        <v>580.63866490120301</v>
      </c>
    </row>
    <row r="80" spans="1:18" hidden="1" x14ac:dyDescent="0.25">
      <c r="A80" t="s">
        <v>81</v>
      </c>
      <c r="B80">
        <v>2001</v>
      </c>
      <c r="C80" t="s">
        <v>47</v>
      </c>
      <c r="D80" s="13">
        <v>763</v>
      </c>
      <c r="E80" s="1"/>
      <c r="F80" s="1"/>
      <c r="G80" s="1"/>
      <c r="H80" s="1"/>
      <c r="I80" s="21">
        <v>0.58939472710535679</v>
      </c>
      <c r="J80" s="21">
        <v>5.4034193697657142E-3</v>
      </c>
      <c r="K80" s="13">
        <f t="shared" si="45"/>
        <v>1294.5483984006028</v>
      </c>
      <c r="L80" s="1">
        <f t="shared" si="73"/>
        <v>26067.102901764931</v>
      </c>
      <c r="M80">
        <f t="shared" si="52"/>
        <v>161.4530981485488</v>
      </c>
      <c r="N80" s="1">
        <f t="shared" si="53"/>
        <v>316.44807237115566</v>
      </c>
      <c r="O80" s="24">
        <f t="shared" si="43"/>
        <v>531.54839840060276</v>
      </c>
      <c r="P80" s="1">
        <f t="shared" si="46"/>
        <v>26067.102901764931</v>
      </c>
      <c r="Q80">
        <f t="shared" si="47"/>
        <v>161.4530981485488</v>
      </c>
      <c r="R80" s="1">
        <f t="shared" si="48"/>
        <v>316.44807237115566</v>
      </c>
    </row>
    <row r="81" spans="1:18" hidden="1" x14ac:dyDescent="0.25">
      <c r="A81" t="s">
        <v>81</v>
      </c>
      <c r="B81">
        <v>2002</v>
      </c>
      <c r="C81" t="s">
        <v>47</v>
      </c>
      <c r="D81" s="13">
        <v>2378</v>
      </c>
      <c r="E81" s="1"/>
      <c r="F81" s="1"/>
      <c r="G81" s="1"/>
      <c r="H81" s="1"/>
      <c r="I81" s="21">
        <v>0.58939472710535679</v>
      </c>
      <c r="J81" s="21">
        <v>5.4034193697657142E-3</v>
      </c>
      <c r="K81" s="13">
        <f t="shared" si="45"/>
        <v>4034.6475640847098</v>
      </c>
      <c r="L81" s="1">
        <f t="shared" si="73"/>
        <v>253202.15113746023</v>
      </c>
      <c r="M81">
        <f t="shared" si="52"/>
        <v>503.19196251277725</v>
      </c>
      <c r="N81" s="1">
        <f t="shared" si="53"/>
        <v>986.25624652504337</v>
      </c>
      <c r="O81" s="24">
        <f t="shared" si="43"/>
        <v>1656.6475640847098</v>
      </c>
      <c r="P81" s="1">
        <f t="shared" si="46"/>
        <v>253202.15113746023</v>
      </c>
      <c r="Q81">
        <f t="shared" si="47"/>
        <v>503.19196251277725</v>
      </c>
      <c r="R81" s="1">
        <f t="shared" si="48"/>
        <v>986.25624652504337</v>
      </c>
    </row>
    <row r="82" spans="1:18" hidden="1" x14ac:dyDescent="0.25">
      <c r="A82" t="s">
        <v>81</v>
      </c>
      <c r="B82">
        <v>2003</v>
      </c>
      <c r="C82" t="s">
        <v>47</v>
      </c>
      <c r="D82" s="13">
        <v>4623</v>
      </c>
      <c r="E82" s="1"/>
      <c r="F82" s="1"/>
      <c r="G82" s="1"/>
      <c r="H82" s="1"/>
      <c r="I82" s="21">
        <v>0.58939472710535679</v>
      </c>
      <c r="J82" s="21">
        <v>5.4034193697657142E-3</v>
      </c>
      <c r="K82" s="13">
        <f t="shared" si="45"/>
        <v>7843.6399027601401</v>
      </c>
      <c r="L82" s="1">
        <f t="shared" si="73"/>
        <v>956954.91493500082</v>
      </c>
      <c r="M82">
        <f t="shared" si="52"/>
        <v>978.24072443085333</v>
      </c>
      <c r="N82" s="1">
        <f t="shared" si="53"/>
        <v>1917.3518198844724</v>
      </c>
      <c r="O82" s="24">
        <f t="shared" si="43"/>
        <v>3220.6399027601401</v>
      </c>
      <c r="P82" s="1">
        <f t="shared" si="46"/>
        <v>956954.91493500082</v>
      </c>
      <c r="Q82">
        <f t="shared" si="47"/>
        <v>978.24072443085333</v>
      </c>
      <c r="R82" s="1">
        <f t="shared" si="48"/>
        <v>1917.3518198844724</v>
      </c>
    </row>
    <row r="83" spans="1:18" hidden="1" x14ac:dyDescent="0.25">
      <c r="A83" t="s">
        <v>81</v>
      </c>
      <c r="B83">
        <v>2004</v>
      </c>
      <c r="C83" t="s">
        <v>47</v>
      </c>
      <c r="D83" s="13">
        <v>4736</v>
      </c>
      <c r="E83" s="1"/>
      <c r="F83" s="1"/>
      <c r="G83" s="1"/>
      <c r="H83" s="1"/>
      <c r="I83" s="21">
        <v>0.58939472710535679</v>
      </c>
      <c r="J83" s="21">
        <v>5.4034193697657142E-3</v>
      </c>
      <c r="K83" s="13">
        <f t="shared" si="45"/>
        <v>8035.3620115665199</v>
      </c>
      <c r="L83" s="1">
        <f t="shared" si="73"/>
        <v>1004308.3600935558</v>
      </c>
      <c r="M83">
        <f t="shared" si="52"/>
        <v>1002.1518647857498</v>
      </c>
      <c r="N83" s="1">
        <f t="shared" si="53"/>
        <v>1964.2176549800695</v>
      </c>
      <c r="O83" s="24">
        <f t="shared" si="43"/>
        <v>3299.3620115665199</v>
      </c>
      <c r="P83" s="1">
        <f t="shared" si="46"/>
        <v>1004308.3600935558</v>
      </c>
      <c r="Q83">
        <f t="shared" si="47"/>
        <v>1002.1518647857498</v>
      </c>
      <c r="R83" s="1">
        <f t="shared" si="48"/>
        <v>1964.2176549800695</v>
      </c>
    </row>
    <row r="84" spans="1:18" hidden="1" x14ac:dyDescent="0.25">
      <c r="A84" t="s">
        <v>81</v>
      </c>
      <c r="B84">
        <v>2005</v>
      </c>
      <c r="C84" t="s">
        <v>47</v>
      </c>
      <c r="D84" s="13">
        <v>3615</v>
      </c>
      <c r="E84" s="1"/>
      <c r="F84" s="1"/>
      <c r="G84" s="1"/>
      <c r="H84" s="1"/>
      <c r="I84" s="21">
        <v>0.58939472710535679</v>
      </c>
      <c r="J84" s="21">
        <v>5.4034193697657142E-3</v>
      </c>
      <c r="K84" s="13">
        <f t="shared" si="45"/>
        <v>6133.4108259740224</v>
      </c>
      <c r="L84" s="1">
        <f t="shared" si="73"/>
        <v>585140.68220468122</v>
      </c>
      <c r="M84">
        <f t="shared" si="52"/>
        <v>764.94488834469712</v>
      </c>
      <c r="N84" s="1">
        <f t="shared" si="53"/>
        <v>1499.2919811556064</v>
      </c>
      <c r="O84" s="24">
        <f t="shared" si="43"/>
        <v>2518.4108259740224</v>
      </c>
      <c r="P84" s="1">
        <f t="shared" si="46"/>
        <v>585140.68220468122</v>
      </c>
      <c r="Q84">
        <f t="shared" si="47"/>
        <v>764.94488834469712</v>
      </c>
      <c r="R84" s="1">
        <f t="shared" si="48"/>
        <v>1499.2919811556064</v>
      </c>
    </row>
    <row r="85" spans="1:18" hidden="1" x14ac:dyDescent="0.25">
      <c r="A85" t="s">
        <v>81</v>
      </c>
      <c r="B85">
        <v>2006</v>
      </c>
      <c r="C85" t="s">
        <v>47</v>
      </c>
      <c r="D85" s="13">
        <v>2463</v>
      </c>
      <c r="E85" s="1"/>
      <c r="F85" s="1"/>
      <c r="G85" s="1"/>
      <c r="H85" s="1"/>
      <c r="I85" s="21">
        <v>0.58939472710535679</v>
      </c>
      <c r="J85" s="21">
        <v>5.4034193697657142E-3</v>
      </c>
      <c r="K85" s="13">
        <f t="shared" si="45"/>
        <v>4178.8633096470312</v>
      </c>
      <c r="L85" s="1">
        <f t="shared" si="73"/>
        <v>271626.73547213408</v>
      </c>
      <c r="M85">
        <f t="shared" si="52"/>
        <v>521.17821853194721</v>
      </c>
      <c r="N85" s="1">
        <f t="shared" si="53"/>
        <v>1021.5093083226166</v>
      </c>
      <c r="O85" s="24">
        <f t="shared" si="43"/>
        <v>1715.8633096470312</v>
      </c>
      <c r="P85" s="1">
        <f t="shared" si="46"/>
        <v>271626.73547213408</v>
      </c>
      <c r="Q85">
        <f t="shared" si="47"/>
        <v>521.17821853194721</v>
      </c>
      <c r="R85" s="1">
        <f t="shared" si="48"/>
        <v>1021.5093083226166</v>
      </c>
    </row>
    <row r="86" spans="1:18" hidden="1" x14ac:dyDescent="0.25">
      <c r="A86" t="s">
        <v>81</v>
      </c>
      <c r="B86">
        <v>2007</v>
      </c>
      <c r="C86" t="s">
        <v>47</v>
      </c>
      <c r="D86" s="13">
        <v>2559</v>
      </c>
      <c r="E86" s="1"/>
      <c r="F86" s="1"/>
      <c r="G86" s="1"/>
      <c r="H86" s="1"/>
      <c r="I86" s="21">
        <v>0.58939472710535679</v>
      </c>
      <c r="J86" s="21">
        <v>5.4034193697657142E-3</v>
      </c>
      <c r="K86" s="13">
        <f t="shared" si="45"/>
        <v>4341.7422693409471</v>
      </c>
      <c r="L86" s="1">
        <f t="shared" si="73"/>
        <v>293213.70268298819</v>
      </c>
      <c r="M86">
        <f t="shared" si="52"/>
        <v>541.49210768300975</v>
      </c>
      <c r="N86" s="1">
        <f t="shared" si="53"/>
        <v>1061.324531058699</v>
      </c>
      <c r="O86" s="24">
        <f t="shared" si="43"/>
        <v>1782.7422693409471</v>
      </c>
      <c r="P86" s="1">
        <f t="shared" si="46"/>
        <v>293213.70268298819</v>
      </c>
      <c r="Q86">
        <f t="shared" si="47"/>
        <v>541.49210768300975</v>
      </c>
      <c r="R86" s="1">
        <f t="shared" si="48"/>
        <v>1061.324531058699</v>
      </c>
    </row>
    <row r="87" spans="1:18" hidden="1" x14ac:dyDescent="0.25">
      <c r="A87" t="s">
        <v>81</v>
      </c>
      <c r="B87">
        <v>2008</v>
      </c>
      <c r="C87" t="s">
        <v>47</v>
      </c>
      <c r="D87" s="13">
        <v>2163</v>
      </c>
      <c r="E87" s="1"/>
      <c r="F87" s="1"/>
      <c r="G87" s="1"/>
      <c r="H87" s="1"/>
      <c r="I87" s="21">
        <v>0.58939472710535679</v>
      </c>
      <c r="J87" s="21">
        <v>5.4034193697657142E-3</v>
      </c>
      <c r="K87" s="13">
        <f t="shared" si="45"/>
        <v>3669.8665606035438</v>
      </c>
      <c r="L87" s="1">
        <f t="shared" si="73"/>
        <v>209486.83209859589</v>
      </c>
      <c r="M87">
        <f t="shared" si="52"/>
        <v>457.69731493487689</v>
      </c>
      <c r="N87" s="1">
        <f t="shared" si="53"/>
        <v>897.08673727235873</v>
      </c>
      <c r="O87" s="24">
        <f t="shared" si="43"/>
        <v>1506.8665606035438</v>
      </c>
      <c r="P87" s="1">
        <f t="shared" si="46"/>
        <v>209486.83209859589</v>
      </c>
      <c r="Q87">
        <f t="shared" si="47"/>
        <v>457.69731493487689</v>
      </c>
      <c r="R87" s="1">
        <f t="shared" si="48"/>
        <v>897.08673727235873</v>
      </c>
    </row>
    <row r="88" spans="1:18" hidden="1" x14ac:dyDescent="0.25">
      <c r="A88" t="s">
        <v>81</v>
      </c>
      <c r="B88">
        <v>2009</v>
      </c>
      <c r="C88" t="s">
        <v>47</v>
      </c>
      <c r="D88" s="13">
        <v>2918</v>
      </c>
      <c r="E88" s="1"/>
      <c r="F88" s="1"/>
      <c r="G88" s="1"/>
      <c r="H88" s="1"/>
      <c r="I88" s="21">
        <v>0.58939472710535679</v>
      </c>
      <c r="J88" s="21">
        <v>5.4034193697657142E-3</v>
      </c>
      <c r="K88" s="13">
        <f t="shared" si="45"/>
        <v>4950.841712362987</v>
      </c>
      <c r="L88" s="1">
        <f t="shared" si="73"/>
        <v>381253.87419826118</v>
      </c>
      <c r="M88">
        <f t="shared" si="52"/>
        <v>617.45758898750375</v>
      </c>
      <c r="N88" s="1">
        <f t="shared" si="53"/>
        <v>1210.2168744155074</v>
      </c>
      <c r="O88" s="24">
        <f t="shared" si="43"/>
        <v>2032.841712362987</v>
      </c>
      <c r="P88" s="1">
        <f t="shared" si="46"/>
        <v>381253.87419826118</v>
      </c>
      <c r="Q88">
        <f t="shared" si="47"/>
        <v>617.45758898750375</v>
      </c>
      <c r="R88" s="1">
        <f t="shared" si="48"/>
        <v>1210.2168744155074</v>
      </c>
    </row>
    <row r="89" spans="1:18" hidden="1" x14ac:dyDescent="0.25">
      <c r="A89" t="s">
        <v>81</v>
      </c>
      <c r="B89">
        <v>2010</v>
      </c>
      <c r="C89" t="s">
        <v>47</v>
      </c>
      <c r="D89" s="13">
        <v>4422</v>
      </c>
      <c r="E89" s="1"/>
      <c r="F89" s="1"/>
      <c r="G89" s="1"/>
      <c r="H89" s="1"/>
      <c r="I89" s="21">
        <v>0.58939472710535679</v>
      </c>
      <c r="J89" s="21">
        <v>5.4034193697657142E-3</v>
      </c>
      <c r="K89" s="13">
        <f t="shared" si="45"/>
        <v>7502.6120809010035</v>
      </c>
      <c r="L89" s="1">
        <f t="shared" si="73"/>
        <v>875550.43256812927</v>
      </c>
      <c r="M89">
        <f t="shared" si="52"/>
        <v>935.70851902081631</v>
      </c>
      <c r="N89" s="1">
        <f t="shared" si="53"/>
        <v>1833.9886972807999</v>
      </c>
      <c r="O89" s="24">
        <f t="shared" si="43"/>
        <v>3080.6120809010035</v>
      </c>
      <c r="P89" s="1">
        <f t="shared" si="46"/>
        <v>875550.43256812927</v>
      </c>
      <c r="Q89">
        <f t="shared" si="47"/>
        <v>935.70851902081631</v>
      </c>
      <c r="R89" s="1">
        <f t="shared" si="48"/>
        <v>1833.9886972807999</v>
      </c>
    </row>
    <row r="90" spans="1:18" hidden="1" x14ac:dyDescent="0.25">
      <c r="A90" t="s">
        <v>81</v>
      </c>
      <c r="B90">
        <v>2011</v>
      </c>
      <c r="C90" t="s">
        <v>47</v>
      </c>
      <c r="D90" s="13">
        <v>3046</v>
      </c>
      <c r="E90" s="1">
        <v>3090</v>
      </c>
      <c r="F90" s="1">
        <v>271781.70067567605</v>
      </c>
      <c r="G90" s="1">
        <v>2227</v>
      </c>
      <c r="H90" s="1">
        <v>216174.96608208178</v>
      </c>
      <c r="I90">
        <f t="shared" ref="I90:I98" si="74">E90/(E90+G90)</f>
        <v>0.58115478653375963</v>
      </c>
      <c r="J90">
        <f t="shared" ref="J90:J98" si="75">((((E90)^2*H90)+((G90)^2*F90))/(E90+G90)^4)</f>
        <v>4.2691212420400337E-3</v>
      </c>
      <c r="K90" s="13">
        <f t="shared" si="45"/>
        <v>5241.2886731391591</v>
      </c>
      <c r="L90" s="1">
        <f t="shared" ref="L90:L114" si="76">(D90^2)*J90*(1/(I90^4))</f>
        <v>347241.00971171423</v>
      </c>
      <c r="M90">
        <f t="shared" si="52"/>
        <v>589.27159248661758</v>
      </c>
      <c r="N90" s="1">
        <f t="shared" si="53"/>
        <v>1154.9723212737704</v>
      </c>
      <c r="O90" s="24">
        <f t="shared" si="43"/>
        <v>2195.2886731391591</v>
      </c>
      <c r="P90" s="1">
        <f t="shared" si="46"/>
        <v>347241.00971171423</v>
      </c>
      <c r="Q90">
        <f t="shared" si="47"/>
        <v>589.27159248661758</v>
      </c>
      <c r="R90" s="1">
        <f t="shared" si="48"/>
        <v>1154.9723212737704</v>
      </c>
    </row>
    <row r="91" spans="1:18" hidden="1" x14ac:dyDescent="0.25">
      <c r="A91" t="s">
        <v>81</v>
      </c>
      <c r="B91">
        <v>2012</v>
      </c>
      <c r="C91" t="s">
        <v>47</v>
      </c>
      <c r="D91" s="13">
        <v>4677</v>
      </c>
      <c r="E91" s="1">
        <v>3725</v>
      </c>
      <c r="F91" s="1">
        <v>397497.76136136171</v>
      </c>
      <c r="G91" s="1">
        <v>4253</v>
      </c>
      <c r="H91" s="1">
        <v>578754.77845445485</v>
      </c>
      <c r="I91">
        <f t="shared" si="74"/>
        <v>0.4669089997493106</v>
      </c>
      <c r="J91">
        <f t="shared" si="75"/>
        <v>3.7571070733600719E-3</v>
      </c>
      <c r="K91" s="13">
        <f t="shared" si="45"/>
        <v>10016.941208053691</v>
      </c>
      <c r="L91" s="1">
        <f t="shared" si="76"/>
        <v>1729256.1604569755</v>
      </c>
      <c r="M91">
        <f t="shared" si="52"/>
        <v>1315.0118480291253</v>
      </c>
      <c r="N91" s="1">
        <f t="shared" si="53"/>
        <v>2577.4232221370858</v>
      </c>
      <c r="O91" s="24">
        <f t="shared" si="43"/>
        <v>5339.9412080536913</v>
      </c>
      <c r="P91" s="1">
        <f t="shared" si="46"/>
        <v>1729256.1604569755</v>
      </c>
      <c r="Q91">
        <f t="shared" si="47"/>
        <v>1315.0118480291253</v>
      </c>
      <c r="R91" s="1">
        <f t="shared" si="48"/>
        <v>2577.4232221370858</v>
      </c>
    </row>
    <row r="92" spans="1:18" hidden="1" x14ac:dyDescent="0.25">
      <c r="A92" t="s">
        <v>81</v>
      </c>
      <c r="B92">
        <v>2013</v>
      </c>
      <c r="C92" t="s">
        <v>47</v>
      </c>
      <c r="D92" s="13">
        <v>4808</v>
      </c>
      <c r="E92" s="1">
        <v>4037</v>
      </c>
      <c r="F92" s="1">
        <v>420611.36510910874</v>
      </c>
      <c r="G92" s="1">
        <v>2924</v>
      </c>
      <c r="H92" s="1">
        <v>387920.33056957065</v>
      </c>
      <c r="I92">
        <f t="shared" si="74"/>
        <v>0.5799454101422209</v>
      </c>
      <c r="J92">
        <f t="shared" si="75"/>
        <v>4.224223881452006E-3</v>
      </c>
      <c r="K92" s="13">
        <f t="shared" si="45"/>
        <v>8290.4354718850645</v>
      </c>
      <c r="L92" s="1">
        <f t="shared" si="76"/>
        <v>863231.70507392555</v>
      </c>
      <c r="M92">
        <f t="shared" si="52"/>
        <v>929.1026343057722</v>
      </c>
      <c r="N92" s="1">
        <f t="shared" si="53"/>
        <v>1821.0411632393134</v>
      </c>
      <c r="O92" s="24">
        <f t="shared" si="43"/>
        <v>3482.4354718850645</v>
      </c>
      <c r="P92" s="1">
        <f t="shared" si="46"/>
        <v>863231.70507392555</v>
      </c>
      <c r="Q92">
        <f t="shared" si="47"/>
        <v>929.1026343057722</v>
      </c>
      <c r="R92" s="1">
        <f t="shared" si="48"/>
        <v>1821.0411632393134</v>
      </c>
    </row>
    <row r="93" spans="1:18" hidden="1" x14ac:dyDescent="0.25">
      <c r="A93" t="s">
        <v>81</v>
      </c>
      <c r="B93">
        <v>2014</v>
      </c>
      <c r="C93" t="s">
        <v>47</v>
      </c>
      <c r="D93" s="13">
        <v>4731</v>
      </c>
      <c r="E93" s="1">
        <v>6907</v>
      </c>
      <c r="F93" s="1">
        <v>856869.26777878113</v>
      </c>
      <c r="G93" s="1">
        <v>5029</v>
      </c>
      <c r="H93" s="1">
        <v>845537.23883783736</v>
      </c>
      <c r="I93">
        <f t="shared" si="74"/>
        <v>0.57866957104557637</v>
      </c>
      <c r="J93">
        <f t="shared" si="75"/>
        <v>3.055043052059355E-3</v>
      </c>
      <c r="K93" s="13">
        <f t="shared" si="45"/>
        <v>8175.6502099319532</v>
      </c>
      <c r="L93" s="1">
        <f t="shared" si="76"/>
        <v>609818.57296968682</v>
      </c>
      <c r="M93">
        <f t="shared" si="52"/>
        <v>780.90881219876553</v>
      </c>
      <c r="N93" s="1">
        <f t="shared" si="53"/>
        <v>1530.5812719095804</v>
      </c>
      <c r="O93" s="24">
        <f t="shared" si="43"/>
        <v>3444.6502099319532</v>
      </c>
      <c r="P93" s="1">
        <f t="shared" si="46"/>
        <v>609818.57296968682</v>
      </c>
      <c r="Q93">
        <f t="shared" si="47"/>
        <v>780.90881219876553</v>
      </c>
      <c r="R93" s="1">
        <f t="shared" si="48"/>
        <v>1530.5812719095804</v>
      </c>
    </row>
    <row r="94" spans="1:18" hidden="1" x14ac:dyDescent="0.25">
      <c r="A94" t="s">
        <v>81</v>
      </c>
      <c r="B94">
        <v>2015</v>
      </c>
      <c r="C94" t="s">
        <v>47</v>
      </c>
      <c r="D94" s="13">
        <v>6321</v>
      </c>
      <c r="E94" s="1">
        <v>6611</v>
      </c>
      <c r="F94" s="1">
        <v>769997.81975575699</v>
      </c>
      <c r="G94" s="1">
        <v>4186</v>
      </c>
      <c r="H94" s="1">
        <v>578778.57604704704</v>
      </c>
      <c r="I94">
        <f t="shared" si="74"/>
        <v>0.61229971288320828</v>
      </c>
      <c r="J94">
        <f t="shared" si="75"/>
        <v>2.8542085314162058E-3</v>
      </c>
      <c r="K94" s="13">
        <f t="shared" si="45"/>
        <v>10323.375737407352</v>
      </c>
      <c r="L94" s="1">
        <f t="shared" si="76"/>
        <v>811336.58070905623</v>
      </c>
      <c r="M94">
        <f t="shared" si="52"/>
        <v>900.7422387725893</v>
      </c>
      <c r="N94" s="1">
        <f t="shared" si="53"/>
        <v>1765.454787994275</v>
      </c>
      <c r="O94" s="24">
        <f t="shared" si="43"/>
        <v>4002.3757374073521</v>
      </c>
      <c r="P94" s="1">
        <f t="shared" si="46"/>
        <v>811336.58070905623</v>
      </c>
      <c r="Q94">
        <f t="shared" si="47"/>
        <v>900.7422387725893</v>
      </c>
      <c r="R94" s="1">
        <f t="shared" si="48"/>
        <v>1765.454787994275</v>
      </c>
    </row>
    <row r="95" spans="1:18" hidden="1" x14ac:dyDescent="0.25">
      <c r="A95" t="s">
        <v>81</v>
      </c>
      <c r="B95">
        <v>2016</v>
      </c>
      <c r="C95" t="s">
        <v>47</v>
      </c>
      <c r="D95" s="13">
        <v>10123</v>
      </c>
      <c r="E95" s="1">
        <v>9545</v>
      </c>
      <c r="F95" s="1">
        <v>1166196.6307867859</v>
      </c>
      <c r="G95" s="1">
        <v>5962</v>
      </c>
      <c r="H95" s="1">
        <v>699581.80920820858</v>
      </c>
      <c r="I95">
        <f t="shared" si="74"/>
        <v>0.61552847101309083</v>
      </c>
      <c r="J95">
        <f t="shared" si="75"/>
        <v>1.8191246498617864E-3</v>
      </c>
      <c r="K95" s="13">
        <f t="shared" si="45"/>
        <v>16446.030487166056</v>
      </c>
      <c r="L95" s="1">
        <f t="shared" si="76"/>
        <v>1298638.7245062976</v>
      </c>
      <c r="M95">
        <f t="shared" si="52"/>
        <v>1139.5783099490345</v>
      </c>
      <c r="N95" s="1">
        <f t="shared" si="53"/>
        <v>2233.5734875001076</v>
      </c>
      <c r="O95" s="24">
        <f t="shared" si="43"/>
        <v>6323.0304871660555</v>
      </c>
      <c r="P95" s="1">
        <f t="shared" si="46"/>
        <v>1298638.7245062976</v>
      </c>
      <c r="Q95">
        <f t="shared" si="47"/>
        <v>1139.5783099490345</v>
      </c>
      <c r="R95" s="1">
        <f t="shared" si="48"/>
        <v>2233.5734875001076</v>
      </c>
    </row>
    <row r="96" spans="1:18" hidden="1" x14ac:dyDescent="0.25">
      <c r="A96" t="s">
        <v>81</v>
      </c>
      <c r="B96">
        <v>2017</v>
      </c>
      <c r="C96" t="s">
        <v>47</v>
      </c>
      <c r="D96" s="13">
        <v>8376</v>
      </c>
      <c r="E96" s="1">
        <v>8163</v>
      </c>
      <c r="F96" s="1">
        <v>988291.94354254159</v>
      </c>
      <c r="G96" s="1">
        <v>3238</v>
      </c>
      <c r="H96" s="1">
        <v>343248.777976977</v>
      </c>
      <c r="I96">
        <f t="shared" si="74"/>
        <v>0.71598982545390755</v>
      </c>
      <c r="J96">
        <f t="shared" si="75"/>
        <v>1.9670366314147878E-3</v>
      </c>
      <c r="K96" s="13">
        <f t="shared" si="45"/>
        <v>11698.49026093348</v>
      </c>
      <c r="L96" s="1">
        <f t="shared" si="76"/>
        <v>525119.78521776723</v>
      </c>
      <c r="M96">
        <f t="shared" si="52"/>
        <v>724.65149224835466</v>
      </c>
      <c r="N96" s="1">
        <f t="shared" si="53"/>
        <v>1420.3169248067752</v>
      </c>
      <c r="O96" s="24">
        <f t="shared" si="43"/>
        <v>3322.4902609334804</v>
      </c>
      <c r="P96" s="1">
        <f t="shared" si="46"/>
        <v>525119.78521776723</v>
      </c>
      <c r="Q96">
        <f t="shared" si="47"/>
        <v>724.65149224835466</v>
      </c>
      <c r="R96" s="1">
        <f t="shared" si="48"/>
        <v>1420.3169248067752</v>
      </c>
    </row>
    <row r="97" spans="1:18" hidden="1" x14ac:dyDescent="0.25">
      <c r="A97" t="s">
        <v>81</v>
      </c>
      <c r="B97">
        <v>2018</v>
      </c>
      <c r="C97" t="s">
        <v>47</v>
      </c>
      <c r="D97" s="13">
        <v>13009</v>
      </c>
      <c r="E97" s="1">
        <v>8296</v>
      </c>
      <c r="F97" s="1">
        <v>1244537.532476468</v>
      </c>
      <c r="G97" s="1">
        <v>6396</v>
      </c>
      <c r="H97" s="1">
        <v>1481062.8518758779</v>
      </c>
      <c r="I97">
        <f t="shared" si="74"/>
        <v>0.56466104002178052</v>
      </c>
      <c r="J97">
        <f t="shared" si="75"/>
        <v>3.2803983559179534E-3</v>
      </c>
      <c r="K97" s="13">
        <f t="shared" si="45"/>
        <v>23038.600289296046</v>
      </c>
      <c r="L97" s="1">
        <f t="shared" si="76"/>
        <v>5460886.0967642423</v>
      </c>
      <c r="M97">
        <f t="shared" si="52"/>
        <v>2336.8538886212468</v>
      </c>
      <c r="N97" s="1">
        <f t="shared" si="53"/>
        <v>4580.2336216976437</v>
      </c>
      <c r="O97" s="24">
        <f t="shared" si="43"/>
        <v>10029.600289296046</v>
      </c>
      <c r="P97" s="1">
        <f t="shared" si="46"/>
        <v>5460886.0967642423</v>
      </c>
      <c r="Q97">
        <f t="shared" si="47"/>
        <v>2336.8538886212468</v>
      </c>
      <c r="R97" s="1">
        <f t="shared" si="48"/>
        <v>4580.2336216976437</v>
      </c>
    </row>
    <row r="98" spans="1:18" hidden="1" x14ac:dyDescent="0.25">
      <c r="A98" t="s">
        <v>81</v>
      </c>
      <c r="B98">
        <v>2019</v>
      </c>
      <c r="C98" t="s">
        <v>47</v>
      </c>
      <c r="D98" s="13">
        <v>16061</v>
      </c>
      <c r="E98" s="1">
        <v>7349</v>
      </c>
      <c r="F98" s="1">
        <v>1026108.003002</v>
      </c>
      <c r="G98" s="1">
        <v>5292</v>
      </c>
      <c r="H98" s="1">
        <v>1017281.7791551577</v>
      </c>
      <c r="I98">
        <f t="shared" si="74"/>
        <v>0.5813622340004746</v>
      </c>
      <c r="J98">
        <f t="shared" si="75"/>
        <v>3.2770523027060121E-3</v>
      </c>
      <c r="K98" s="13">
        <f t="shared" si="45"/>
        <v>27626.493536535585</v>
      </c>
      <c r="L98" s="1">
        <f>(D98^2)*J98*(1/(I98^4))</f>
        <v>7400162.779370754</v>
      </c>
      <c r="M98">
        <f>SQRT(L98)</f>
        <v>2720.3240210259428</v>
      </c>
      <c r="N98" s="1">
        <f>(1.96*M98)</f>
        <v>5331.8350812108474</v>
      </c>
      <c r="O98" s="24">
        <f t="shared" si="43"/>
        <v>11565.493536535585</v>
      </c>
      <c r="P98" s="1">
        <f>L98</f>
        <v>7400162.779370754</v>
      </c>
      <c r="Q98">
        <f>SQRT(P98)</f>
        <v>2720.3240210259428</v>
      </c>
      <c r="R98" s="1">
        <f>(1.96*Q98)</f>
        <v>5331.8350812108474</v>
      </c>
    </row>
    <row r="99" spans="1:18" hidden="1" x14ac:dyDescent="0.25">
      <c r="A99" t="s">
        <v>81</v>
      </c>
      <c r="B99">
        <v>2020</v>
      </c>
      <c r="C99" t="s">
        <v>47</v>
      </c>
      <c r="D99" s="13">
        <v>9784</v>
      </c>
      <c r="E99" s="1">
        <v>4920</v>
      </c>
      <c r="F99" s="1">
        <v>431065.91887487448</v>
      </c>
      <c r="G99" s="1">
        <v>5200</v>
      </c>
      <c r="H99" s="1">
        <v>1252286.3064654707</v>
      </c>
      <c r="I99">
        <f t="shared" ref="I99:I101" si="77">E99/(E99+G99)</f>
        <v>0.48616600790513836</v>
      </c>
      <c r="J99">
        <f t="shared" ref="J99:J101" si="78">((((E99)^2*H99)+((G99)^2*F99))/(E99+G99)^4)</f>
        <v>4.0013851452365525E-3</v>
      </c>
      <c r="K99" s="13">
        <f t="shared" ref="K99:K101" si="79">D99/I99</f>
        <v>20124.813008130081</v>
      </c>
      <c r="L99" s="1">
        <f t="shared" ref="L99:L100" si="80">(D99^2)*J99*(1/(I99^4))</f>
        <v>6856537.925024569</v>
      </c>
      <c r="M99">
        <f t="shared" ref="M99:M100" si="81">SQRT(L99)</f>
        <v>2618.4991741500644</v>
      </c>
      <c r="N99" s="1">
        <f t="shared" ref="N99:N100" si="82">(1.96*M99)</f>
        <v>5132.2583813341262</v>
      </c>
      <c r="O99" s="24">
        <f t="shared" ref="O99:O100" si="83">K99-D99</f>
        <v>10340.813008130081</v>
      </c>
      <c r="P99" s="1">
        <f t="shared" ref="P99:P100" si="84">L99</f>
        <v>6856537.925024569</v>
      </c>
      <c r="Q99">
        <f t="shared" ref="Q99:Q100" si="85">SQRT(P99)</f>
        <v>2618.4991741500644</v>
      </c>
      <c r="R99" s="1">
        <f t="shared" ref="R99:R100" si="86">(1.96*Q99)</f>
        <v>5132.2583813341262</v>
      </c>
    </row>
    <row r="100" spans="1:18" hidden="1" x14ac:dyDescent="0.25">
      <c r="A100" t="s">
        <v>81</v>
      </c>
      <c r="B100">
        <v>2021</v>
      </c>
      <c r="C100" t="s">
        <v>47</v>
      </c>
      <c r="D100" s="13">
        <v>14326</v>
      </c>
      <c r="E100" s="1">
        <v>12552</v>
      </c>
      <c r="F100" s="1">
        <v>2301376.8632142129</v>
      </c>
      <c r="G100" s="1">
        <v>6193</v>
      </c>
      <c r="H100" s="1">
        <v>1789721.1679429456</v>
      </c>
      <c r="I100">
        <f t="shared" si="77"/>
        <v>0.66961856495065353</v>
      </c>
      <c r="J100">
        <f t="shared" si="78"/>
        <v>2.9987645404020435E-3</v>
      </c>
      <c r="K100" s="13">
        <f t="shared" si="79"/>
        <v>21394.269439133204</v>
      </c>
      <c r="L100" s="1">
        <f t="shared" si="80"/>
        <v>3061133.8312190818</v>
      </c>
      <c r="M100">
        <f t="shared" si="81"/>
        <v>1749.6096225212873</v>
      </c>
      <c r="N100" s="1">
        <f t="shared" si="82"/>
        <v>3429.2348601417229</v>
      </c>
      <c r="O100" s="24">
        <f t="shared" si="83"/>
        <v>7068.2694391332043</v>
      </c>
      <c r="P100" s="1">
        <f t="shared" si="84"/>
        <v>3061133.8312190818</v>
      </c>
      <c r="Q100">
        <f t="shared" si="85"/>
        <v>1749.6096225212873</v>
      </c>
      <c r="R100" s="1">
        <f t="shared" si="86"/>
        <v>3429.2348601417229</v>
      </c>
    </row>
    <row r="101" spans="1:18" s="51" customFormat="1" hidden="1" x14ac:dyDescent="0.25">
      <c r="A101" s="51" t="s">
        <v>81</v>
      </c>
      <c r="B101" s="51">
        <v>2022</v>
      </c>
      <c r="C101" s="51" t="s">
        <v>47</v>
      </c>
      <c r="D101" s="71">
        <v>13586</v>
      </c>
      <c r="E101" s="72">
        <v>11657</v>
      </c>
      <c r="F101" s="72">
        <f>1473^2</f>
        <v>2169729</v>
      </c>
      <c r="G101" s="72">
        <v>7798</v>
      </c>
      <c r="H101" s="72">
        <f>1396^2</f>
        <v>1948816</v>
      </c>
      <c r="I101" s="51">
        <f t="shared" si="77"/>
        <v>0.59917758930866105</v>
      </c>
      <c r="J101">
        <f t="shared" si="78"/>
        <v>2.7694733921390879E-3</v>
      </c>
      <c r="K101" s="71">
        <f t="shared" si="79"/>
        <v>22674.412799176458</v>
      </c>
      <c r="L101" s="1">
        <f t="shared" ref="L101" si="87">(D101^2)*J101*(1/(I101^4))</f>
        <v>3966049.882434688</v>
      </c>
      <c r="M101">
        <f t="shared" ref="M101" si="88">SQRT(L101)</f>
        <v>1991.4943842337814</v>
      </c>
      <c r="N101" s="1">
        <f t="shared" ref="N101" si="89">(1.96*M101)</f>
        <v>3903.3289930982114</v>
      </c>
      <c r="O101" s="24">
        <f t="shared" ref="O101" si="90">K101-D101</f>
        <v>9088.4127991764581</v>
      </c>
      <c r="P101" s="1">
        <f t="shared" ref="P101" si="91">L101</f>
        <v>3966049.882434688</v>
      </c>
      <c r="Q101">
        <f t="shared" ref="Q101" si="92">SQRT(P101)</f>
        <v>1991.4943842337814</v>
      </c>
      <c r="R101" s="1">
        <f t="shared" ref="R101" si="93">(1.96*Q101)</f>
        <v>3903.3289930982114</v>
      </c>
    </row>
    <row r="102" spans="1:18" hidden="1" x14ac:dyDescent="0.25">
      <c r="A102" t="s">
        <v>81</v>
      </c>
      <c r="B102">
        <v>1998</v>
      </c>
      <c r="C102" t="s">
        <v>48</v>
      </c>
      <c r="D102" s="13">
        <v>157</v>
      </c>
      <c r="E102" s="1"/>
      <c r="F102" s="1"/>
      <c r="G102" s="1"/>
      <c r="H102" s="1"/>
      <c r="I102" s="21">
        <f>AVERAGE(I115:I122)</f>
        <v>0.87656454996077116</v>
      </c>
      <c r="J102" s="21">
        <v>8.4008435472244583E-3</v>
      </c>
      <c r="K102" s="13">
        <f t="shared" si="45"/>
        <v>179.10831553366631</v>
      </c>
      <c r="L102" s="1">
        <f t="shared" si="76"/>
        <v>350.7410435791694</v>
      </c>
      <c r="M102">
        <f t="shared" si="52"/>
        <v>18.728081684443001</v>
      </c>
      <c r="N102" s="1">
        <f t="shared" si="53"/>
        <v>36.707040101508284</v>
      </c>
      <c r="O102" s="24">
        <f t="shared" si="43"/>
        <v>22.108315533666314</v>
      </c>
      <c r="P102" s="1">
        <f t="shared" si="46"/>
        <v>350.7410435791694</v>
      </c>
      <c r="Q102">
        <f t="shared" si="47"/>
        <v>18.728081684443001</v>
      </c>
      <c r="R102" s="1">
        <f t="shared" si="48"/>
        <v>36.707040101508284</v>
      </c>
    </row>
    <row r="103" spans="1:18" hidden="1" x14ac:dyDescent="0.25">
      <c r="A103" t="s">
        <v>81</v>
      </c>
      <c r="B103">
        <v>1999</v>
      </c>
      <c r="C103" t="s">
        <v>48</v>
      </c>
      <c r="D103" s="13">
        <v>121</v>
      </c>
      <c r="E103" s="1"/>
      <c r="F103" s="1"/>
      <c r="G103" s="1"/>
      <c r="H103" s="1"/>
      <c r="I103" s="21">
        <v>0.87880449516838866</v>
      </c>
      <c r="J103" s="21">
        <v>8.4008435472244583E-3</v>
      </c>
      <c r="K103" s="13">
        <f t="shared" si="45"/>
        <v>137.68705174501304</v>
      </c>
      <c r="L103" s="1">
        <f t="shared" si="76"/>
        <v>206.21704461477333</v>
      </c>
      <c r="M103">
        <f t="shared" si="52"/>
        <v>14.360259211266813</v>
      </c>
      <c r="N103" s="1">
        <f t="shared" si="53"/>
        <v>28.146108054082951</v>
      </c>
      <c r="O103" s="24">
        <f t="shared" si="43"/>
        <v>16.687051745013036</v>
      </c>
      <c r="P103" s="1">
        <f t="shared" si="46"/>
        <v>206.21704461477333</v>
      </c>
      <c r="Q103">
        <f t="shared" si="47"/>
        <v>14.360259211266813</v>
      </c>
      <c r="R103" s="1">
        <f t="shared" si="48"/>
        <v>28.146108054082951</v>
      </c>
    </row>
    <row r="104" spans="1:18" hidden="1" x14ac:dyDescent="0.25">
      <c r="A104" t="s">
        <v>81</v>
      </c>
      <c r="B104">
        <v>2000</v>
      </c>
      <c r="C104" t="s">
        <v>48</v>
      </c>
      <c r="D104" s="13">
        <v>423</v>
      </c>
      <c r="E104" s="1"/>
      <c r="F104" s="1"/>
      <c r="G104" s="1"/>
      <c r="H104" s="1"/>
      <c r="I104" s="21">
        <v>0.87880449516838866</v>
      </c>
      <c r="J104" s="21">
        <v>8.4008435472244583E-3</v>
      </c>
      <c r="K104" s="13">
        <f t="shared" si="45"/>
        <v>481.33572634826874</v>
      </c>
      <c r="L104" s="1">
        <f t="shared" si="76"/>
        <v>2520.1973619204136</v>
      </c>
      <c r="M104">
        <f t="shared" si="52"/>
        <v>50.201567325337699</v>
      </c>
      <c r="N104" s="1">
        <f t="shared" si="53"/>
        <v>98.395071957661884</v>
      </c>
      <c r="O104" s="24">
        <f t="shared" si="43"/>
        <v>58.335726348268736</v>
      </c>
      <c r="P104" s="1">
        <f t="shared" si="46"/>
        <v>2520.1973619204136</v>
      </c>
      <c r="Q104">
        <f t="shared" si="47"/>
        <v>50.201567325337699</v>
      </c>
      <c r="R104" s="1">
        <f t="shared" si="48"/>
        <v>98.395071957661884</v>
      </c>
    </row>
    <row r="105" spans="1:18" hidden="1" x14ac:dyDescent="0.25">
      <c r="A105" t="s">
        <v>81</v>
      </c>
      <c r="B105">
        <v>2001</v>
      </c>
      <c r="C105" t="s">
        <v>48</v>
      </c>
      <c r="D105" s="13">
        <v>298</v>
      </c>
      <c r="E105" s="1"/>
      <c r="F105" s="1"/>
      <c r="G105" s="1"/>
      <c r="H105" s="1"/>
      <c r="I105" s="21">
        <v>0.87880449516838866</v>
      </c>
      <c r="J105" s="21">
        <v>8.4008435472244583E-3</v>
      </c>
      <c r="K105" s="13">
        <f t="shared" si="45"/>
        <v>339.09703652904039</v>
      </c>
      <c r="L105" s="1">
        <f t="shared" si="76"/>
        <v>1250.7956034403612</v>
      </c>
      <c r="M105">
        <f t="shared" si="52"/>
        <v>35.366588801301731</v>
      </c>
      <c r="N105" s="1">
        <f t="shared" si="53"/>
        <v>69.318514050551386</v>
      </c>
      <c r="O105" s="24">
        <f t="shared" si="43"/>
        <v>41.097036529040395</v>
      </c>
      <c r="P105" s="1">
        <f t="shared" si="46"/>
        <v>1250.7956034403612</v>
      </c>
      <c r="Q105">
        <f t="shared" si="47"/>
        <v>35.366588801301731</v>
      </c>
      <c r="R105" s="1">
        <f t="shared" si="48"/>
        <v>69.318514050551386</v>
      </c>
    </row>
    <row r="106" spans="1:18" hidden="1" x14ac:dyDescent="0.25">
      <c r="A106" t="s">
        <v>81</v>
      </c>
      <c r="B106">
        <v>2002</v>
      </c>
      <c r="C106" t="s">
        <v>48</v>
      </c>
      <c r="D106" s="13">
        <v>319</v>
      </c>
      <c r="E106" s="1"/>
      <c r="F106" s="1"/>
      <c r="G106" s="1"/>
      <c r="H106" s="1"/>
      <c r="I106" s="21">
        <v>0.87880449516838866</v>
      </c>
      <c r="J106" s="21">
        <v>8.4008435472244583E-3</v>
      </c>
      <c r="K106" s="13">
        <f t="shared" si="45"/>
        <v>362.99313641867076</v>
      </c>
      <c r="L106" s="1">
        <f t="shared" si="76"/>
        <v>1433.2936737274742</v>
      </c>
      <c r="M106">
        <f t="shared" si="52"/>
        <v>37.858865193339781</v>
      </c>
      <c r="N106" s="1">
        <f t="shared" si="53"/>
        <v>74.203375778945968</v>
      </c>
      <c r="O106" s="24">
        <f t="shared" si="43"/>
        <v>43.993136418670758</v>
      </c>
      <c r="P106" s="1">
        <f t="shared" si="46"/>
        <v>1433.2936737274742</v>
      </c>
      <c r="Q106">
        <f t="shared" si="47"/>
        <v>37.858865193339781</v>
      </c>
      <c r="R106" s="1">
        <f t="shared" si="48"/>
        <v>74.203375778945968</v>
      </c>
    </row>
    <row r="107" spans="1:18" hidden="1" x14ac:dyDescent="0.25">
      <c r="A107" t="s">
        <v>81</v>
      </c>
      <c r="B107">
        <v>2003</v>
      </c>
      <c r="C107" t="s">
        <v>48</v>
      </c>
      <c r="D107" s="13">
        <v>1012</v>
      </c>
      <c r="E107" s="1"/>
      <c r="F107" s="1"/>
      <c r="G107" s="1"/>
      <c r="H107" s="1"/>
      <c r="I107" s="21">
        <v>0.87880449516838866</v>
      </c>
      <c r="J107" s="21">
        <v>8.4008435472244583E-3</v>
      </c>
      <c r="K107" s="13">
        <f t="shared" si="45"/>
        <v>1151.5644327764728</v>
      </c>
      <c r="L107" s="1">
        <f t="shared" si="76"/>
        <v>14424.967484458195</v>
      </c>
      <c r="M107">
        <f t="shared" si="52"/>
        <v>120.10398613059516</v>
      </c>
      <c r="N107" s="1">
        <f t="shared" si="53"/>
        <v>235.40381281596652</v>
      </c>
      <c r="O107" s="24">
        <f t="shared" si="43"/>
        <v>139.56443277647281</v>
      </c>
      <c r="P107" s="1">
        <f t="shared" si="46"/>
        <v>14424.967484458195</v>
      </c>
      <c r="Q107">
        <f t="shared" si="47"/>
        <v>120.10398613059516</v>
      </c>
      <c r="R107" s="1">
        <f t="shared" si="48"/>
        <v>235.40381281596652</v>
      </c>
    </row>
    <row r="108" spans="1:18" hidden="1" x14ac:dyDescent="0.25">
      <c r="A108" t="s">
        <v>81</v>
      </c>
      <c r="B108">
        <v>2004</v>
      </c>
      <c r="C108" t="s">
        <v>48</v>
      </c>
      <c r="D108" s="13">
        <v>730</v>
      </c>
      <c r="E108" s="1"/>
      <c r="F108" s="1"/>
      <c r="G108" s="1"/>
      <c r="H108" s="1"/>
      <c r="I108" s="21">
        <v>0.87880449516838866</v>
      </c>
      <c r="J108" s="21">
        <v>8.4008435472244583E-3</v>
      </c>
      <c r="K108" s="13">
        <f t="shared" si="45"/>
        <v>830.67394854429358</v>
      </c>
      <c r="L108" s="1">
        <f t="shared" si="76"/>
        <v>7505.8440731652699</v>
      </c>
      <c r="M108">
        <f t="shared" si="52"/>
        <v>86.636274580370028</v>
      </c>
      <c r="N108" s="1">
        <f t="shared" si="53"/>
        <v>169.80709817752526</v>
      </c>
      <c r="O108" s="24">
        <f t="shared" si="43"/>
        <v>100.67394854429358</v>
      </c>
      <c r="P108" s="1">
        <f t="shared" si="46"/>
        <v>7505.8440731652699</v>
      </c>
      <c r="Q108">
        <f t="shared" si="47"/>
        <v>86.636274580370028</v>
      </c>
      <c r="R108" s="1">
        <f t="shared" si="48"/>
        <v>169.80709817752526</v>
      </c>
    </row>
    <row r="109" spans="1:18" hidden="1" x14ac:dyDescent="0.25">
      <c r="A109" t="s">
        <v>81</v>
      </c>
      <c r="B109">
        <v>2005</v>
      </c>
      <c r="C109" t="s">
        <v>48</v>
      </c>
      <c r="D109" s="13">
        <v>1242</v>
      </c>
      <c r="E109" s="1"/>
      <c r="F109" s="1"/>
      <c r="G109" s="1"/>
      <c r="H109" s="1"/>
      <c r="I109" s="21">
        <v>0.87880449516838866</v>
      </c>
      <c r="J109" s="21">
        <v>8.4008435472244583E-3</v>
      </c>
      <c r="K109" s="13">
        <f t="shared" si="45"/>
        <v>1413.283622043853</v>
      </c>
      <c r="L109" s="1">
        <f t="shared" si="76"/>
        <v>21726.862182169472</v>
      </c>
      <c r="M109">
        <f t="shared" si="52"/>
        <v>147.40034661482133</v>
      </c>
      <c r="N109" s="1">
        <f t="shared" si="53"/>
        <v>288.90467936504979</v>
      </c>
      <c r="O109" s="24">
        <f t="shared" si="43"/>
        <v>171.28362204385303</v>
      </c>
      <c r="P109" s="1">
        <f t="shared" si="46"/>
        <v>21726.862182169472</v>
      </c>
      <c r="Q109">
        <f t="shared" si="47"/>
        <v>147.40034661482133</v>
      </c>
      <c r="R109" s="1">
        <f t="shared" si="48"/>
        <v>288.90467936504979</v>
      </c>
    </row>
    <row r="110" spans="1:18" hidden="1" x14ac:dyDescent="0.25">
      <c r="A110" t="s">
        <v>81</v>
      </c>
      <c r="B110">
        <v>2006</v>
      </c>
      <c r="C110" t="s">
        <v>48</v>
      </c>
      <c r="D110" s="13">
        <v>1516</v>
      </c>
      <c r="E110" s="1"/>
      <c r="F110" s="1"/>
      <c r="G110" s="1"/>
      <c r="H110" s="1"/>
      <c r="I110" s="21">
        <v>0.87880449516838866</v>
      </c>
      <c r="J110" s="21">
        <v>8.4008435472244583E-3</v>
      </c>
      <c r="K110" s="13">
        <f t="shared" si="45"/>
        <v>1725.0708301276015</v>
      </c>
      <c r="L110" s="1">
        <f t="shared" si="76"/>
        <v>32370.709657002288</v>
      </c>
      <c r="M110">
        <f t="shared" si="52"/>
        <v>179.91861953950817</v>
      </c>
      <c r="N110" s="1">
        <f t="shared" si="53"/>
        <v>352.64049429743602</v>
      </c>
      <c r="O110" s="24">
        <f t="shared" si="43"/>
        <v>209.07083012760154</v>
      </c>
      <c r="P110" s="1">
        <f t="shared" si="46"/>
        <v>32370.709657002288</v>
      </c>
      <c r="Q110">
        <f t="shared" si="47"/>
        <v>179.91861953950817</v>
      </c>
      <c r="R110" s="1">
        <f t="shared" si="48"/>
        <v>352.64049429743602</v>
      </c>
    </row>
    <row r="111" spans="1:18" hidden="1" x14ac:dyDescent="0.25">
      <c r="A111" t="s">
        <v>81</v>
      </c>
      <c r="B111">
        <v>2007</v>
      </c>
      <c r="C111" t="s">
        <v>48</v>
      </c>
      <c r="D111" s="13">
        <v>3481</v>
      </c>
      <c r="E111" s="1"/>
      <c r="F111" s="1"/>
      <c r="G111" s="1"/>
      <c r="H111" s="1"/>
      <c r="I111" s="21">
        <v>0.87880449516838866</v>
      </c>
      <c r="J111" s="21">
        <v>8.4008435472244583E-3</v>
      </c>
      <c r="K111" s="13">
        <f t="shared" si="45"/>
        <v>3961.0630340858711</v>
      </c>
      <c r="L111" s="1">
        <f t="shared" si="76"/>
        <v>170671.83757600674</v>
      </c>
      <c r="M111">
        <f t="shared" si="52"/>
        <v>413.12448193735355</v>
      </c>
      <c r="N111" s="1">
        <f t="shared" si="53"/>
        <v>809.72398459721296</v>
      </c>
      <c r="O111" s="24">
        <f t="shared" si="43"/>
        <v>480.0630340858711</v>
      </c>
      <c r="P111" s="1">
        <f t="shared" si="46"/>
        <v>170671.83757600674</v>
      </c>
      <c r="Q111">
        <f t="shared" si="47"/>
        <v>413.12448193735355</v>
      </c>
      <c r="R111" s="1">
        <f t="shared" si="48"/>
        <v>809.72398459721296</v>
      </c>
    </row>
    <row r="112" spans="1:18" hidden="1" x14ac:dyDescent="0.25">
      <c r="A112" t="s">
        <v>81</v>
      </c>
      <c r="B112">
        <v>2008</v>
      </c>
      <c r="C112" t="s">
        <v>48</v>
      </c>
      <c r="D112" s="13">
        <v>2311</v>
      </c>
      <c r="E112" s="1"/>
      <c r="F112" s="1"/>
      <c r="G112" s="1"/>
      <c r="H112" s="1"/>
      <c r="I112" s="21">
        <v>0.87880449516838866</v>
      </c>
      <c r="J112" s="21">
        <v>8.4008435472244583E-3</v>
      </c>
      <c r="K112" s="13">
        <f t="shared" si="45"/>
        <v>2629.7088973778937</v>
      </c>
      <c r="L112" s="1">
        <f t="shared" si="76"/>
        <v>75223.529863537799</v>
      </c>
      <c r="M112">
        <f t="shared" si="52"/>
        <v>274.26908295237689</v>
      </c>
      <c r="N112" s="1">
        <f t="shared" si="53"/>
        <v>537.56740258665866</v>
      </c>
      <c r="O112" s="24">
        <f t="shared" si="43"/>
        <v>318.70889737789366</v>
      </c>
      <c r="P112" s="1">
        <f t="shared" si="46"/>
        <v>75223.529863537799</v>
      </c>
      <c r="Q112">
        <f t="shared" si="47"/>
        <v>274.26908295237689</v>
      </c>
      <c r="R112" s="1">
        <f t="shared" si="48"/>
        <v>537.56740258665866</v>
      </c>
    </row>
    <row r="113" spans="1:18" hidden="1" x14ac:dyDescent="0.25">
      <c r="A113" t="s">
        <v>81</v>
      </c>
      <c r="B113">
        <v>2009</v>
      </c>
      <c r="C113" t="s">
        <v>48</v>
      </c>
      <c r="D113" s="13">
        <v>2296</v>
      </c>
      <c r="E113" s="1"/>
      <c r="F113" s="1"/>
      <c r="G113" s="1"/>
      <c r="H113" s="1"/>
      <c r="I113" s="21">
        <v>0.87880449516838866</v>
      </c>
      <c r="J113" s="21">
        <v>8.4008435472244583E-3</v>
      </c>
      <c r="K113" s="13">
        <f t="shared" si="45"/>
        <v>2612.6402545995866</v>
      </c>
      <c r="L113" s="1">
        <f t="shared" si="76"/>
        <v>74250.19273710491</v>
      </c>
      <c r="M113">
        <f t="shared" si="52"/>
        <v>272.48888552949256</v>
      </c>
      <c r="N113" s="1">
        <f t="shared" si="53"/>
        <v>534.07821563780544</v>
      </c>
      <c r="O113" s="24">
        <f t="shared" si="43"/>
        <v>316.64025459958657</v>
      </c>
      <c r="P113" s="1">
        <f t="shared" si="46"/>
        <v>74250.19273710491</v>
      </c>
      <c r="Q113">
        <f t="shared" si="47"/>
        <v>272.48888552949256</v>
      </c>
      <c r="R113" s="1">
        <f t="shared" si="48"/>
        <v>534.07821563780544</v>
      </c>
    </row>
    <row r="114" spans="1:18" hidden="1" x14ac:dyDescent="0.25">
      <c r="A114" t="s">
        <v>81</v>
      </c>
      <c r="B114">
        <v>2010</v>
      </c>
      <c r="C114" t="s">
        <v>48</v>
      </c>
      <c r="D114" s="13">
        <v>2555</v>
      </c>
      <c r="E114" s="1"/>
      <c r="F114" s="1"/>
      <c r="G114" s="1"/>
      <c r="H114" s="1"/>
      <c r="I114" s="21">
        <v>0.87880449516838866</v>
      </c>
      <c r="J114" s="21">
        <v>8.4008435472244583E-3</v>
      </c>
      <c r="K114" s="13">
        <f t="shared" si="45"/>
        <v>2907.3588199050278</v>
      </c>
      <c r="L114" s="1">
        <f t="shared" si="76"/>
        <v>91946.589896274556</v>
      </c>
      <c r="M114">
        <f t="shared" si="52"/>
        <v>303.2269610312951</v>
      </c>
      <c r="N114" s="1">
        <f t="shared" si="53"/>
        <v>594.32484362133835</v>
      </c>
      <c r="O114" s="24">
        <f t="shared" si="43"/>
        <v>352.35881990502776</v>
      </c>
      <c r="P114" s="1">
        <f t="shared" si="46"/>
        <v>91946.589896274556</v>
      </c>
      <c r="Q114">
        <f t="shared" si="47"/>
        <v>303.2269610312951</v>
      </c>
      <c r="R114" s="1">
        <f t="shared" si="48"/>
        <v>594.32484362133835</v>
      </c>
    </row>
    <row r="115" spans="1:18" hidden="1" x14ac:dyDescent="0.25">
      <c r="A115" t="s">
        <v>81</v>
      </c>
      <c r="B115">
        <v>2011</v>
      </c>
      <c r="C115" t="s">
        <v>48</v>
      </c>
      <c r="D115" s="13">
        <v>1928</v>
      </c>
      <c r="E115" s="1">
        <v>1611</v>
      </c>
      <c r="F115" s="1">
        <v>234019.09331731763</v>
      </c>
      <c r="G115" s="1">
        <v>43</v>
      </c>
      <c r="H115" s="1">
        <v>985.27242342342709</v>
      </c>
      <c r="I115">
        <f t="shared" ref="I115:I123" si="94">E115/(E115+G115)</f>
        <v>0.9740024183796856</v>
      </c>
      <c r="J115">
        <f t="shared" ref="J115:J123" si="95">((((E115)^2*H115)+((G115)^2*F115))/(E115+G115)^4)</f>
        <v>3.9948460381027822E-4</v>
      </c>
      <c r="K115" s="13">
        <f t="shared" si="45"/>
        <v>1979.4612042209808</v>
      </c>
      <c r="L115" s="1">
        <f t="shared" ref="L115:L139" si="96">(D115^2)*J115*(1/(I115^4))</f>
        <v>1649.9620849615694</v>
      </c>
      <c r="M115">
        <f t="shared" si="52"/>
        <v>40.619725318637613</v>
      </c>
      <c r="N115" s="1">
        <f t="shared" si="53"/>
        <v>79.614661624529717</v>
      </c>
      <c r="O115" s="24">
        <f t="shared" si="43"/>
        <v>51.46120422098079</v>
      </c>
      <c r="P115" s="1">
        <f t="shared" si="46"/>
        <v>1649.9620849615694</v>
      </c>
      <c r="Q115">
        <f t="shared" si="47"/>
        <v>40.619725318637613</v>
      </c>
      <c r="R115" s="1">
        <f t="shared" si="48"/>
        <v>79.614661624529717</v>
      </c>
    </row>
    <row r="116" spans="1:18" hidden="1" x14ac:dyDescent="0.25">
      <c r="A116" t="s">
        <v>81</v>
      </c>
      <c r="B116">
        <v>2012</v>
      </c>
      <c r="C116" t="s">
        <v>48</v>
      </c>
      <c r="D116" s="13">
        <v>3433</v>
      </c>
      <c r="E116" s="1">
        <v>3279</v>
      </c>
      <c r="F116" s="1">
        <v>722961.9843593596</v>
      </c>
      <c r="G116" s="1">
        <v>264</v>
      </c>
      <c r="H116" s="1">
        <v>18228.595970970924</v>
      </c>
      <c r="I116">
        <f t="shared" si="94"/>
        <v>0.92548687552921249</v>
      </c>
      <c r="J116">
        <f t="shared" si="95"/>
        <v>1.5635732787416788E-3</v>
      </c>
      <c r="K116" s="13">
        <f t="shared" si="45"/>
        <v>3709.3989021043003</v>
      </c>
      <c r="L116" s="1">
        <f t="shared" si="96"/>
        <v>25117.984568882985</v>
      </c>
      <c r="M116">
        <f t="shared" si="52"/>
        <v>158.48654381013861</v>
      </c>
      <c r="N116" s="1">
        <f t="shared" si="53"/>
        <v>310.63362586787167</v>
      </c>
      <c r="O116" s="24">
        <f t="shared" si="43"/>
        <v>276.3989021043003</v>
      </c>
      <c r="P116" s="1">
        <f t="shared" si="46"/>
        <v>25117.984568882985</v>
      </c>
      <c r="Q116">
        <f t="shared" si="47"/>
        <v>158.48654381013861</v>
      </c>
      <c r="R116" s="1">
        <f t="shared" si="48"/>
        <v>310.63362586787167</v>
      </c>
    </row>
    <row r="117" spans="1:18" hidden="1" x14ac:dyDescent="0.25">
      <c r="A117" t="s">
        <v>81</v>
      </c>
      <c r="B117">
        <v>2013</v>
      </c>
      <c r="C117" t="s">
        <v>48</v>
      </c>
      <c r="D117" s="13">
        <v>2207</v>
      </c>
      <c r="E117" s="1">
        <v>2108</v>
      </c>
      <c r="F117" s="1">
        <v>348619.63040540554</v>
      </c>
      <c r="G117" s="1">
        <v>336</v>
      </c>
      <c r="H117" s="1">
        <v>76840.780155155284</v>
      </c>
      <c r="I117">
        <f t="shared" si="94"/>
        <v>0.86252045826513912</v>
      </c>
      <c r="J117">
        <f t="shared" si="95"/>
        <v>1.0673484930831973E-2</v>
      </c>
      <c r="K117" s="13">
        <f t="shared" si="45"/>
        <v>2558.7798861480078</v>
      </c>
      <c r="L117" s="1">
        <f t="shared" si="96"/>
        <v>93936.264893907151</v>
      </c>
      <c r="M117">
        <f t="shared" si="52"/>
        <v>306.4902362130108</v>
      </c>
      <c r="N117" s="1">
        <f t="shared" si="53"/>
        <v>600.72086297750116</v>
      </c>
      <c r="O117" s="24">
        <f t="shared" si="43"/>
        <v>351.77988614800779</v>
      </c>
      <c r="P117" s="1">
        <f t="shared" si="46"/>
        <v>93936.264893907151</v>
      </c>
      <c r="Q117">
        <f t="shared" si="47"/>
        <v>306.4902362130108</v>
      </c>
      <c r="R117" s="1">
        <f t="shared" si="48"/>
        <v>600.72086297750116</v>
      </c>
    </row>
    <row r="118" spans="1:18" hidden="1" x14ac:dyDescent="0.25">
      <c r="A118" t="s">
        <v>81</v>
      </c>
      <c r="B118">
        <v>2014</v>
      </c>
      <c r="C118" t="s">
        <v>48</v>
      </c>
      <c r="D118" s="13">
        <v>3551</v>
      </c>
      <c r="E118" s="1">
        <v>3029</v>
      </c>
      <c r="F118" s="1">
        <v>593307.65881781862</v>
      </c>
      <c r="G118" s="1">
        <v>214</v>
      </c>
      <c r="H118" s="1">
        <v>14293.40584984976</v>
      </c>
      <c r="I118">
        <f t="shared" si="94"/>
        <v>0.93401171754548262</v>
      </c>
      <c r="J118">
        <f t="shared" si="95"/>
        <v>1.4312742842371292E-3</v>
      </c>
      <c r="K118" s="13">
        <f t="shared" si="45"/>
        <v>3801.8794981842188</v>
      </c>
      <c r="L118" s="1">
        <f t="shared" si="96"/>
        <v>23714.551436006946</v>
      </c>
      <c r="M118">
        <f t="shared" si="52"/>
        <v>153.9952967983339</v>
      </c>
      <c r="N118" s="1">
        <f t="shared" si="53"/>
        <v>301.83078172473444</v>
      </c>
      <c r="O118" s="24">
        <f t="shared" si="43"/>
        <v>250.87949818421885</v>
      </c>
      <c r="P118" s="1">
        <f t="shared" si="46"/>
        <v>23714.551436006946</v>
      </c>
      <c r="Q118">
        <f t="shared" si="47"/>
        <v>153.9952967983339</v>
      </c>
      <c r="R118" s="1">
        <f t="shared" si="48"/>
        <v>301.83078172473444</v>
      </c>
    </row>
    <row r="119" spans="1:18" hidden="1" x14ac:dyDescent="0.25">
      <c r="A119" t="s">
        <v>81</v>
      </c>
      <c r="B119">
        <v>2015</v>
      </c>
      <c r="C119" t="s">
        <v>48</v>
      </c>
      <c r="D119" s="13">
        <v>2787</v>
      </c>
      <c r="E119" s="1">
        <v>2033</v>
      </c>
      <c r="F119" s="1">
        <v>412089.59622022061</v>
      </c>
      <c r="G119" s="1">
        <v>680</v>
      </c>
      <c r="H119" s="1">
        <v>145667.6246636638</v>
      </c>
      <c r="I119">
        <f t="shared" si="94"/>
        <v>0.74935495761150017</v>
      </c>
      <c r="J119">
        <f t="shared" si="95"/>
        <v>1.4630494157075957E-2</v>
      </c>
      <c r="K119" s="13">
        <f t="shared" si="45"/>
        <v>3719.19872110182</v>
      </c>
      <c r="L119" s="1">
        <f t="shared" si="96"/>
        <v>360398.18316320516</v>
      </c>
      <c r="M119">
        <f t="shared" si="52"/>
        <v>600.33172760000377</v>
      </c>
      <c r="N119" s="1">
        <f t="shared" si="53"/>
        <v>1176.6501860960075</v>
      </c>
      <c r="O119" s="24">
        <f t="shared" si="43"/>
        <v>932.19872110181996</v>
      </c>
      <c r="P119" s="1">
        <f t="shared" si="46"/>
        <v>360398.18316320516</v>
      </c>
      <c r="Q119">
        <f t="shared" si="47"/>
        <v>600.33172760000377</v>
      </c>
      <c r="R119" s="1">
        <f t="shared" si="48"/>
        <v>1176.6501860960075</v>
      </c>
    </row>
    <row r="120" spans="1:18" hidden="1" x14ac:dyDescent="0.25">
      <c r="A120" t="s">
        <v>81</v>
      </c>
      <c r="B120">
        <v>2016</v>
      </c>
      <c r="C120" t="s">
        <v>48</v>
      </c>
      <c r="D120" s="13">
        <v>3561</v>
      </c>
      <c r="E120" s="1">
        <v>2512</v>
      </c>
      <c r="F120" s="1">
        <v>737293.04611712019</v>
      </c>
      <c r="G120" s="1">
        <v>295</v>
      </c>
      <c r="H120" s="1">
        <v>32635.602066066011</v>
      </c>
      <c r="I120">
        <f t="shared" si="94"/>
        <v>0.89490559315995721</v>
      </c>
      <c r="J120">
        <f t="shared" si="95"/>
        <v>4.3506301125708254E-3</v>
      </c>
      <c r="K120" s="13">
        <f t="shared" si="45"/>
        <v>3979.190684713376</v>
      </c>
      <c r="L120" s="1">
        <f t="shared" si="96"/>
        <v>86017.579810230731</v>
      </c>
      <c r="M120">
        <f t="shared" si="52"/>
        <v>293.28753776836601</v>
      </c>
      <c r="N120" s="1">
        <f t="shared" si="53"/>
        <v>574.84357402599733</v>
      </c>
      <c r="O120" s="24">
        <f t="shared" si="43"/>
        <v>418.19068471337596</v>
      </c>
      <c r="P120" s="1">
        <f t="shared" si="46"/>
        <v>86017.579810230731</v>
      </c>
      <c r="Q120">
        <f t="shared" si="47"/>
        <v>293.28753776836601</v>
      </c>
      <c r="R120" s="1">
        <f t="shared" si="48"/>
        <v>574.84357402599733</v>
      </c>
    </row>
    <row r="121" spans="1:18" hidden="1" x14ac:dyDescent="0.25">
      <c r="A121" t="s">
        <v>81</v>
      </c>
      <c r="B121">
        <v>2017</v>
      </c>
      <c r="C121" t="s">
        <v>48</v>
      </c>
      <c r="D121" s="13">
        <v>3933</v>
      </c>
      <c r="E121" s="60">
        <v>2144</v>
      </c>
      <c r="F121" s="60">
        <v>280432.76311411388</v>
      </c>
      <c r="G121" s="65">
        <v>738</v>
      </c>
      <c r="H121" s="60">
        <v>153491.03426526548</v>
      </c>
      <c r="I121">
        <f>E121/(E121+G121)</f>
        <v>0.7439278278972935</v>
      </c>
      <c r="J121">
        <f t="shared" si="95"/>
        <v>1.2441136690885117E-2</v>
      </c>
      <c r="K121" s="13">
        <f t="shared" si="45"/>
        <v>5286.8031716417918</v>
      </c>
      <c r="L121" s="1">
        <f t="shared" si="96"/>
        <v>628325.57356668822</v>
      </c>
      <c r="M121">
        <f t="shared" si="52"/>
        <v>792.66990201892247</v>
      </c>
      <c r="N121" s="1">
        <f t="shared" si="53"/>
        <v>1553.633007957088</v>
      </c>
      <c r="O121" s="24">
        <f t="shared" si="43"/>
        <v>1353.8031716417918</v>
      </c>
      <c r="P121" s="1">
        <f t="shared" si="46"/>
        <v>628325.57356668822</v>
      </c>
      <c r="Q121">
        <f t="shared" si="47"/>
        <v>792.66990201892247</v>
      </c>
      <c r="R121" s="1">
        <f t="shared" si="48"/>
        <v>1553.633007957088</v>
      </c>
    </row>
    <row r="122" spans="1:18" hidden="1" x14ac:dyDescent="0.25">
      <c r="A122" t="s">
        <v>81</v>
      </c>
      <c r="B122">
        <v>2018</v>
      </c>
      <c r="C122" t="s">
        <v>48</v>
      </c>
      <c r="D122" s="13">
        <v>3914</v>
      </c>
      <c r="E122" s="1">
        <v>3004</v>
      </c>
      <c r="F122" s="1">
        <v>672614.38643043162</v>
      </c>
      <c r="G122" s="1">
        <v>232</v>
      </c>
      <c r="H122" s="1">
        <v>18134.66934834827</v>
      </c>
      <c r="I122">
        <f t="shared" si="94"/>
        <v>0.92830655129789863</v>
      </c>
      <c r="J122">
        <f t="shared" si="95"/>
        <v>1.8225138878764035E-3</v>
      </c>
      <c r="K122" s="13">
        <f t="shared" si="45"/>
        <v>4216.2796271637817</v>
      </c>
      <c r="L122" s="1">
        <f t="shared" si="96"/>
        <v>37596.448991886558</v>
      </c>
      <c r="M122">
        <f t="shared" si="52"/>
        <v>193.89803761742036</v>
      </c>
      <c r="N122" s="1">
        <f t="shared" si="53"/>
        <v>380.04015373014391</v>
      </c>
      <c r="O122" s="24">
        <f t="shared" si="43"/>
        <v>302.2796271637817</v>
      </c>
      <c r="P122" s="1">
        <f t="shared" si="46"/>
        <v>37596.448991886558</v>
      </c>
      <c r="Q122">
        <f t="shared" si="47"/>
        <v>193.89803761742036</v>
      </c>
      <c r="R122" s="1">
        <f t="shared" si="48"/>
        <v>380.04015373014391</v>
      </c>
    </row>
    <row r="123" spans="1:18" hidden="1" x14ac:dyDescent="0.25">
      <c r="A123" t="s">
        <v>81</v>
      </c>
      <c r="B123">
        <v>2019</v>
      </c>
      <c r="C123" t="s">
        <v>48</v>
      </c>
      <c r="D123" s="13">
        <v>5680</v>
      </c>
      <c r="E123" s="1">
        <v>1831</v>
      </c>
      <c r="F123" s="1">
        <v>541050.77915415505</v>
      </c>
      <c r="G123" s="1">
        <v>589</v>
      </c>
      <c r="H123" s="1">
        <v>145527.89294894913</v>
      </c>
      <c r="I123">
        <f t="shared" si="94"/>
        <v>0.75661157024793391</v>
      </c>
      <c r="J123">
        <f t="shared" si="95"/>
        <v>1.9698070489197521E-2</v>
      </c>
      <c r="K123" s="13">
        <f t="shared" si="45"/>
        <v>7507.1545603495351</v>
      </c>
      <c r="L123" s="1">
        <f>(D123^2)*J123*(1/(I123^4))</f>
        <v>1939226.0896531206</v>
      </c>
      <c r="M123">
        <f>SQRT(L123)</f>
        <v>1392.5609823821435</v>
      </c>
      <c r="N123" s="1">
        <f>(1.96*M123)</f>
        <v>2729.4195254690012</v>
      </c>
      <c r="O123" s="24">
        <f t="shared" si="43"/>
        <v>1827.1545603495351</v>
      </c>
      <c r="P123" s="1">
        <f>L123</f>
        <v>1939226.0896531206</v>
      </c>
      <c r="Q123">
        <f>SQRT(P123)</f>
        <v>1392.5609823821435</v>
      </c>
      <c r="R123" s="1">
        <f>(1.96*Q123)</f>
        <v>2729.4195254690012</v>
      </c>
    </row>
    <row r="124" spans="1:18" hidden="1" x14ac:dyDescent="0.25">
      <c r="A124" t="s">
        <v>81</v>
      </c>
      <c r="B124">
        <v>2020</v>
      </c>
      <c r="C124" t="s">
        <v>48</v>
      </c>
      <c r="D124" s="13">
        <v>1507</v>
      </c>
      <c r="E124" s="66">
        <v>2289</v>
      </c>
      <c r="F124" s="66">
        <v>233242.22538938923</v>
      </c>
      <c r="G124" s="66">
        <v>433</v>
      </c>
      <c r="H124" s="66">
        <v>38585.891791791895</v>
      </c>
      <c r="I124">
        <f t="shared" ref="I124:I125" si="97">E124/(E124+G124)</f>
        <v>0.84092578986039679</v>
      </c>
      <c r="J124">
        <f t="shared" ref="J124:J125" si="98">((((E124)^2*H124)+((G124)^2*F124))/(E124+G124)^4)</f>
        <v>4.4792930362266871E-3</v>
      </c>
      <c r="K124" s="13">
        <f t="shared" ref="K124:K125" si="99">D124/I124</f>
        <v>1792.0725207514197</v>
      </c>
      <c r="L124" s="1">
        <f t="shared" ref="L124:L125" si="100">(D124^2)*J124*(1/(I124^4))</f>
        <v>20342.54532916598</v>
      </c>
      <c r="M124">
        <f t="shared" ref="M124:M125" si="101">SQRT(L124)</f>
        <v>142.62729517580419</v>
      </c>
      <c r="N124" s="1">
        <f t="shared" ref="N124:N125" si="102">(1.96*M124)</f>
        <v>279.54949854457624</v>
      </c>
      <c r="O124" s="24">
        <f t="shared" ref="O124:O125" si="103">K124-D124</f>
        <v>285.07252075141969</v>
      </c>
      <c r="P124" s="1">
        <f t="shared" ref="P124:P125" si="104">L124</f>
        <v>20342.54532916598</v>
      </c>
      <c r="Q124">
        <f t="shared" ref="Q124:Q125" si="105">SQRT(P124)</f>
        <v>142.62729517580419</v>
      </c>
      <c r="R124" s="1">
        <f t="shared" ref="R124:R125" si="106">(1.96*Q124)</f>
        <v>279.54949854457624</v>
      </c>
    </row>
    <row r="125" spans="1:18" hidden="1" x14ac:dyDescent="0.25">
      <c r="A125" t="s">
        <v>81</v>
      </c>
      <c r="B125">
        <v>2021</v>
      </c>
      <c r="C125" t="s">
        <v>48</v>
      </c>
      <c r="D125" s="13">
        <v>2885</v>
      </c>
      <c r="E125" s="61">
        <v>8516</v>
      </c>
      <c r="F125" s="61">
        <v>2362897.2666416327</v>
      </c>
      <c r="G125" s="61">
        <v>1330</v>
      </c>
      <c r="H125" s="61">
        <v>243454.78281381403</v>
      </c>
      <c r="I125">
        <f t="shared" si="97"/>
        <v>0.86491976437131834</v>
      </c>
      <c r="J125">
        <f t="shared" si="98"/>
        <v>2.3234117604804612E-3</v>
      </c>
      <c r="K125" s="13">
        <f t="shared" si="99"/>
        <v>3335.5695162047909</v>
      </c>
      <c r="L125" s="1">
        <f t="shared" si="100"/>
        <v>34555.289276141099</v>
      </c>
      <c r="M125">
        <f t="shared" si="101"/>
        <v>185.8905303562855</v>
      </c>
      <c r="N125" s="1">
        <f t="shared" si="102"/>
        <v>364.34543949831959</v>
      </c>
      <c r="O125" s="24">
        <f t="shared" si="103"/>
        <v>450.56951620479094</v>
      </c>
      <c r="P125" s="1">
        <f t="shared" si="104"/>
        <v>34555.289276141099</v>
      </c>
      <c r="Q125">
        <f t="shared" si="105"/>
        <v>185.8905303562855</v>
      </c>
      <c r="R125" s="1">
        <f t="shared" si="106"/>
        <v>364.34543949831959</v>
      </c>
    </row>
    <row r="126" spans="1:18" s="51" customFormat="1" hidden="1" x14ac:dyDescent="0.25">
      <c r="A126" s="51" t="s">
        <v>81</v>
      </c>
      <c r="B126" s="51">
        <v>2022</v>
      </c>
      <c r="C126" s="51" t="s">
        <v>48</v>
      </c>
      <c r="D126" s="71">
        <v>1829</v>
      </c>
      <c r="E126" s="84">
        <f>E26</f>
        <v>6339</v>
      </c>
      <c r="F126" s="84">
        <f>F26</f>
        <v>1466521</v>
      </c>
      <c r="G126" s="84">
        <f>G26</f>
        <v>2420</v>
      </c>
      <c r="H126" s="84">
        <f>H26</f>
        <v>741321</v>
      </c>
      <c r="I126">
        <f t="shared" ref="I126" si="107">E126/(E126+G126)</f>
        <v>0.72371275259732848</v>
      </c>
      <c r="J126">
        <f t="shared" ref="J126" si="108">((((E126)^2*H126)+((G126)^2*F126))/(E126+G126)^4)</f>
        <v>6.5200759365410454E-3</v>
      </c>
      <c r="K126" s="13">
        <f t="shared" ref="K126" si="109">D126/I126</f>
        <v>2527.2457800914972</v>
      </c>
      <c r="L126" s="1">
        <f t="shared" ref="L126" si="110">(D126^2)*J126*(1/(I126^4))</f>
        <v>79508.793444844647</v>
      </c>
      <c r="M126">
        <f t="shared" ref="M126" si="111">SQRT(L126)</f>
        <v>281.97303673373568</v>
      </c>
      <c r="N126" s="1">
        <f t="shared" ref="N126" si="112">(1.96*M126)</f>
        <v>552.66715199812188</v>
      </c>
      <c r="O126" s="24">
        <f t="shared" ref="O126" si="113">K126-D126</f>
        <v>698.24578009149718</v>
      </c>
      <c r="P126" s="1">
        <f t="shared" ref="P126" si="114">L126</f>
        <v>79508.793444844647</v>
      </c>
      <c r="Q126">
        <f t="shared" ref="Q126" si="115">SQRT(P126)</f>
        <v>281.97303673373568</v>
      </c>
      <c r="R126" s="1">
        <f t="shared" ref="R126" si="116">(1.96*Q126)</f>
        <v>552.66715199812188</v>
      </c>
    </row>
    <row r="127" spans="1:18" hidden="1" x14ac:dyDescent="0.25">
      <c r="A127" t="s">
        <v>81</v>
      </c>
      <c r="B127">
        <v>1998</v>
      </c>
      <c r="C127" t="s">
        <v>49</v>
      </c>
      <c r="D127" s="13">
        <v>5169</v>
      </c>
      <c r="E127" s="1"/>
      <c r="F127" s="1"/>
      <c r="G127" s="1"/>
      <c r="H127" s="1"/>
      <c r="I127" s="21">
        <f>AVERAGE(I140:I147)</f>
        <v>0.66910707531848124</v>
      </c>
      <c r="J127" s="21">
        <v>2.8570629536094913E-3</v>
      </c>
      <c r="K127" s="13">
        <f t="shared" ref="K127:K180" si="117">D127/I127</f>
        <v>7725.220955913016</v>
      </c>
      <c r="L127" s="1">
        <f t="shared" si="96"/>
        <v>380846.86521831615</v>
      </c>
      <c r="M127">
        <f t="shared" si="52"/>
        <v>617.12791641467345</v>
      </c>
      <c r="N127" s="1">
        <f t="shared" si="53"/>
        <v>1209.5707161727598</v>
      </c>
      <c r="O127" s="24">
        <f t="shared" si="43"/>
        <v>2556.220955913016</v>
      </c>
      <c r="P127" s="1">
        <f t="shared" ref="P127:P180" si="118">L127</f>
        <v>380846.86521831615</v>
      </c>
      <c r="Q127">
        <f t="shared" ref="Q127:Q180" si="119">SQRT(P127)</f>
        <v>617.12791641467345</v>
      </c>
      <c r="R127" s="1">
        <f t="shared" ref="R127:R180" si="120">(1.96*Q127)</f>
        <v>1209.5707161727598</v>
      </c>
    </row>
    <row r="128" spans="1:18" hidden="1" x14ac:dyDescent="0.25">
      <c r="A128" t="s">
        <v>81</v>
      </c>
      <c r="B128">
        <v>1999</v>
      </c>
      <c r="C128" t="s">
        <v>49</v>
      </c>
      <c r="D128" s="13">
        <v>9276</v>
      </c>
      <c r="E128" s="1"/>
      <c r="F128" s="1"/>
      <c r="G128" s="1"/>
      <c r="H128" s="1"/>
      <c r="I128" s="21">
        <v>0.66910707531848124</v>
      </c>
      <c r="J128" s="21">
        <v>2.8570629536094913E-3</v>
      </c>
      <c r="K128" s="13">
        <f t="shared" si="117"/>
        <v>13863.251999816044</v>
      </c>
      <c r="L128" s="1">
        <f t="shared" si="96"/>
        <v>1226475.2843498222</v>
      </c>
      <c r="M128">
        <f t="shared" si="52"/>
        <v>1107.4634460558154</v>
      </c>
      <c r="N128" s="1">
        <f t="shared" si="53"/>
        <v>2170.6283542693982</v>
      </c>
      <c r="O128" s="24">
        <f t="shared" si="43"/>
        <v>4587.2519998160442</v>
      </c>
      <c r="P128" s="1">
        <f t="shared" si="118"/>
        <v>1226475.2843498222</v>
      </c>
      <c r="Q128">
        <f t="shared" si="119"/>
        <v>1107.4634460558154</v>
      </c>
      <c r="R128" s="1">
        <f t="shared" si="120"/>
        <v>2170.6283542693982</v>
      </c>
    </row>
    <row r="129" spans="1:18" hidden="1" x14ac:dyDescent="0.25">
      <c r="A129" t="s">
        <v>81</v>
      </c>
      <c r="B129">
        <v>2000</v>
      </c>
      <c r="C129" t="s">
        <v>49</v>
      </c>
      <c r="D129" s="13">
        <v>13107</v>
      </c>
      <c r="E129" s="1"/>
      <c r="F129" s="1"/>
      <c r="G129" s="1"/>
      <c r="H129" s="1"/>
      <c r="I129" s="21">
        <v>0.66910707531848124</v>
      </c>
      <c r="J129" s="21">
        <v>2.8570629536094913E-3</v>
      </c>
      <c r="K129" s="13">
        <f t="shared" si="117"/>
        <v>19588.793010089361</v>
      </c>
      <c r="L129" s="1">
        <f t="shared" si="96"/>
        <v>2448747.0158551079</v>
      </c>
      <c r="M129">
        <f t="shared" si="52"/>
        <v>1564.8472819592039</v>
      </c>
      <c r="N129" s="1">
        <f t="shared" si="53"/>
        <v>3067.1006726400396</v>
      </c>
      <c r="O129" s="24">
        <f t="shared" ref="O129:O204" si="121">K129-D129</f>
        <v>6481.7930100893609</v>
      </c>
      <c r="P129" s="1">
        <f t="shared" si="118"/>
        <v>2448747.0158551079</v>
      </c>
      <c r="Q129">
        <f t="shared" si="119"/>
        <v>1564.8472819592039</v>
      </c>
      <c r="R129" s="1">
        <f t="shared" si="120"/>
        <v>3067.1006726400396</v>
      </c>
    </row>
    <row r="130" spans="1:18" hidden="1" x14ac:dyDescent="0.25">
      <c r="A130" t="s">
        <v>81</v>
      </c>
      <c r="B130">
        <v>2001</v>
      </c>
      <c r="C130" t="s">
        <v>49</v>
      </c>
      <c r="D130" s="13">
        <v>20907</v>
      </c>
      <c r="E130" s="1"/>
      <c r="F130" s="1"/>
      <c r="G130" s="1"/>
      <c r="H130" s="1"/>
      <c r="I130" s="21">
        <v>0.66910707531848124</v>
      </c>
      <c r="J130" s="21">
        <v>2.8570629536094913E-3</v>
      </c>
      <c r="K130" s="13">
        <f t="shared" si="117"/>
        <v>31246.120047450848</v>
      </c>
      <c r="L130" s="1">
        <f t="shared" si="96"/>
        <v>6230469.2850139625</v>
      </c>
      <c r="M130">
        <f t="shared" ref="M130:M139" si="122">SQRT(L130)</f>
        <v>2496.0908006348573</v>
      </c>
      <c r="N130" s="1">
        <f t="shared" ref="N130:N139" si="123">(1.96*M130)</f>
        <v>4892.3379692443204</v>
      </c>
      <c r="O130" s="24">
        <f t="shared" si="121"/>
        <v>10339.120047450848</v>
      </c>
      <c r="P130" s="1">
        <f t="shared" si="118"/>
        <v>6230469.2850139625</v>
      </c>
      <c r="Q130">
        <f t="shared" si="119"/>
        <v>2496.0908006348573</v>
      </c>
      <c r="R130" s="1">
        <f t="shared" si="120"/>
        <v>4892.3379692443204</v>
      </c>
    </row>
    <row r="131" spans="1:18" hidden="1" x14ac:dyDescent="0.25">
      <c r="A131" t="s">
        <v>81</v>
      </c>
      <c r="B131">
        <v>2002</v>
      </c>
      <c r="C131" t="s">
        <v>49</v>
      </c>
      <c r="D131" s="13">
        <v>17318</v>
      </c>
      <c r="E131" s="1"/>
      <c r="F131" s="1"/>
      <c r="G131" s="1"/>
      <c r="H131" s="1"/>
      <c r="I131" s="21">
        <v>0.66910707531848124</v>
      </c>
      <c r="J131" s="21">
        <v>2.8570629536094913E-3</v>
      </c>
      <c r="K131" s="13">
        <f t="shared" si="117"/>
        <v>25882.255081157207</v>
      </c>
      <c r="L131" s="1">
        <f t="shared" si="96"/>
        <v>4274967.2451758217</v>
      </c>
      <c r="M131">
        <f t="shared" si="122"/>
        <v>2067.5993918493546</v>
      </c>
      <c r="N131" s="1">
        <f t="shared" si="123"/>
        <v>4052.494808024735</v>
      </c>
      <c r="O131" s="24">
        <f t="shared" si="121"/>
        <v>8564.2550811572073</v>
      </c>
      <c r="P131" s="1">
        <f t="shared" si="118"/>
        <v>4274967.2451758217</v>
      </c>
      <c r="Q131">
        <f t="shared" si="119"/>
        <v>2067.5993918493546</v>
      </c>
      <c r="R131" s="1">
        <f t="shared" si="120"/>
        <v>4052.494808024735</v>
      </c>
    </row>
    <row r="132" spans="1:18" hidden="1" x14ac:dyDescent="0.25">
      <c r="A132" t="s">
        <v>81</v>
      </c>
      <c r="B132">
        <v>2003</v>
      </c>
      <c r="C132" t="s">
        <v>49</v>
      </c>
      <c r="D132" s="13">
        <v>17020</v>
      </c>
      <c r="E132" s="1"/>
      <c r="F132" s="1"/>
      <c r="G132" s="1"/>
      <c r="H132" s="1"/>
      <c r="I132" s="21">
        <v>0.66910707531848124</v>
      </c>
      <c r="J132" s="21">
        <v>2.8570629536094913E-3</v>
      </c>
      <c r="K132" s="13">
        <f t="shared" si="117"/>
        <v>25436.885407165704</v>
      </c>
      <c r="L132" s="1">
        <f t="shared" si="96"/>
        <v>4129109.8070434225</v>
      </c>
      <c r="M132">
        <f t="shared" si="122"/>
        <v>2032.0211138281568</v>
      </c>
      <c r="N132" s="1">
        <f t="shared" si="123"/>
        <v>3982.7613831031872</v>
      </c>
      <c r="O132" s="24">
        <f t="shared" si="121"/>
        <v>8416.8854071657042</v>
      </c>
      <c r="P132" s="1">
        <f t="shared" si="118"/>
        <v>4129109.8070434225</v>
      </c>
      <c r="Q132">
        <f t="shared" si="119"/>
        <v>2032.0211138281568</v>
      </c>
      <c r="R132" s="1">
        <f t="shared" si="120"/>
        <v>3982.7613831031872</v>
      </c>
    </row>
    <row r="133" spans="1:18" hidden="1" x14ac:dyDescent="0.25">
      <c r="A133" t="s">
        <v>81</v>
      </c>
      <c r="B133">
        <v>2004</v>
      </c>
      <c r="C133" t="s">
        <v>49</v>
      </c>
      <c r="D133" s="13">
        <v>19434</v>
      </c>
      <c r="E133" s="1"/>
      <c r="F133" s="1"/>
      <c r="G133" s="1"/>
      <c r="H133" s="1"/>
      <c r="I133" s="21">
        <v>0.66910707531848124</v>
      </c>
      <c r="J133" s="21">
        <v>2.8570629536094913E-3</v>
      </c>
      <c r="K133" s="13">
        <f t="shared" si="117"/>
        <v>29044.67867231835</v>
      </c>
      <c r="L133" s="1">
        <f t="shared" si="96"/>
        <v>5383462.8158731172</v>
      </c>
      <c r="M133">
        <f t="shared" si="122"/>
        <v>2320.2290438388013</v>
      </c>
      <c r="N133" s="1">
        <f t="shared" si="123"/>
        <v>4547.6489259240507</v>
      </c>
      <c r="O133" s="24">
        <f t="shared" si="121"/>
        <v>9610.6786723183504</v>
      </c>
      <c r="P133" s="1">
        <f t="shared" si="118"/>
        <v>5383462.8158731172</v>
      </c>
      <c r="Q133">
        <f t="shared" si="119"/>
        <v>2320.2290438388013</v>
      </c>
      <c r="R133" s="1">
        <f t="shared" si="120"/>
        <v>4547.6489259240507</v>
      </c>
    </row>
    <row r="134" spans="1:18" hidden="1" x14ac:dyDescent="0.25">
      <c r="A134" t="s">
        <v>81</v>
      </c>
      <c r="B134">
        <v>2005</v>
      </c>
      <c r="C134" t="s">
        <v>49</v>
      </c>
      <c r="D134" s="13">
        <v>22792</v>
      </c>
      <c r="E134" s="1"/>
      <c r="F134" s="1"/>
      <c r="G134" s="1"/>
      <c r="H134" s="1"/>
      <c r="I134" s="21">
        <v>0.66910707531848124</v>
      </c>
      <c r="J134" s="21">
        <v>2.8570629536094913E-3</v>
      </c>
      <c r="K134" s="13">
        <f t="shared" si="117"/>
        <v>34063.307414813207</v>
      </c>
      <c r="L134" s="1">
        <f t="shared" si="96"/>
        <v>7404610.0706118569</v>
      </c>
      <c r="M134">
        <f t="shared" si="122"/>
        <v>2721.1413176481401</v>
      </c>
      <c r="N134" s="1">
        <f t="shared" si="123"/>
        <v>5333.4369825903541</v>
      </c>
      <c r="O134" s="24">
        <f t="shared" si="121"/>
        <v>11271.307414813207</v>
      </c>
      <c r="P134" s="1">
        <f t="shared" si="118"/>
        <v>7404610.0706118569</v>
      </c>
      <c r="Q134">
        <f t="shared" si="119"/>
        <v>2721.1413176481401</v>
      </c>
      <c r="R134" s="1">
        <f t="shared" si="120"/>
        <v>5333.4369825903541</v>
      </c>
    </row>
    <row r="135" spans="1:18" hidden="1" x14ac:dyDescent="0.25">
      <c r="A135" t="s">
        <v>81</v>
      </c>
      <c r="B135">
        <v>2006</v>
      </c>
      <c r="C135" t="s">
        <v>49</v>
      </c>
      <c r="D135" s="13">
        <v>19998</v>
      </c>
      <c r="E135" s="1"/>
      <c r="F135" s="1"/>
      <c r="G135" s="1"/>
      <c r="H135" s="1"/>
      <c r="I135" s="21">
        <v>0.66910707531848124</v>
      </c>
      <c r="J135" s="21">
        <v>2.8570629536094913E-3</v>
      </c>
      <c r="K135" s="13">
        <f t="shared" si="117"/>
        <v>29887.593088866026</v>
      </c>
      <c r="L135" s="1">
        <f t="shared" si="96"/>
        <v>5700467.1719220383</v>
      </c>
      <c r="M135">
        <f t="shared" si="122"/>
        <v>2387.5651136507331</v>
      </c>
      <c r="N135" s="1">
        <f t="shared" si="123"/>
        <v>4679.6276227554372</v>
      </c>
      <c r="O135" s="24">
        <f t="shared" si="121"/>
        <v>9889.5930888660259</v>
      </c>
      <c r="P135" s="1">
        <f t="shared" si="118"/>
        <v>5700467.1719220383</v>
      </c>
      <c r="Q135">
        <f t="shared" si="119"/>
        <v>2387.5651136507331</v>
      </c>
      <c r="R135" s="1">
        <f t="shared" si="120"/>
        <v>4679.6276227554372</v>
      </c>
    </row>
    <row r="136" spans="1:18" hidden="1" x14ac:dyDescent="0.25">
      <c r="A136" t="s">
        <v>81</v>
      </c>
      <c r="B136">
        <v>2007</v>
      </c>
      <c r="C136" t="s">
        <v>49</v>
      </c>
      <c r="D136" s="13">
        <v>23861</v>
      </c>
      <c r="E136" s="1"/>
      <c r="F136" s="1"/>
      <c r="G136" s="1"/>
      <c r="H136" s="1"/>
      <c r="I136" s="21">
        <v>0.66910707531848124</v>
      </c>
      <c r="J136" s="21">
        <v>2.8570629536094913E-3</v>
      </c>
      <c r="K136" s="13">
        <f t="shared" si="117"/>
        <v>35660.959030574668</v>
      </c>
      <c r="L136" s="1">
        <f t="shared" si="96"/>
        <v>8115487.2982604261</v>
      </c>
      <c r="M136">
        <f t="shared" si="122"/>
        <v>2848.7694357845858</v>
      </c>
      <c r="N136" s="1">
        <f t="shared" si="123"/>
        <v>5583.5880941377882</v>
      </c>
      <c r="O136" s="24">
        <f t="shared" si="121"/>
        <v>11799.959030574668</v>
      </c>
      <c r="P136" s="1">
        <f t="shared" si="118"/>
        <v>8115487.2982604261</v>
      </c>
      <c r="Q136">
        <f t="shared" si="119"/>
        <v>2848.7694357845858</v>
      </c>
      <c r="R136" s="1">
        <f t="shared" si="120"/>
        <v>5583.5880941377882</v>
      </c>
    </row>
    <row r="137" spans="1:18" hidden="1" x14ac:dyDescent="0.25">
      <c r="A137" t="s">
        <v>81</v>
      </c>
      <c r="B137">
        <v>2008</v>
      </c>
      <c r="C137" t="s">
        <v>49</v>
      </c>
      <c r="D137" s="13">
        <v>25596</v>
      </c>
      <c r="E137" s="1"/>
      <c r="F137" s="1"/>
      <c r="G137" s="1"/>
      <c r="H137" s="1"/>
      <c r="I137" s="21">
        <v>0.66910707531848124</v>
      </c>
      <c r="J137" s="21">
        <v>2.8570629536094913E-3</v>
      </c>
      <c r="K137" s="13">
        <f t="shared" si="117"/>
        <v>38253.967031833927</v>
      </c>
      <c r="L137" s="1">
        <f t="shared" si="96"/>
        <v>9338594.6288435515</v>
      </c>
      <c r="M137">
        <f t="shared" si="122"/>
        <v>3055.9114235925672</v>
      </c>
      <c r="N137" s="1">
        <f t="shared" si="123"/>
        <v>5989.5863902414312</v>
      </c>
      <c r="O137" s="24">
        <f t="shared" si="121"/>
        <v>12657.967031833927</v>
      </c>
      <c r="P137" s="1">
        <f t="shared" si="118"/>
        <v>9338594.6288435515</v>
      </c>
      <c r="Q137">
        <f t="shared" si="119"/>
        <v>3055.9114235925672</v>
      </c>
      <c r="R137" s="1">
        <f t="shared" si="120"/>
        <v>5989.5863902414312</v>
      </c>
    </row>
    <row r="138" spans="1:18" hidden="1" x14ac:dyDescent="0.25">
      <c r="A138" t="s">
        <v>81</v>
      </c>
      <c r="B138">
        <v>2009</v>
      </c>
      <c r="C138" t="s">
        <v>49</v>
      </c>
      <c r="D138" s="13">
        <v>21909</v>
      </c>
      <c r="E138" s="1"/>
      <c r="F138" s="1"/>
      <c r="G138" s="1"/>
      <c r="H138" s="1"/>
      <c r="I138" s="21">
        <v>0.66910707531848124</v>
      </c>
      <c r="J138" s="21">
        <v>2.8570629536094913E-3</v>
      </c>
      <c r="K138" s="13">
        <f t="shared" si="117"/>
        <v>32743.638213019593</v>
      </c>
      <c r="L138" s="1">
        <f t="shared" si="96"/>
        <v>6841989.9451254793</v>
      </c>
      <c r="M138">
        <f t="shared" si="122"/>
        <v>2615.7197757262684</v>
      </c>
      <c r="N138" s="1">
        <f t="shared" si="123"/>
        <v>5126.8107604234856</v>
      </c>
      <c r="O138" s="24">
        <f t="shared" si="121"/>
        <v>10834.638213019593</v>
      </c>
      <c r="P138" s="1">
        <f t="shared" si="118"/>
        <v>6841989.9451254793</v>
      </c>
      <c r="Q138">
        <f t="shared" si="119"/>
        <v>2615.7197757262684</v>
      </c>
      <c r="R138" s="1">
        <f t="shared" si="120"/>
        <v>5126.8107604234856</v>
      </c>
    </row>
    <row r="139" spans="1:18" hidden="1" x14ac:dyDescent="0.25">
      <c r="A139" t="s">
        <v>81</v>
      </c>
      <c r="B139">
        <v>2010</v>
      </c>
      <c r="C139" t="s">
        <v>49</v>
      </c>
      <c r="D139" s="13">
        <v>27027</v>
      </c>
      <c r="E139" s="1"/>
      <c r="F139" s="1"/>
      <c r="G139" s="1"/>
      <c r="H139" s="1"/>
      <c r="I139" s="21">
        <v>0.66910707531848124</v>
      </c>
      <c r="J139" s="21">
        <v>2.8570629536094913E-3</v>
      </c>
      <c r="K139" s="13">
        <f t="shared" si="117"/>
        <v>40392.638184457552</v>
      </c>
      <c r="L139" s="1">
        <f t="shared" si="96"/>
        <v>10411972.30311189</v>
      </c>
      <c r="M139">
        <f t="shared" si="122"/>
        <v>3226.7587922111393</v>
      </c>
      <c r="N139" s="1">
        <f t="shared" si="123"/>
        <v>6324.4472327338326</v>
      </c>
      <c r="O139" s="24">
        <f t="shared" si="121"/>
        <v>13365.638184457552</v>
      </c>
      <c r="P139" s="1">
        <f t="shared" si="118"/>
        <v>10411972.30311189</v>
      </c>
      <c r="Q139">
        <f t="shared" si="119"/>
        <v>3226.7587922111393</v>
      </c>
      <c r="R139" s="1">
        <f t="shared" si="120"/>
        <v>6324.4472327338326</v>
      </c>
    </row>
    <row r="140" spans="1:18" hidden="1" x14ac:dyDescent="0.25">
      <c r="A140" t="s">
        <v>81</v>
      </c>
      <c r="B140">
        <v>2011</v>
      </c>
      <c r="C140" t="s">
        <v>49</v>
      </c>
      <c r="D140" s="13">
        <v>30322</v>
      </c>
      <c r="E140" s="1">
        <v>26745</v>
      </c>
      <c r="F140" s="1">
        <v>3371338.2992552528</v>
      </c>
      <c r="G140" s="1">
        <v>19301</v>
      </c>
      <c r="H140" s="1">
        <v>4610897.2432392361</v>
      </c>
      <c r="I140">
        <f t="shared" ref="I140:I173" si="124">E140/(E140+G140)</f>
        <v>0.58083221126699391</v>
      </c>
      <c r="J140">
        <f t="shared" ref="J140:J173" si="125">((((E140)^2*H140)+((G140)^2*F140))/(E140+G140)^4)</f>
        <v>1.0130531626875246E-3</v>
      </c>
      <c r="K140" s="13">
        <f t="shared" si="117"/>
        <v>52204.405010282295</v>
      </c>
      <c r="L140" s="1">
        <f t="shared" ref="L140:L164" si="126">(D140^2)*J140*(1/(I140^4))</f>
        <v>8183614.275682712</v>
      </c>
      <c r="M140">
        <f t="shared" ref="M140:M189" si="127">SQRT(L140)</f>
        <v>2860.7017103645589</v>
      </c>
      <c r="N140" s="1">
        <f t="shared" ref="N140:N189" si="128">(1.96*M140)</f>
        <v>5606.9753523145355</v>
      </c>
      <c r="O140" s="24">
        <f t="shared" si="121"/>
        <v>21882.405010282295</v>
      </c>
      <c r="P140" s="1">
        <f t="shared" si="118"/>
        <v>8183614.275682712</v>
      </c>
      <c r="Q140">
        <f t="shared" si="119"/>
        <v>2860.7017103645589</v>
      </c>
      <c r="R140" s="1">
        <f t="shared" si="120"/>
        <v>5606.9753523145355</v>
      </c>
    </row>
    <row r="141" spans="1:18" hidden="1" x14ac:dyDescent="0.25">
      <c r="A141" t="s">
        <v>81</v>
      </c>
      <c r="B141">
        <v>2012</v>
      </c>
      <c r="C141" t="s">
        <v>49</v>
      </c>
      <c r="D141" s="13">
        <v>27771</v>
      </c>
      <c r="E141" s="1">
        <v>25298</v>
      </c>
      <c r="F141" s="1">
        <v>2451631.8439079095</v>
      </c>
      <c r="G141" s="1">
        <v>12069</v>
      </c>
      <c r="H141" s="1">
        <v>1536999.9170170294</v>
      </c>
      <c r="I141">
        <f t="shared" si="124"/>
        <v>0.67701447801536119</v>
      </c>
      <c r="J141">
        <f t="shared" si="125"/>
        <v>6.8770333223137144E-4</v>
      </c>
      <c r="K141" s="13">
        <f t="shared" si="117"/>
        <v>41019.802237331009</v>
      </c>
      <c r="L141" s="1">
        <f t="shared" si="126"/>
        <v>2524598.6215632036</v>
      </c>
      <c r="M141">
        <f t="shared" si="127"/>
        <v>1588.898556095764</v>
      </c>
      <c r="N141" s="1">
        <f t="shared" si="128"/>
        <v>3114.2411699476975</v>
      </c>
      <c r="O141" s="24">
        <f t="shared" si="121"/>
        <v>13248.802237331009</v>
      </c>
      <c r="P141" s="1">
        <f t="shared" si="118"/>
        <v>2524598.6215632036</v>
      </c>
      <c r="Q141">
        <f t="shared" si="119"/>
        <v>1588.898556095764</v>
      </c>
      <c r="R141" s="1">
        <f t="shared" si="120"/>
        <v>3114.2411699476975</v>
      </c>
    </row>
    <row r="142" spans="1:18" hidden="1" x14ac:dyDescent="0.25">
      <c r="A142" t="s">
        <v>81</v>
      </c>
      <c r="B142">
        <v>2013</v>
      </c>
      <c r="C142" t="s">
        <v>49</v>
      </c>
      <c r="D142" s="13">
        <v>30558</v>
      </c>
      <c r="E142" s="1">
        <v>29220</v>
      </c>
      <c r="F142" s="1">
        <v>2940937.0897137322</v>
      </c>
      <c r="G142" s="1">
        <v>16406</v>
      </c>
      <c r="H142" s="1">
        <v>2718992.1367407311</v>
      </c>
      <c r="I142">
        <f t="shared" si="124"/>
        <v>0.64042431946697054</v>
      </c>
      <c r="J142">
        <f t="shared" si="125"/>
        <v>7.1835568252007881E-4</v>
      </c>
      <c r="K142" s="13">
        <f t="shared" si="117"/>
        <v>47715.239835728957</v>
      </c>
      <c r="L142" s="1">
        <f t="shared" si="126"/>
        <v>3987660.0085104108</v>
      </c>
      <c r="M142">
        <f t="shared" si="127"/>
        <v>1996.9126191474707</v>
      </c>
      <c r="N142" s="1">
        <f t="shared" si="128"/>
        <v>3913.9487335290423</v>
      </c>
      <c r="O142" s="24">
        <f t="shared" si="121"/>
        <v>17157.239835728957</v>
      </c>
      <c r="P142" s="1">
        <f t="shared" si="118"/>
        <v>3987660.0085104108</v>
      </c>
      <c r="Q142">
        <f t="shared" si="119"/>
        <v>1996.9126191474707</v>
      </c>
      <c r="R142" s="1">
        <f t="shared" si="120"/>
        <v>3913.9487335290423</v>
      </c>
    </row>
    <row r="143" spans="1:18" hidden="1" x14ac:dyDescent="0.25">
      <c r="A143" t="s">
        <v>81</v>
      </c>
      <c r="B143">
        <v>2014</v>
      </c>
      <c r="C143" t="s">
        <v>49</v>
      </c>
      <c r="D143" s="13">
        <v>37025</v>
      </c>
      <c r="E143" s="1">
        <v>32841</v>
      </c>
      <c r="F143" s="1">
        <v>4288839.5662702508</v>
      </c>
      <c r="G143" s="1">
        <v>19287</v>
      </c>
      <c r="H143" s="1">
        <v>3817844.4858448328</v>
      </c>
      <c r="I143">
        <f t="shared" si="124"/>
        <v>0.63000690607734811</v>
      </c>
      <c r="J143">
        <f t="shared" si="125"/>
        <v>7.737216927083926E-4</v>
      </c>
      <c r="K143" s="13">
        <f t="shared" si="117"/>
        <v>58769.197040285006</v>
      </c>
      <c r="L143" s="1">
        <f t="shared" si="126"/>
        <v>6732768.2681420343</v>
      </c>
      <c r="M143">
        <f t="shared" si="127"/>
        <v>2594.7578438347641</v>
      </c>
      <c r="N143" s="1">
        <f t="shared" si="128"/>
        <v>5085.7253739161379</v>
      </c>
      <c r="O143" s="24">
        <f t="shared" si="121"/>
        <v>21744.197040285006</v>
      </c>
      <c r="P143" s="1">
        <f t="shared" si="118"/>
        <v>6732768.2681420343</v>
      </c>
      <c r="Q143">
        <f t="shared" si="119"/>
        <v>2594.7578438347641</v>
      </c>
      <c r="R143" s="1">
        <f t="shared" si="120"/>
        <v>5085.7253739161379</v>
      </c>
    </row>
    <row r="144" spans="1:18" hidden="1" x14ac:dyDescent="0.25">
      <c r="A144" t="s">
        <v>81</v>
      </c>
      <c r="B144">
        <v>2015</v>
      </c>
      <c r="C144" t="s">
        <v>49</v>
      </c>
      <c r="D144" s="13">
        <v>45883</v>
      </c>
      <c r="E144" s="1">
        <v>38015</v>
      </c>
      <c r="F144" s="1">
        <v>4690504.2996746805</v>
      </c>
      <c r="G144" s="1">
        <v>19960</v>
      </c>
      <c r="H144" s="1">
        <v>3660869.5256016064</v>
      </c>
      <c r="I144">
        <f t="shared" si="124"/>
        <v>0.65571366968520917</v>
      </c>
      <c r="J144">
        <f t="shared" si="125"/>
        <v>6.3372363177776486E-4</v>
      </c>
      <c r="K144" s="13">
        <f t="shared" si="117"/>
        <v>69974.13981323161</v>
      </c>
      <c r="L144" s="1">
        <f t="shared" si="126"/>
        <v>7216831.4803412473</v>
      </c>
      <c r="M144">
        <f t="shared" si="127"/>
        <v>2686.4161033505675</v>
      </c>
      <c r="N144" s="1">
        <f t="shared" si="128"/>
        <v>5265.375562567112</v>
      </c>
      <c r="O144" s="24">
        <f t="shared" si="121"/>
        <v>24091.13981323161</v>
      </c>
      <c r="P144" s="1">
        <f t="shared" si="118"/>
        <v>7216831.4803412473</v>
      </c>
      <c r="Q144">
        <f t="shared" si="119"/>
        <v>2686.4161033505675</v>
      </c>
      <c r="R144" s="1">
        <f t="shared" si="120"/>
        <v>5265.375562567112</v>
      </c>
    </row>
    <row r="145" spans="1:18" hidden="1" x14ac:dyDescent="0.25">
      <c r="A145" t="s">
        <v>81</v>
      </c>
      <c r="B145">
        <v>2016</v>
      </c>
      <c r="C145" t="s">
        <v>49</v>
      </c>
      <c r="D145" s="13">
        <v>56991</v>
      </c>
      <c r="E145" s="1">
        <v>54312</v>
      </c>
      <c r="F145" s="1">
        <v>6811053.1334925136</v>
      </c>
      <c r="G145" s="1">
        <v>20639</v>
      </c>
      <c r="H145" s="1">
        <v>4884535.9659619685</v>
      </c>
      <c r="I145">
        <f t="shared" si="124"/>
        <v>0.7246334271724193</v>
      </c>
      <c r="J145">
        <f t="shared" si="125"/>
        <v>5.4850289631723644E-4</v>
      </c>
      <c r="K145" s="13">
        <f t="shared" si="117"/>
        <v>78648.041703490948</v>
      </c>
      <c r="L145" s="1">
        <f t="shared" si="126"/>
        <v>6461271.9983784193</v>
      </c>
      <c r="M145">
        <f t="shared" si="127"/>
        <v>2541.9032236453099</v>
      </c>
      <c r="N145" s="1">
        <f t="shared" si="128"/>
        <v>4982.1303183448072</v>
      </c>
      <c r="O145" s="24">
        <f t="shared" si="121"/>
        <v>21657.041703490948</v>
      </c>
      <c r="P145" s="1">
        <f t="shared" si="118"/>
        <v>6461271.9983784193</v>
      </c>
      <c r="Q145">
        <f t="shared" si="119"/>
        <v>2541.9032236453099</v>
      </c>
      <c r="R145" s="1">
        <f t="shared" si="120"/>
        <v>4982.1303183448072</v>
      </c>
    </row>
    <row r="146" spans="1:18" hidden="1" x14ac:dyDescent="0.25">
      <c r="A146" t="s">
        <v>81</v>
      </c>
      <c r="B146">
        <v>2017</v>
      </c>
      <c r="C146" t="s">
        <v>49</v>
      </c>
      <c r="D146" s="13">
        <v>38626</v>
      </c>
      <c r="E146" s="1">
        <v>39626</v>
      </c>
      <c r="F146" s="1">
        <v>6115880.0231071012</v>
      </c>
      <c r="G146" s="1">
        <v>15632</v>
      </c>
      <c r="H146" s="1">
        <v>3073257.3823413369</v>
      </c>
      <c r="I146">
        <f t="shared" si="124"/>
        <v>0.71710883491983057</v>
      </c>
      <c r="J146">
        <f t="shared" si="125"/>
        <v>6.7787187181830963E-4</v>
      </c>
      <c r="K146" s="13">
        <f t="shared" si="117"/>
        <v>53863.511532831981</v>
      </c>
      <c r="L146" s="1">
        <f t="shared" si="126"/>
        <v>3824430.6766507281</v>
      </c>
      <c r="M146">
        <f t="shared" si="127"/>
        <v>1955.6151657856226</v>
      </c>
      <c r="N146" s="1">
        <f t="shared" si="128"/>
        <v>3833.0057249398201</v>
      </c>
      <c r="O146" s="24">
        <f t="shared" si="121"/>
        <v>15237.511532831981</v>
      </c>
      <c r="P146" s="1">
        <f t="shared" si="118"/>
        <v>3824430.6766507281</v>
      </c>
      <c r="Q146">
        <f t="shared" si="119"/>
        <v>1955.6151657856226</v>
      </c>
      <c r="R146" s="1">
        <f t="shared" si="120"/>
        <v>3833.0057249398201</v>
      </c>
    </row>
    <row r="147" spans="1:18" hidden="1" x14ac:dyDescent="0.25">
      <c r="A147" t="s">
        <v>81</v>
      </c>
      <c r="B147">
        <v>2018</v>
      </c>
      <c r="C147" t="s">
        <v>49</v>
      </c>
      <c r="D147" s="13">
        <v>50115</v>
      </c>
      <c r="E147" s="1">
        <v>44958</v>
      </c>
      <c r="F147" s="1">
        <v>6589196.3836226137</v>
      </c>
      <c r="G147" s="1">
        <v>16872</v>
      </c>
      <c r="H147" s="1">
        <v>3827665.0736246384</v>
      </c>
      <c r="I147">
        <f t="shared" si="124"/>
        <v>0.72712275594371667</v>
      </c>
      <c r="J147">
        <f t="shared" si="125"/>
        <v>6.5770168095516217E-4</v>
      </c>
      <c r="K147" s="13">
        <f t="shared" si="117"/>
        <v>68922.337515014005</v>
      </c>
      <c r="L147" s="1">
        <f t="shared" si="126"/>
        <v>5909265.1225642972</v>
      </c>
      <c r="M147">
        <f t="shared" si="127"/>
        <v>2430.8980074376418</v>
      </c>
      <c r="N147" s="1">
        <f t="shared" si="128"/>
        <v>4764.5600945777778</v>
      </c>
      <c r="O147" s="24">
        <f t="shared" si="121"/>
        <v>18807.337515014005</v>
      </c>
      <c r="P147" s="1">
        <f t="shared" si="118"/>
        <v>5909265.1225642972</v>
      </c>
      <c r="Q147">
        <f t="shared" si="119"/>
        <v>2430.8980074376418</v>
      </c>
      <c r="R147" s="1">
        <f t="shared" si="120"/>
        <v>4764.5600945777778</v>
      </c>
    </row>
    <row r="148" spans="1:18" hidden="1" x14ac:dyDescent="0.25">
      <c r="A148" t="s">
        <v>81</v>
      </c>
      <c r="B148">
        <v>2019</v>
      </c>
      <c r="C148" t="s">
        <v>49</v>
      </c>
      <c r="D148" s="13">
        <v>64565</v>
      </c>
      <c r="E148" s="1">
        <v>54358</v>
      </c>
      <c r="F148" s="1">
        <v>7817619.6806716658</v>
      </c>
      <c r="G148" s="1">
        <v>25480</v>
      </c>
      <c r="H148" s="1">
        <v>8508084.8607797977</v>
      </c>
      <c r="I148">
        <f t="shared" si="124"/>
        <v>0.68085372880082162</v>
      </c>
      <c r="J148">
        <f t="shared" si="125"/>
        <v>7.4367785273928369E-4</v>
      </c>
      <c r="K148" s="13">
        <f t="shared" si="117"/>
        <v>94829.472570734768</v>
      </c>
      <c r="L148" s="1">
        <f>(D148^2)*J148*(1/(I148^4))</f>
        <v>14426596.252648354</v>
      </c>
      <c r="M148">
        <f>SQRT(L148)</f>
        <v>3798.2359395709418</v>
      </c>
      <c r="N148" s="1">
        <f>(1.96*M148)</f>
        <v>7444.542441559046</v>
      </c>
      <c r="O148" s="24">
        <f t="shared" si="121"/>
        <v>30264.472570734768</v>
      </c>
      <c r="P148" s="1">
        <f>L148</f>
        <v>14426596.252648354</v>
      </c>
      <c r="Q148">
        <f>SQRT(P148)</f>
        <v>3798.2359395709418</v>
      </c>
      <c r="R148" s="1">
        <f>(1.96*Q148)</f>
        <v>7444.542441559046</v>
      </c>
    </row>
    <row r="149" spans="1:18" hidden="1" x14ac:dyDescent="0.25">
      <c r="A149" t="s">
        <v>81</v>
      </c>
      <c r="B149">
        <v>2020</v>
      </c>
      <c r="C149" t="s">
        <v>49</v>
      </c>
      <c r="D149" s="13">
        <v>43363</v>
      </c>
      <c r="E149" s="1">
        <v>38289</v>
      </c>
      <c r="F149" s="1">
        <v>3851267.7489399323</v>
      </c>
      <c r="G149" s="1">
        <v>12721</v>
      </c>
      <c r="H149" s="1">
        <v>2527856.9335245173</v>
      </c>
      <c r="I149">
        <f t="shared" ref="I149:I151" si="129">E149/(E149+G149)</f>
        <v>0.75061752597529896</v>
      </c>
      <c r="J149">
        <f t="shared" ref="J149:J151" si="130">((((E149)^2*H149)+((G149)^2*F149))/(E149+G149)^4)</f>
        <v>6.3941803872386569E-4</v>
      </c>
      <c r="K149" s="13">
        <f t="shared" ref="K149:K151" si="131">D149/I149</f>
        <v>57769.767557261875</v>
      </c>
      <c r="L149" s="1">
        <f t="shared" ref="L149:L150" si="132">(D149^2)*J149*(1/(I149^4))</f>
        <v>3787465.8304927479</v>
      </c>
      <c r="M149">
        <f t="shared" ref="M149:M150" si="133">SQRT(L149)</f>
        <v>1946.1412668387534</v>
      </c>
      <c r="N149" s="1">
        <f t="shared" ref="N149:N150" si="134">(1.96*M149)</f>
        <v>3814.4368830039566</v>
      </c>
      <c r="O149" s="24">
        <f t="shared" ref="O149:O150" si="135">K149-D149</f>
        <v>14406.767557261875</v>
      </c>
      <c r="P149" s="1">
        <f t="shared" ref="P149:P150" si="136">L149</f>
        <v>3787465.8304927479</v>
      </c>
      <c r="Q149">
        <f t="shared" ref="Q149:Q150" si="137">SQRT(P149)</f>
        <v>1946.1412668387534</v>
      </c>
      <c r="R149" s="1">
        <f t="shared" ref="R149:R150" si="138">(1.96*Q149)</f>
        <v>3814.4368830039566</v>
      </c>
    </row>
    <row r="150" spans="1:18" hidden="1" x14ac:dyDescent="0.25">
      <c r="A150" t="s">
        <v>81</v>
      </c>
      <c r="B150">
        <v>2021</v>
      </c>
      <c r="C150" t="s">
        <v>49</v>
      </c>
      <c r="D150" s="13">
        <v>83097</v>
      </c>
      <c r="E150" s="1">
        <v>59688</v>
      </c>
      <c r="F150" s="1">
        <v>8990398.6151391603</v>
      </c>
      <c r="G150" s="1">
        <v>17665</v>
      </c>
      <c r="H150" s="1">
        <v>4894447.538514534</v>
      </c>
      <c r="I150">
        <f t="shared" si="129"/>
        <v>0.77163135237159519</v>
      </c>
      <c r="J150">
        <f t="shared" si="130"/>
        <v>5.6540556488276659E-4</v>
      </c>
      <c r="K150" s="13">
        <f t="shared" si="131"/>
        <v>107690.02548250904</v>
      </c>
      <c r="L150" s="1">
        <f t="shared" si="132"/>
        <v>11012636.577756885</v>
      </c>
      <c r="M150">
        <f t="shared" si="133"/>
        <v>3318.5292793279505</v>
      </c>
      <c r="N150" s="1">
        <f t="shared" si="134"/>
        <v>6504.3173874827826</v>
      </c>
      <c r="O150" s="24">
        <f t="shared" si="135"/>
        <v>24593.025482509038</v>
      </c>
      <c r="P150" s="1">
        <f t="shared" si="136"/>
        <v>11012636.577756885</v>
      </c>
      <c r="Q150">
        <f t="shared" si="137"/>
        <v>3318.5292793279505</v>
      </c>
      <c r="R150" s="1">
        <f t="shared" si="138"/>
        <v>6504.3173874827826</v>
      </c>
    </row>
    <row r="151" spans="1:18" s="51" customFormat="1" hidden="1" x14ac:dyDescent="0.25">
      <c r="A151" s="51" t="s">
        <v>81</v>
      </c>
      <c r="B151" s="51">
        <v>2022</v>
      </c>
      <c r="C151" s="51" t="s">
        <v>49</v>
      </c>
      <c r="D151" s="71">
        <v>86545</v>
      </c>
      <c r="E151" s="72">
        <v>64214</v>
      </c>
      <c r="F151" s="72">
        <f>3622^2</f>
        <v>13118884</v>
      </c>
      <c r="G151" s="72">
        <v>17445</v>
      </c>
      <c r="H151" s="72">
        <f>2430^2</f>
        <v>5904900</v>
      </c>
      <c r="I151" s="51">
        <f t="shared" si="129"/>
        <v>0.78636769982488153</v>
      </c>
      <c r="J151">
        <f t="shared" si="130"/>
        <v>6.3737921590029752E-4</v>
      </c>
      <c r="K151" s="71">
        <f t="shared" si="131"/>
        <v>110056.65672594761</v>
      </c>
      <c r="L151" s="1">
        <f t="shared" ref="L151" si="139">(D151^2)*J151*(1/(I151^4))</f>
        <v>12484731.197476877</v>
      </c>
      <c r="M151">
        <f t="shared" ref="M151" si="140">SQRT(L151)</f>
        <v>3533.3739113596339</v>
      </c>
      <c r="N151" s="1">
        <f t="shared" ref="N151" si="141">(1.96*M151)</f>
        <v>6925.4128662648827</v>
      </c>
      <c r="O151" s="24">
        <f t="shared" ref="O151" si="142">K151-D151</f>
        <v>23511.656725947614</v>
      </c>
      <c r="P151" s="1">
        <f t="shared" ref="P151" si="143">L151</f>
        <v>12484731.197476877</v>
      </c>
      <c r="Q151">
        <f t="shared" ref="Q151" si="144">SQRT(P151)</f>
        <v>3533.3739113596339</v>
      </c>
      <c r="R151" s="1">
        <f t="shared" ref="R151" si="145">(1.96*Q151)</f>
        <v>6925.4128662648827</v>
      </c>
    </row>
    <row r="152" spans="1:18" hidden="1" x14ac:dyDescent="0.25">
      <c r="A152" t="s">
        <v>81</v>
      </c>
      <c r="B152">
        <v>1998</v>
      </c>
      <c r="C152" t="s">
        <v>50</v>
      </c>
      <c r="D152" s="13">
        <v>1488</v>
      </c>
      <c r="E152" s="1"/>
      <c r="F152" s="1"/>
      <c r="G152" s="1"/>
      <c r="H152" s="1"/>
      <c r="I152" s="21">
        <f>AVERAGE(I165:I172)</f>
        <v>0.56219860293382817</v>
      </c>
      <c r="J152" s="21">
        <v>5.8979492006494567E-3</v>
      </c>
      <c r="K152" s="13">
        <f t="shared" si="117"/>
        <v>2646.751507803267</v>
      </c>
      <c r="L152" s="1">
        <f t="shared" si="126"/>
        <v>130721.74657888399</v>
      </c>
      <c r="M152">
        <f t="shared" si="127"/>
        <v>361.55462461277409</v>
      </c>
      <c r="N152" s="1">
        <f t="shared" si="128"/>
        <v>708.64706424103724</v>
      </c>
      <c r="O152" s="24">
        <f t="shared" si="121"/>
        <v>1158.751507803267</v>
      </c>
      <c r="P152" s="1">
        <f t="shared" si="118"/>
        <v>130721.74657888399</v>
      </c>
      <c r="Q152">
        <f t="shared" si="119"/>
        <v>361.55462461277409</v>
      </c>
      <c r="R152" s="1">
        <f t="shared" si="120"/>
        <v>708.64706424103724</v>
      </c>
    </row>
    <row r="153" spans="1:18" hidden="1" x14ac:dyDescent="0.25">
      <c r="A153" t="s">
        <v>81</v>
      </c>
      <c r="B153">
        <v>1999</v>
      </c>
      <c r="C153" t="s">
        <v>50</v>
      </c>
      <c r="D153" s="13">
        <v>1866</v>
      </c>
      <c r="E153" s="1"/>
      <c r="F153" s="1"/>
      <c r="G153" s="1"/>
      <c r="H153" s="1"/>
      <c r="I153" s="21">
        <v>0.56219860293382817</v>
      </c>
      <c r="J153" s="21">
        <v>5.8979492006494567E-3</v>
      </c>
      <c r="K153" s="13">
        <f t="shared" si="117"/>
        <v>3319.1117698661938</v>
      </c>
      <c r="L153" s="1">
        <f t="shared" si="126"/>
        <v>205572.61399024838</v>
      </c>
      <c r="M153">
        <f t="shared" si="127"/>
        <v>453.40116231682555</v>
      </c>
      <c r="N153" s="1">
        <f t="shared" si="128"/>
        <v>888.66627814097808</v>
      </c>
      <c r="O153" s="24">
        <f t="shared" si="121"/>
        <v>1453.1117698661938</v>
      </c>
      <c r="P153" s="1">
        <f t="shared" si="118"/>
        <v>205572.61399024838</v>
      </c>
      <c r="Q153">
        <f t="shared" si="119"/>
        <v>453.40116231682555</v>
      </c>
      <c r="R153" s="1">
        <f t="shared" si="120"/>
        <v>888.66627814097808</v>
      </c>
    </row>
    <row r="154" spans="1:18" hidden="1" x14ac:dyDescent="0.25">
      <c r="A154" t="s">
        <v>81</v>
      </c>
      <c r="B154">
        <v>2000</v>
      </c>
      <c r="C154" t="s">
        <v>50</v>
      </c>
      <c r="D154" s="13">
        <v>2115</v>
      </c>
      <c r="E154" s="1"/>
      <c r="F154" s="1"/>
      <c r="G154" s="1"/>
      <c r="H154" s="1"/>
      <c r="I154" s="21">
        <v>0.56219860293382817</v>
      </c>
      <c r="J154" s="21">
        <v>5.8979492006494567E-3</v>
      </c>
      <c r="K154" s="13">
        <f t="shared" si="117"/>
        <v>3762.0157520187568</v>
      </c>
      <c r="L154" s="1">
        <f t="shared" si="126"/>
        <v>264096.54694560438</v>
      </c>
      <c r="M154">
        <f t="shared" si="127"/>
        <v>513.90324667743084</v>
      </c>
      <c r="N154" s="1">
        <f t="shared" si="128"/>
        <v>1007.2503634877644</v>
      </c>
      <c r="O154" s="24">
        <f t="shared" si="121"/>
        <v>1647.0157520187568</v>
      </c>
      <c r="P154" s="1">
        <f t="shared" si="118"/>
        <v>264096.54694560438</v>
      </c>
      <c r="Q154">
        <f t="shared" si="119"/>
        <v>513.90324667743084</v>
      </c>
      <c r="R154" s="1">
        <f t="shared" si="120"/>
        <v>1007.2503634877644</v>
      </c>
    </row>
    <row r="155" spans="1:18" hidden="1" x14ac:dyDescent="0.25">
      <c r="A155" t="s">
        <v>81</v>
      </c>
      <c r="B155">
        <v>2001</v>
      </c>
      <c r="C155" t="s">
        <v>50</v>
      </c>
      <c r="D155" s="13">
        <v>2081</v>
      </c>
      <c r="E155" s="1"/>
      <c r="F155" s="1"/>
      <c r="G155" s="1"/>
      <c r="H155" s="1"/>
      <c r="I155" s="21">
        <v>0.56219860293382817</v>
      </c>
      <c r="J155" s="21">
        <v>5.8979492006494567E-3</v>
      </c>
      <c r="K155" s="13">
        <f t="shared" si="117"/>
        <v>3701.5389030501337</v>
      </c>
      <c r="L155" s="1">
        <f t="shared" si="126"/>
        <v>255673.74912670467</v>
      </c>
      <c r="M155">
        <f t="shared" si="127"/>
        <v>505.6419178892358</v>
      </c>
      <c r="N155" s="1">
        <f t="shared" si="128"/>
        <v>991.05815906290218</v>
      </c>
      <c r="O155" s="24">
        <f t="shared" si="121"/>
        <v>1620.5389030501337</v>
      </c>
      <c r="P155" s="1">
        <f t="shared" si="118"/>
        <v>255673.74912670467</v>
      </c>
      <c r="Q155">
        <f t="shared" si="119"/>
        <v>505.6419178892358</v>
      </c>
      <c r="R155" s="1">
        <f t="shared" si="120"/>
        <v>991.05815906290218</v>
      </c>
    </row>
    <row r="156" spans="1:18" hidden="1" x14ac:dyDescent="0.25">
      <c r="A156" t="s">
        <v>81</v>
      </c>
      <c r="B156">
        <v>2002</v>
      </c>
      <c r="C156" t="s">
        <v>50</v>
      </c>
      <c r="D156" s="13">
        <v>2262</v>
      </c>
      <c r="E156" s="1"/>
      <c r="F156" s="1"/>
      <c r="G156" s="1"/>
      <c r="H156" s="1"/>
      <c r="I156" s="21">
        <v>0.56219860293382817</v>
      </c>
      <c r="J156" s="21">
        <v>5.8979492006494567E-3</v>
      </c>
      <c r="K156" s="13">
        <f t="shared" si="117"/>
        <v>4023.4891872654503</v>
      </c>
      <c r="L156" s="1">
        <f t="shared" si="126"/>
        <v>302083.62252065231</v>
      </c>
      <c r="M156">
        <f t="shared" si="127"/>
        <v>549.62134467345095</v>
      </c>
      <c r="N156" s="1">
        <f t="shared" si="128"/>
        <v>1077.257835559964</v>
      </c>
      <c r="O156" s="24">
        <f t="shared" si="121"/>
        <v>1761.4891872654503</v>
      </c>
      <c r="P156" s="1">
        <f t="shared" si="118"/>
        <v>302083.62252065231</v>
      </c>
      <c r="Q156">
        <f t="shared" si="119"/>
        <v>549.62134467345095</v>
      </c>
      <c r="R156" s="1">
        <f t="shared" si="120"/>
        <v>1077.257835559964</v>
      </c>
    </row>
    <row r="157" spans="1:18" hidden="1" x14ac:dyDescent="0.25">
      <c r="A157" t="s">
        <v>81</v>
      </c>
      <c r="B157">
        <v>2003</v>
      </c>
      <c r="C157" t="s">
        <v>50</v>
      </c>
      <c r="D157" s="13">
        <v>2743</v>
      </c>
      <c r="E157" s="1"/>
      <c r="F157" s="1"/>
      <c r="G157" s="1"/>
      <c r="H157" s="1"/>
      <c r="I157" s="21">
        <v>0.56219860293382817</v>
      </c>
      <c r="J157" s="21">
        <v>5.8979492006494567E-3</v>
      </c>
      <c r="K157" s="13">
        <f t="shared" si="117"/>
        <v>4879.0587270862643</v>
      </c>
      <c r="L157" s="1">
        <f t="shared" si="126"/>
        <v>444215.38374428463</v>
      </c>
      <c r="M157">
        <f t="shared" si="127"/>
        <v>666.49484900056405</v>
      </c>
      <c r="N157" s="1">
        <f t="shared" si="128"/>
        <v>1306.3299040411055</v>
      </c>
      <c r="O157" s="24">
        <f t="shared" si="121"/>
        <v>2136.0587270862643</v>
      </c>
      <c r="P157" s="1">
        <f t="shared" si="118"/>
        <v>444215.38374428463</v>
      </c>
      <c r="Q157">
        <f t="shared" si="119"/>
        <v>666.49484900056405</v>
      </c>
      <c r="R157" s="1">
        <f t="shared" si="120"/>
        <v>1306.3299040411055</v>
      </c>
    </row>
    <row r="158" spans="1:18" hidden="1" x14ac:dyDescent="0.25">
      <c r="A158" t="s">
        <v>81</v>
      </c>
      <c r="B158">
        <v>2004</v>
      </c>
      <c r="C158" t="s">
        <v>50</v>
      </c>
      <c r="D158" s="13">
        <v>3291</v>
      </c>
      <c r="E158" s="1"/>
      <c r="F158" s="1"/>
      <c r="G158" s="1"/>
      <c r="H158" s="1"/>
      <c r="I158" s="21">
        <v>0.56219860293382817</v>
      </c>
      <c r="J158" s="21">
        <v>5.8979492006494567E-3</v>
      </c>
      <c r="K158" s="13">
        <f t="shared" si="117"/>
        <v>5853.8032339923066</v>
      </c>
      <c r="L158" s="1">
        <f t="shared" si="126"/>
        <v>639436.97291537211</v>
      </c>
      <c r="M158">
        <f t="shared" si="127"/>
        <v>799.64803064559101</v>
      </c>
      <c r="N158" s="1">
        <f t="shared" si="128"/>
        <v>1567.3101400653584</v>
      </c>
      <c r="O158" s="24">
        <f t="shared" si="121"/>
        <v>2562.8032339923066</v>
      </c>
      <c r="P158" s="1">
        <f t="shared" si="118"/>
        <v>639436.97291537211</v>
      </c>
      <c r="Q158">
        <f t="shared" si="119"/>
        <v>799.64803064559101</v>
      </c>
      <c r="R158" s="1">
        <f t="shared" si="120"/>
        <v>1567.3101400653584</v>
      </c>
    </row>
    <row r="159" spans="1:18" hidden="1" x14ac:dyDescent="0.25">
      <c r="A159" t="s">
        <v>81</v>
      </c>
      <c r="B159">
        <v>2005</v>
      </c>
      <c r="C159" t="s">
        <v>50</v>
      </c>
      <c r="D159" s="13">
        <v>4641</v>
      </c>
      <c r="E159" s="1"/>
      <c r="F159" s="1"/>
      <c r="G159" s="1"/>
      <c r="H159" s="1"/>
      <c r="I159" s="21">
        <v>0.56219860293382817</v>
      </c>
      <c r="J159" s="21">
        <v>5.8979492006494567E-3</v>
      </c>
      <c r="K159" s="13">
        <f t="shared" si="117"/>
        <v>8255.0898842170445</v>
      </c>
      <c r="L159" s="1">
        <f t="shared" si="126"/>
        <v>1271642.7403433286</v>
      </c>
      <c r="M159">
        <f t="shared" si="127"/>
        <v>1127.6713795886319</v>
      </c>
      <c r="N159" s="1">
        <f t="shared" si="128"/>
        <v>2210.2359039937187</v>
      </c>
      <c r="O159" s="24">
        <f t="shared" si="121"/>
        <v>3614.0898842170445</v>
      </c>
      <c r="P159" s="1">
        <f t="shared" si="118"/>
        <v>1271642.7403433286</v>
      </c>
      <c r="Q159">
        <f t="shared" si="119"/>
        <v>1127.6713795886319</v>
      </c>
      <c r="R159" s="1">
        <f t="shared" si="120"/>
        <v>2210.2359039937187</v>
      </c>
    </row>
    <row r="160" spans="1:18" hidden="1" x14ac:dyDescent="0.25">
      <c r="A160" t="s">
        <v>81</v>
      </c>
      <c r="B160">
        <v>2006</v>
      </c>
      <c r="C160" t="s">
        <v>50</v>
      </c>
      <c r="D160" s="13">
        <v>3693</v>
      </c>
      <c r="E160" s="1"/>
      <c r="F160" s="1"/>
      <c r="G160" s="1"/>
      <c r="H160" s="1"/>
      <c r="I160" s="21">
        <v>0.56219860293382817</v>
      </c>
      <c r="J160" s="21">
        <v>5.8979492006494567E-3</v>
      </c>
      <c r="K160" s="13">
        <f t="shared" si="117"/>
        <v>6568.8530365036731</v>
      </c>
      <c r="L160" s="1">
        <f t="shared" si="126"/>
        <v>805194.11996587296</v>
      </c>
      <c r="M160">
        <f t="shared" si="127"/>
        <v>897.32609455307431</v>
      </c>
      <c r="N160" s="1">
        <f t="shared" si="128"/>
        <v>1758.7591453240257</v>
      </c>
      <c r="O160" s="24">
        <f t="shared" si="121"/>
        <v>2875.8530365036731</v>
      </c>
      <c r="P160" s="1">
        <f t="shared" si="118"/>
        <v>805194.11996587296</v>
      </c>
      <c r="Q160">
        <f t="shared" si="119"/>
        <v>897.32609455307431</v>
      </c>
      <c r="R160" s="1">
        <f t="shared" si="120"/>
        <v>1758.7591453240257</v>
      </c>
    </row>
    <row r="161" spans="1:18" hidden="1" x14ac:dyDescent="0.25">
      <c r="A161" t="s">
        <v>81</v>
      </c>
      <c r="B161">
        <v>2007</v>
      </c>
      <c r="C161" t="s">
        <v>50</v>
      </c>
      <c r="D161" s="13">
        <v>5080</v>
      </c>
      <c r="E161" s="1"/>
      <c r="F161" s="1"/>
      <c r="G161" s="1"/>
      <c r="H161" s="1"/>
      <c r="I161" s="21">
        <v>0.56219860293382817</v>
      </c>
      <c r="J161" s="21">
        <v>5.8979492006494567E-3</v>
      </c>
      <c r="K161" s="13">
        <f t="shared" si="117"/>
        <v>9035.9527282530889</v>
      </c>
      <c r="L161" s="1">
        <f t="shared" si="126"/>
        <v>1523594.5272363999</v>
      </c>
      <c r="M161">
        <f t="shared" si="127"/>
        <v>1234.3397130597396</v>
      </c>
      <c r="N161" s="1">
        <f t="shared" si="128"/>
        <v>2419.3058375970895</v>
      </c>
      <c r="O161" s="24">
        <f t="shared" si="121"/>
        <v>3955.9527282530889</v>
      </c>
      <c r="P161" s="1">
        <f t="shared" si="118"/>
        <v>1523594.5272363999</v>
      </c>
      <c r="Q161">
        <f t="shared" si="119"/>
        <v>1234.3397130597396</v>
      </c>
      <c r="R161" s="1">
        <f t="shared" si="120"/>
        <v>2419.3058375970895</v>
      </c>
    </row>
    <row r="162" spans="1:18" hidden="1" x14ac:dyDescent="0.25">
      <c r="A162" t="s">
        <v>81</v>
      </c>
      <c r="B162">
        <v>2008</v>
      </c>
      <c r="C162" t="s">
        <v>50</v>
      </c>
      <c r="D162" s="13">
        <v>6260</v>
      </c>
      <c r="E162" s="1"/>
      <c r="F162" s="1"/>
      <c r="G162" s="1"/>
      <c r="H162" s="1"/>
      <c r="I162" s="21">
        <v>0.56219860293382817</v>
      </c>
      <c r="J162" s="21">
        <v>5.8979492006494567E-3</v>
      </c>
      <c r="K162" s="13">
        <f t="shared" si="117"/>
        <v>11134.855133634712</v>
      </c>
      <c r="L162" s="1">
        <f t="shared" si="126"/>
        <v>2313612.6269270084</v>
      </c>
      <c r="M162">
        <f t="shared" si="127"/>
        <v>1521.0564180618051</v>
      </c>
      <c r="N162" s="1">
        <f t="shared" si="128"/>
        <v>2981.2705794011381</v>
      </c>
      <c r="O162" s="24">
        <f t="shared" si="121"/>
        <v>4874.8551336347118</v>
      </c>
      <c r="P162" s="1">
        <f t="shared" si="118"/>
        <v>2313612.6269270084</v>
      </c>
      <c r="Q162">
        <f t="shared" si="119"/>
        <v>1521.0564180618051</v>
      </c>
      <c r="R162" s="1">
        <f t="shared" si="120"/>
        <v>2981.2705794011381</v>
      </c>
    </row>
    <row r="163" spans="1:18" hidden="1" x14ac:dyDescent="0.25">
      <c r="A163" t="s">
        <v>81</v>
      </c>
      <c r="B163">
        <v>2009</v>
      </c>
      <c r="C163" t="s">
        <v>50</v>
      </c>
      <c r="D163" s="13">
        <v>6369</v>
      </c>
      <c r="E163" s="1"/>
      <c r="F163" s="1"/>
      <c r="G163" s="1"/>
      <c r="H163" s="1"/>
      <c r="I163" s="21">
        <v>0.56219860293382817</v>
      </c>
      <c r="J163" s="21">
        <v>5.8979492006494567E-3</v>
      </c>
      <c r="K163" s="13">
        <f t="shared" si="117"/>
        <v>11328.736796504711</v>
      </c>
      <c r="L163" s="1">
        <f t="shared" si="126"/>
        <v>2394883.9707024693</v>
      </c>
      <c r="M163">
        <f t="shared" si="127"/>
        <v>1547.5412662357244</v>
      </c>
      <c r="N163" s="1">
        <f t="shared" si="128"/>
        <v>3033.1808818220197</v>
      </c>
      <c r="O163" s="24">
        <f t="shared" si="121"/>
        <v>4959.7367965047106</v>
      </c>
      <c r="P163" s="1">
        <f t="shared" si="118"/>
        <v>2394883.9707024693</v>
      </c>
      <c r="Q163">
        <f t="shared" si="119"/>
        <v>1547.5412662357244</v>
      </c>
      <c r="R163" s="1">
        <f t="shared" si="120"/>
        <v>3033.1808818220197</v>
      </c>
    </row>
    <row r="164" spans="1:18" hidden="1" x14ac:dyDescent="0.25">
      <c r="A164" t="s">
        <v>81</v>
      </c>
      <c r="B164">
        <v>2010</v>
      </c>
      <c r="C164" t="s">
        <v>50</v>
      </c>
      <c r="D164" s="13">
        <v>8141</v>
      </c>
      <c r="E164" s="1"/>
      <c r="F164" s="1"/>
      <c r="G164" s="1"/>
      <c r="H164" s="1"/>
      <c r="I164" s="21">
        <v>0.56219860293382817</v>
      </c>
      <c r="J164" s="21">
        <v>5.8979492006494567E-3</v>
      </c>
      <c r="K164" s="13">
        <f t="shared" si="117"/>
        <v>14480.647866281181</v>
      </c>
      <c r="L164" s="1">
        <f t="shared" si="126"/>
        <v>3912888.6469779164</v>
      </c>
      <c r="M164">
        <f t="shared" si="127"/>
        <v>1978.1022842557754</v>
      </c>
      <c r="N164" s="1">
        <f t="shared" si="128"/>
        <v>3877.08047714132</v>
      </c>
      <c r="O164" s="24">
        <f t="shared" si="121"/>
        <v>6339.6478662811805</v>
      </c>
      <c r="P164" s="1">
        <f t="shared" si="118"/>
        <v>3912888.6469779164</v>
      </c>
      <c r="Q164">
        <f t="shared" si="119"/>
        <v>1978.1022842557754</v>
      </c>
      <c r="R164" s="1">
        <f t="shared" si="120"/>
        <v>3877.08047714132</v>
      </c>
    </row>
    <row r="165" spans="1:18" hidden="1" x14ac:dyDescent="0.25">
      <c r="A165" t="s">
        <v>81</v>
      </c>
      <c r="B165">
        <v>2011</v>
      </c>
      <c r="C165" t="s">
        <v>50</v>
      </c>
      <c r="D165" s="13">
        <v>6904</v>
      </c>
      <c r="E165" s="1">
        <v>5586</v>
      </c>
      <c r="F165" s="1">
        <v>1018027.7018928905</v>
      </c>
      <c r="G165" s="1">
        <v>4855</v>
      </c>
      <c r="H165" s="1">
        <v>620704.14382282284</v>
      </c>
      <c r="I165">
        <f t="shared" si="124"/>
        <v>0.53500622545733167</v>
      </c>
      <c r="J165" s="25">
        <f>((((E165)^2*H165)+((G165)^2*F165))/(E165+G165)^4)</f>
        <v>3.6488943526685616E-3</v>
      </c>
      <c r="K165" s="13">
        <f t="shared" si="117"/>
        <v>12904.522735409953</v>
      </c>
      <c r="L165" s="1">
        <f t="shared" ref="L165:L189" si="146">(D165^2)*J165*(1/(I165^4))</f>
        <v>2122890.1028359062</v>
      </c>
      <c r="M165">
        <f t="shared" si="127"/>
        <v>1457.0141052288775</v>
      </c>
      <c r="N165" s="1">
        <f t="shared" si="128"/>
        <v>2855.7476462485997</v>
      </c>
      <c r="O165" s="24">
        <f t="shared" si="121"/>
        <v>6000.5227354099534</v>
      </c>
      <c r="P165" s="1">
        <f t="shared" si="118"/>
        <v>2122890.1028359062</v>
      </c>
      <c r="Q165">
        <f t="shared" si="119"/>
        <v>1457.0141052288775</v>
      </c>
      <c r="R165" s="1">
        <f t="shared" si="120"/>
        <v>2855.7476462485997</v>
      </c>
    </row>
    <row r="166" spans="1:18" hidden="1" x14ac:dyDescent="0.25">
      <c r="A166" t="s">
        <v>81</v>
      </c>
      <c r="B166">
        <v>2012</v>
      </c>
      <c r="C166" t="s">
        <v>50</v>
      </c>
      <c r="D166" s="13">
        <v>6813</v>
      </c>
      <c r="E166" s="1">
        <v>6484</v>
      </c>
      <c r="F166" s="1">
        <v>1240637.6038428419</v>
      </c>
      <c r="G166" s="1">
        <v>4700</v>
      </c>
      <c r="H166" s="1">
        <v>1180627.8061701611</v>
      </c>
      <c r="I166">
        <f t="shared" si="124"/>
        <v>0.57975679542203151</v>
      </c>
      <c r="J166">
        <f t="shared" si="125"/>
        <v>4.9242328730077552E-3</v>
      </c>
      <c r="K166" s="13">
        <f t="shared" si="117"/>
        <v>11751.479333744601</v>
      </c>
      <c r="L166" s="1">
        <f t="shared" si="146"/>
        <v>2023168.1052428612</v>
      </c>
      <c r="M166">
        <f t="shared" si="127"/>
        <v>1422.3811392319785</v>
      </c>
      <c r="N166" s="1">
        <f t="shared" si="128"/>
        <v>2787.8670328946778</v>
      </c>
      <c r="O166" s="24">
        <f t="shared" si="121"/>
        <v>4938.4793337446008</v>
      </c>
      <c r="P166" s="1">
        <f t="shared" si="118"/>
        <v>2023168.1052428612</v>
      </c>
      <c r="Q166">
        <f t="shared" si="119"/>
        <v>1422.3811392319785</v>
      </c>
      <c r="R166" s="1">
        <f t="shared" si="120"/>
        <v>2787.8670328946778</v>
      </c>
    </row>
    <row r="167" spans="1:18" hidden="1" x14ac:dyDescent="0.25">
      <c r="A167" t="s">
        <v>81</v>
      </c>
      <c r="B167">
        <v>2013</v>
      </c>
      <c r="C167" t="s">
        <v>50</v>
      </c>
      <c r="D167" s="13">
        <v>9965</v>
      </c>
      <c r="E167" s="1">
        <v>5313</v>
      </c>
      <c r="F167" s="1">
        <v>736780.25336436427</v>
      </c>
      <c r="G167" s="1">
        <v>4599</v>
      </c>
      <c r="H167" s="1">
        <v>801374.23235635646</v>
      </c>
      <c r="I167">
        <f t="shared" si="124"/>
        <v>0.53601694915254239</v>
      </c>
      <c r="J167">
        <f t="shared" si="125"/>
        <v>3.957957805243259E-3</v>
      </c>
      <c r="K167" s="13">
        <f t="shared" si="117"/>
        <v>18590.830039525692</v>
      </c>
      <c r="L167" s="1">
        <f t="shared" si="146"/>
        <v>4761147.9363994701</v>
      </c>
      <c r="M167">
        <f t="shared" si="127"/>
        <v>2182.0054849609041</v>
      </c>
      <c r="N167" s="1">
        <f t="shared" si="128"/>
        <v>4276.7307505233721</v>
      </c>
      <c r="O167" s="24">
        <f t="shared" si="121"/>
        <v>8625.830039525692</v>
      </c>
      <c r="P167" s="1">
        <f t="shared" si="118"/>
        <v>4761147.9363994701</v>
      </c>
      <c r="Q167">
        <f t="shared" si="119"/>
        <v>2182.0054849609041</v>
      </c>
      <c r="R167" s="1">
        <f t="shared" si="120"/>
        <v>4276.7307505233721</v>
      </c>
    </row>
    <row r="168" spans="1:18" hidden="1" x14ac:dyDescent="0.25">
      <c r="A168" t="s">
        <v>81</v>
      </c>
      <c r="B168">
        <v>2014</v>
      </c>
      <c r="C168" t="s">
        <v>50</v>
      </c>
      <c r="D168" s="13">
        <v>11896</v>
      </c>
      <c r="E168" s="1">
        <v>14189</v>
      </c>
      <c r="F168" s="1">
        <v>3624990.0104104094</v>
      </c>
      <c r="G168" s="1">
        <v>6454</v>
      </c>
      <c r="H168" s="1">
        <v>1573411.5406566611</v>
      </c>
      <c r="I168">
        <f>E168/(E168+G168)</f>
        <v>0.68735164462529674</v>
      </c>
      <c r="J168">
        <f t="shared" si="125"/>
        <v>2.5759559707076319E-3</v>
      </c>
      <c r="K168" s="13">
        <f t="shared" si="117"/>
        <v>17307.007400098668</v>
      </c>
      <c r="L168" s="1">
        <f t="shared" si="146"/>
        <v>1633143.8585763292</v>
      </c>
      <c r="M168">
        <f t="shared" si="127"/>
        <v>1277.9451704108158</v>
      </c>
      <c r="N168" s="1">
        <f t="shared" si="128"/>
        <v>2504.7725340051988</v>
      </c>
      <c r="O168" s="24">
        <f t="shared" si="121"/>
        <v>5411.0074000986679</v>
      </c>
      <c r="P168" s="1">
        <f t="shared" si="118"/>
        <v>1633143.8585763292</v>
      </c>
      <c r="Q168">
        <f t="shared" si="119"/>
        <v>1277.9451704108158</v>
      </c>
      <c r="R168" s="1">
        <f t="shared" si="120"/>
        <v>2504.7725340051988</v>
      </c>
    </row>
    <row r="169" spans="1:18" hidden="1" x14ac:dyDescent="0.25">
      <c r="A169" t="s">
        <v>81</v>
      </c>
      <c r="B169">
        <v>2015</v>
      </c>
      <c r="C169" t="s">
        <v>50</v>
      </c>
      <c r="D169" s="13">
        <v>12377</v>
      </c>
      <c r="E169" s="1">
        <v>8808</v>
      </c>
      <c r="F169" s="1">
        <v>1555658.3352462491</v>
      </c>
      <c r="G169" s="1">
        <v>7669</v>
      </c>
      <c r="H169" s="1">
        <v>3940924.0648558754</v>
      </c>
      <c r="I169">
        <f t="shared" si="124"/>
        <v>0.53456333070340478</v>
      </c>
      <c r="J169">
        <f t="shared" si="125"/>
        <v>5.3893198139838491E-3</v>
      </c>
      <c r="K169" s="13">
        <f t="shared" si="117"/>
        <v>23153.477406902814</v>
      </c>
      <c r="L169" s="1">
        <f t="shared" si="146"/>
        <v>10110394.020791385</v>
      </c>
      <c r="M169">
        <f t="shared" si="127"/>
        <v>3179.6845788208907</v>
      </c>
      <c r="N169" s="1">
        <f t="shared" si="128"/>
        <v>6232.1817744889458</v>
      </c>
      <c r="O169" s="24">
        <f t="shared" si="121"/>
        <v>10776.477406902814</v>
      </c>
      <c r="P169" s="1">
        <f t="shared" si="118"/>
        <v>10110394.020791385</v>
      </c>
      <c r="Q169">
        <f t="shared" si="119"/>
        <v>3179.6845788208907</v>
      </c>
      <c r="R169" s="1">
        <f t="shared" si="120"/>
        <v>6232.1817744889458</v>
      </c>
    </row>
    <row r="170" spans="1:18" hidden="1" x14ac:dyDescent="0.25">
      <c r="A170" t="s">
        <v>81</v>
      </c>
      <c r="B170">
        <v>2016</v>
      </c>
      <c r="C170" t="s">
        <v>50</v>
      </c>
      <c r="D170" s="13">
        <v>13580</v>
      </c>
      <c r="E170" s="1">
        <v>7013</v>
      </c>
      <c r="F170" s="1">
        <v>1611474.156360368</v>
      </c>
      <c r="G170" s="1">
        <v>7306</v>
      </c>
      <c r="H170" s="1">
        <v>4275790.6274024071</v>
      </c>
      <c r="I170">
        <f t="shared" si="124"/>
        <v>0.48976883860604792</v>
      </c>
      <c r="J170">
        <f t="shared" si="125"/>
        <v>7.0484655615102388E-3</v>
      </c>
      <c r="K170" s="13">
        <f t="shared" si="117"/>
        <v>27727.366319691999</v>
      </c>
      <c r="L170" s="1">
        <f t="shared" si="146"/>
        <v>22590691.391820997</v>
      </c>
      <c r="M170">
        <f t="shared" si="127"/>
        <v>4752.9665885445693</v>
      </c>
      <c r="N170" s="1">
        <f t="shared" si="128"/>
        <v>9315.8145135473551</v>
      </c>
      <c r="O170" s="24">
        <f t="shared" si="121"/>
        <v>14147.366319691999</v>
      </c>
      <c r="P170" s="1">
        <f t="shared" si="118"/>
        <v>22590691.391820997</v>
      </c>
      <c r="Q170">
        <f t="shared" si="119"/>
        <v>4752.9665885445693</v>
      </c>
      <c r="R170" s="1">
        <f t="shared" si="120"/>
        <v>9315.8145135473551</v>
      </c>
    </row>
    <row r="171" spans="1:18" hidden="1" x14ac:dyDescent="0.25">
      <c r="A171" t="s">
        <v>81</v>
      </c>
      <c r="B171">
        <v>2017</v>
      </c>
      <c r="C171" t="s">
        <v>50</v>
      </c>
      <c r="D171" s="13">
        <v>6719</v>
      </c>
      <c r="E171" s="1">
        <v>8635</v>
      </c>
      <c r="F171" s="1">
        <v>2065818.5137577469</v>
      </c>
      <c r="G171" s="1">
        <v>4830</v>
      </c>
      <c r="H171" s="1">
        <v>1064464.5500660685</v>
      </c>
      <c r="I171">
        <f t="shared" si="124"/>
        <v>0.64129223913850719</v>
      </c>
      <c r="J171">
        <f t="shared" si="125"/>
        <v>3.8806092747841916E-3</v>
      </c>
      <c r="K171" s="13">
        <f t="shared" si="117"/>
        <v>10477.282570932253</v>
      </c>
      <c r="L171" s="1">
        <f t="shared" si="146"/>
        <v>1035822.3149322054</v>
      </c>
      <c r="M171">
        <f t="shared" si="127"/>
        <v>1017.7535629670895</v>
      </c>
      <c r="N171" s="1">
        <f t="shared" si="128"/>
        <v>1994.7969834154953</v>
      </c>
      <c r="O171" s="24">
        <f t="shared" si="121"/>
        <v>3758.2825709322533</v>
      </c>
      <c r="P171" s="1">
        <f t="shared" si="118"/>
        <v>1035822.3149322054</v>
      </c>
      <c r="Q171">
        <f t="shared" si="119"/>
        <v>1017.7535629670895</v>
      </c>
      <c r="R171" s="1">
        <f t="shared" si="120"/>
        <v>1994.7969834154953</v>
      </c>
    </row>
    <row r="172" spans="1:18" hidden="1" x14ac:dyDescent="0.25">
      <c r="A172" t="s">
        <v>81</v>
      </c>
      <c r="B172">
        <v>2018</v>
      </c>
      <c r="C172" t="s">
        <v>50</v>
      </c>
      <c r="D172" s="13">
        <v>8479</v>
      </c>
      <c r="E172" s="1">
        <v>6486</v>
      </c>
      <c r="F172" s="1">
        <v>1145866.3617056981</v>
      </c>
      <c r="G172" s="1">
        <v>6648</v>
      </c>
      <c r="H172" s="1">
        <v>2360229.3893053131</v>
      </c>
      <c r="I172">
        <f t="shared" si="124"/>
        <v>0.49383280036546368</v>
      </c>
      <c r="J172">
        <f t="shared" si="125"/>
        <v>5.0385983484752166E-3</v>
      </c>
      <c r="K172" s="13">
        <f t="shared" si="117"/>
        <v>17169.778908418131</v>
      </c>
      <c r="L172" s="1">
        <f t="shared" si="146"/>
        <v>6090869.3085533688</v>
      </c>
      <c r="M172">
        <f t="shared" si="127"/>
        <v>2467.9686603669361</v>
      </c>
      <c r="N172" s="1">
        <f t="shared" si="128"/>
        <v>4837.2185743191949</v>
      </c>
      <c r="O172" s="24">
        <f t="shared" si="121"/>
        <v>8690.7789084181313</v>
      </c>
      <c r="P172" s="1">
        <f t="shared" si="118"/>
        <v>6090869.3085533688</v>
      </c>
      <c r="Q172">
        <f t="shared" si="119"/>
        <v>2467.9686603669361</v>
      </c>
      <c r="R172" s="1">
        <f t="shared" si="120"/>
        <v>4837.2185743191949</v>
      </c>
    </row>
    <row r="173" spans="1:18" hidden="1" x14ac:dyDescent="0.25">
      <c r="A173" t="s">
        <v>81</v>
      </c>
      <c r="B173">
        <v>2019</v>
      </c>
      <c r="C173" t="s">
        <v>50</v>
      </c>
      <c r="D173" s="13">
        <v>9881</v>
      </c>
      <c r="E173" s="1">
        <v>7481</v>
      </c>
      <c r="F173" s="1">
        <v>975394.6246156171</v>
      </c>
      <c r="G173" s="1">
        <v>7801</v>
      </c>
      <c r="H173" s="1">
        <v>1822654.7817257144</v>
      </c>
      <c r="I173">
        <f t="shared" si="124"/>
        <v>0.48953016620861145</v>
      </c>
      <c r="J173">
        <f t="shared" si="125"/>
        <v>2.9585929682643991E-3</v>
      </c>
      <c r="K173" s="13">
        <f t="shared" si="117"/>
        <v>20184.660072182862</v>
      </c>
      <c r="L173" s="1">
        <f>(D173^2)*J173*(1/(I173^4))</f>
        <v>5030013.8598571327</v>
      </c>
      <c r="M173">
        <f>SQRT(L173)</f>
        <v>2242.7692391008782</v>
      </c>
      <c r="N173" s="1">
        <f>(1.96*M173)</f>
        <v>4395.8277086377211</v>
      </c>
      <c r="O173" s="24">
        <f t="shared" si="121"/>
        <v>10303.660072182862</v>
      </c>
      <c r="P173" s="1">
        <f>L173</f>
        <v>5030013.8598571327</v>
      </c>
      <c r="Q173">
        <f>SQRT(P173)</f>
        <v>2242.7692391008782</v>
      </c>
      <c r="R173" s="1">
        <f>(1.96*Q173)</f>
        <v>4395.8277086377211</v>
      </c>
    </row>
    <row r="174" spans="1:18" hidden="1" x14ac:dyDescent="0.25">
      <c r="A174" t="s">
        <v>81</v>
      </c>
      <c r="B174">
        <v>2020</v>
      </c>
      <c r="C174" t="s">
        <v>50</v>
      </c>
      <c r="D174" s="13">
        <v>4479</v>
      </c>
      <c r="E174" s="1">
        <v>2696</v>
      </c>
      <c r="F174" s="1">
        <v>281022.69369269308</v>
      </c>
      <c r="G174" s="1">
        <v>3266</v>
      </c>
      <c r="H174" s="1">
        <v>545052.47342442453</v>
      </c>
      <c r="I174">
        <f t="shared" ref="I174:I176" si="147">E174/(E174+G174)</f>
        <v>0.4521972492452197</v>
      </c>
      <c r="J174">
        <f t="shared" ref="J174:J176" si="148">((((E174)^2*H174)+((G174)^2*F174))/(E174+G174)^4)</f>
        <v>5.5080225992613554E-3</v>
      </c>
      <c r="K174" s="13">
        <f t="shared" ref="K174:K176" si="149">D174/I174</f>
        <v>9904.9695845697333</v>
      </c>
      <c r="L174" s="1">
        <f t="shared" ref="L174:L175" si="150">(D174^2)*J174*(1/(I174^4))</f>
        <v>2642689.7102351333</v>
      </c>
      <c r="M174">
        <f t="shared" ref="M174:M175" si="151">SQRT(L174)</f>
        <v>1625.6351713207773</v>
      </c>
      <c r="N174" s="1">
        <f t="shared" ref="N174:N175" si="152">(1.96*M174)</f>
        <v>3186.2449357887235</v>
      </c>
      <c r="O174" s="24">
        <f t="shared" ref="O174:O175" si="153">K174-D174</f>
        <v>5425.9695845697333</v>
      </c>
      <c r="P174" s="1">
        <f t="shared" ref="P174:P175" si="154">L174</f>
        <v>2642689.7102351333</v>
      </c>
      <c r="Q174">
        <f t="shared" ref="Q174:Q175" si="155">SQRT(P174)</f>
        <v>1625.6351713207773</v>
      </c>
      <c r="R174" s="1">
        <f t="shared" ref="R174:R175" si="156">(1.96*Q174)</f>
        <v>3186.2449357887235</v>
      </c>
    </row>
    <row r="175" spans="1:18" hidden="1" x14ac:dyDescent="0.25">
      <c r="A175" t="s">
        <v>81</v>
      </c>
      <c r="B175">
        <v>2021</v>
      </c>
      <c r="C175" t="s">
        <v>50</v>
      </c>
      <c r="D175" s="13">
        <v>9680</v>
      </c>
      <c r="E175" s="1">
        <v>9479</v>
      </c>
      <c r="F175" s="1">
        <v>1897417.6877187195</v>
      </c>
      <c r="G175" s="1">
        <v>6779</v>
      </c>
      <c r="H175" s="1">
        <v>1586677.904688698</v>
      </c>
      <c r="I175">
        <f t="shared" si="147"/>
        <v>0.58303604379382457</v>
      </c>
      <c r="J175">
        <f t="shared" si="148"/>
        <v>3.2885731284598768E-3</v>
      </c>
      <c r="K175" s="13">
        <f t="shared" si="149"/>
        <v>16602.747125224181</v>
      </c>
      <c r="L175" s="1">
        <f t="shared" si="150"/>
        <v>2666714.9901529583</v>
      </c>
      <c r="M175">
        <f t="shared" si="151"/>
        <v>1633.007957773923</v>
      </c>
      <c r="N175" s="1">
        <f t="shared" si="152"/>
        <v>3200.6955972368887</v>
      </c>
      <c r="O175" s="24">
        <f t="shared" si="153"/>
        <v>6922.7471252241812</v>
      </c>
      <c r="P175" s="1">
        <f t="shared" si="154"/>
        <v>2666714.9901529583</v>
      </c>
      <c r="Q175">
        <f t="shared" si="155"/>
        <v>1633.007957773923</v>
      </c>
      <c r="R175" s="1">
        <f t="shared" si="156"/>
        <v>3200.6955972368887</v>
      </c>
    </row>
    <row r="176" spans="1:18" s="51" customFormat="1" hidden="1" x14ac:dyDescent="0.25">
      <c r="A176" s="51" t="s">
        <v>81</v>
      </c>
      <c r="B176" s="51">
        <v>2022</v>
      </c>
      <c r="C176" s="51" t="s">
        <v>50</v>
      </c>
      <c r="D176" s="71">
        <v>10973</v>
      </c>
      <c r="E176" s="72">
        <v>9783</v>
      </c>
      <c r="F176" s="72">
        <f>1385^2</f>
        <v>1918225</v>
      </c>
      <c r="G176" s="72">
        <v>3133</v>
      </c>
      <c r="H176" s="72">
        <f>801^2</f>
        <v>641601</v>
      </c>
      <c r="I176" s="51">
        <f t="shared" si="147"/>
        <v>0.75743264168473212</v>
      </c>
      <c r="J176">
        <f t="shared" si="148"/>
        <v>2.8830276697592431E-3</v>
      </c>
      <c r="K176" s="71">
        <f t="shared" si="149"/>
        <v>14487.096800572421</v>
      </c>
      <c r="L176" s="1">
        <f t="shared" ref="L176" si="157">(D176^2)*J176*(1/(I176^4))</f>
        <v>1054686.774762708</v>
      </c>
      <c r="M176">
        <f t="shared" ref="M176" si="158">SQRT(L176)</f>
        <v>1026.9794422298373</v>
      </c>
      <c r="N176" s="1">
        <f t="shared" ref="N176" si="159">(1.96*M176)</f>
        <v>2012.8797067704811</v>
      </c>
      <c r="O176" s="24">
        <f t="shared" ref="O176" si="160">K176-D176</f>
        <v>3514.0968005724208</v>
      </c>
      <c r="P176" s="1">
        <f t="shared" ref="P176" si="161">L176</f>
        <v>1054686.774762708</v>
      </c>
      <c r="Q176">
        <f t="shared" ref="Q176" si="162">SQRT(P176)</f>
        <v>1026.9794422298373</v>
      </c>
      <c r="R176" s="1">
        <f t="shared" ref="R176" si="163">(1.96*Q176)</f>
        <v>2012.8797067704811</v>
      </c>
    </row>
    <row r="177" spans="1:18" hidden="1" x14ac:dyDescent="0.25">
      <c r="A177" t="s">
        <v>81</v>
      </c>
      <c r="B177">
        <v>1998</v>
      </c>
      <c r="C177" t="s">
        <v>51</v>
      </c>
      <c r="D177" s="13">
        <v>3821</v>
      </c>
      <c r="E177" s="1"/>
      <c r="F177" s="1"/>
      <c r="G177" s="1"/>
      <c r="H177" s="1"/>
      <c r="I177" s="21">
        <f>AVERAGE(I190:I197)</f>
        <v>0.28117596290133401</v>
      </c>
      <c r="J177" s="21">
        <v>3.7484781746451919E-3</v>
      </c>
      <c r="K177" s="13">
        <f t="shared" si="117"/>
        <v>13589.355080614794</v>
      </c>
      <c r="L177" s="1">
        <f t="shared" si="146"/>
        <v>8755809.3695013113</v>
      </c>
      <c r="M177">
        <f t="shared" si="127"/>
        <v>2959.0216912860424</v>
      </c>
      <c r="N177" s="1">
        <f t="shared" si="128"/>
        <v>5799.6825149206434</v>
      </c>
      <c r="O177" s="24">
        <f t="shared" si="121"/>
        <v>9768.3550806147941</v>
      </c>
      <c r="P177" s="1">
        <f t="shared" si="118"/>
        <v>8755809.3695013113</v>
      </c>
      <c r="Q177">
        <f t="shared" si="119"/>
        <v>2959.0216912860424</v>
      </c>
      <c r="R177" s="1">
        <f t="shared" si="120"/>
        <v>5799.6825149206434</v>
      </c>
    </row>
    <row r="178" spans="1:18" hidden="1" x14ac:dyDescent="0.25">
      <c r="A178" t="s">
        <v>81</v>
      </c>
      <c r="B178">
        <v>1999</v>
      </c>
      <c r="C178" t="s">
        <v>51</v>
      </c>
      <c r="D178" s="13">
        <v>4514</v>
      </c>
      <c r="E178" s="1"/>
      <c r="F178" s="1"/>
      <c r="G178" s="1"/>
      <c r="H178" s="1"/>
      <c r="I178" s="21">
        <v>0.28117596290133401</v>
      </c>
      <c r="J178" s="21">
        <v>3.7484781746451919E-3</v>
      </c>
      <c r="K178" s="13">
        <f t="shared" si="117"/>
        <v>16054.003882202349</v>
      </c>
      <c r="L178" s="1">
        <f t="shared" si="146"/>
        <v>12219834.714956973</v>
      </c>
      <c r="M178">
        <f t="shared" si="127"/>
        <v>3495.688017394712</v>
      </c>
      <c r="N178" s="1">
        <f t="shared" si="128"/>
        <v>6851.5485140936353</v>
      </c>
      <c r="O178" s="24">
        <f t="shared" si="121"/>
        <v>11540.003882202349</v>
      </c>
      <c r="P178" s="1">
        <f t="shared" si="118"/>
        <v>12219834.714956973</v>
      </c>
      <c r="Q178">
        <f t="shared" si="119"/>
        <v>3495.688017394712</v>
      </c>
      <c r="R178" s="1">
        <f t="shared" si="120"/>
        <v>6851.5485140936353</v>
      </c>
    </row>
    <row r="179" spans="1:18" hidden="1" x14ac:dyDescent="0.25">
      <c r="A179" t="s">
        <v>81</v>
      </c>
      <c r="B179">
        <v>2000</v>
      </c>
      <c r="C179" t="s">
        <v>51</v>
      </c>
      <c r="D179" s="13">
        <v>6011</v>
      </c>
      <c r="E179" s="1"/>
      <c r="F179" s="1"/>
      <c r="G179" s="1"/>
      <c r="H179" s="1"/>
      <c r="I179" s="21">
        <v>0.28117596290133401</v>
      </c>
      <c r="J179" s="21">
        <v>3.7484781746451919E-3</v>
      </c>
      <c r="K179" s="13">
        <f t="shared" si="117"/>
        <v>21378.072072644733</v>
      </c>
      <c r="L179" s="1">
        <f t="shared" si="146"/>
        <v>21668840.765019432</v>
      </c>
      <c r="M179">
        <f t="shared" si="127"/>
        <v>4654.9802110233968</v>
      </c>
      <c r="N179" s="1">
        <f t="shared" si="128"/>
        <v>9123.7612136058578</v>
      </c>
      <c r="O179" s="24">
        <f t="shared" si="121"/>
        <v>15367.072072644733</v>
      </c>
      <c r="P179" s="1">
        <f t="shared" si="118"/>
        <v>21668840.765019432</v>
      </c>
      <c r="Q179">
        <f t="shared" si="119"/>
        <v>4654.9802110233968</v>
      </c>
      <c r="R179" s="1">
        <f t="shared" si="120"/>
        <v>9123.7612136058578</v>
      </c>
    </row>
    <row r="180" spans="1:18" hidden="1" x14ac:dyDescent="0.25">
      <c r="A180" t="s">
        <v>81</v>
      </c>
      <c r="B180">
        <v>2001</v>
      </c>
      <c r="C180" t="s">
        <v>51</v>
      </c>
      <c r="D180" s="13">
        <v>7036</v>
      </c>
      <c r="E180" s="1"/>
      <c r="F180" s="1"/>
      <c r="G180" s="1"/>
      <c r="H180" s="1"/>
      <c r="I180" s="21">
        <v>0.28117596290133401</v>
      </c>
      <c r="J180" s="21">
        <v>3.7484781746451919E-3</v>
      </c>
      <c r="K180" s="13">
        <f t="shared" si="117"/>
        <v>25023.476144256918</v>
      </c>
      <c r="L180" s="1">
        <f t="shared" si="146"/>
        <v>29688884.747428846</v>
      </c>
      <c r="M180">
        <f t="shared" si="127"/>
        <v>5448.7507510831183</v>
      </c>
      <c r="N180" s="1">
        <f t="shared" si="128"/>
        <v>10679.551472122912</v>
      </c>
      <c r="O180" s="24">
        <f t="shared" si="121"/>
        <v>17987.476144256918</v>
      </c>
      <c r="P180" s="1">
        <f t="shared" si="118"/>
        <v>29688884.747428846</v>
      </c>
      <c r="Q180">
        <f t="shared" si="119"/>
        <v>5448.7507510831183</v>
      </c>
      <c r="R180" s="1">
        <f t="shared" si="120"/>
        <v>10679.551472122912</v>
      </c>
    </row>
    <row r="181" spans="1:18" hidden="1" x14ac:dyDescent="0.25">
      <c r="A181" t="s">
        <v>81</v>
      </c>
      <c r="B181">
        <v>2002</v>
      </c>
      <c r="C181" t="s">
        <v>51</v>
      </c>
      <c r="D181" s="13">
        <v>7398</v>
      </c>
      <c r="E181" s="1"/>
      <c r="F181" s="1"/>
      <c r="G181" s="1"/>
      <c r="H181" s="1"/>
      <c r="I181" s="21">
        <v>0.28117596290133401</v>
      </c>
      <c r="J181" s="21">
        <v>3.7484781746451919E-3</v>
      </c>
      <c r="K181" s="13">
        <f t="shared" ref="K181:K223" si="164">D181/I181</f>
        <v>26310.926167597027</v>
      </c>
      <c r="L181" s="1">
        <f t="shared" si="146"/>
        <v>32822440.987651471</v>
      </c>
      <c r="M181">
        <f t="shared" si="127"/>
        <v>5729.0872735237217</v>
      </c>
      <c r="N181" s="1">
        <f t="shared" si="128"/>
        <v>11229.011056106494</v>
      </c>
      <c r="O181" s="24">
        <f t="shared" si="121"/>
        <v>18912.926167597027</v>
      </c>
      <c r="P181" s="1">
        <f t="shared" ref="P181:P222" si="165">L181</f>
        <v>32822440.987651471</v>
      </c>
      <c r="Q181">
        <f t="shared" ref="Q181:Q222" si="166">SQRT(P181)</f>
        <v>5729.0872735237217</v>
      </c>
      <c r="R181" s="1">
        <f t="shared" ref="R181:R222" si="167">(1.96*Q181)</f>
        <v>11229.011056106494</v>
      </c>
    </row>
    <row r="182" spans="1:18" hidden="1" x14ac:dyDescent="0.25">
      <c r="A182" t="s">
        <v>81</v>
      </c>
      <c r="B182">
        <v>2003</v>
      </c>
      <c r="C182" t="s">
        <v>51</v>
      </c>
      <c r="D182" s="13">
        <v>11932</v>
      </c>
      <c r="E182" s="1"/>
      <c r="F182" s="1"/>
      <c r="G182" s="1"/>
      <c r="H182" s="1"/>
      <c r="I182" s="21">
        <v>0.28117596290133401</v>
      </c>
      <c r="J182" s="21">
        <v>3.7484781746451919E-3</v>
      </c>
      <c r="K182" s="13">
        <f t="shared" si="164"/>
        <v>42436.059885343027</v>
      </c>
      <c r="L182" s="1">
        <f t="shared" si="146"/>
        <v>85382469.486194402</v>
      </c>
      <c r="M182">
        <f t="shared" si="127"/>
        <v>9240.2634965781363</v>
      </c>
      <c r="N182" s="1">
        <f t="shared" si="128"/>
        <v>18110.916453293146</v>
      </c>
      <c r="O182" s="24">
        <f t="shared" si="121"/>
        <v>30504.059885343027</v>
      </c>
      <c r="P182" s="1">
        <f t="shared" si="165"/>
        <v>85382469.486194402</v>
      </c>
      <c r="Q182">
        <f t="shared" si="166"/>
        <v>9240.2634965781363</v>
      </c>
      <c r="R182" s="1">
        <f t="shared" si="167"/>
        <v>18110.916453293146</v>
      </c>
    </row>
    <row r="183" spans="1:18" hidden="1" x14ac:dyDescent="0.25">
      <c r="A183" t="s">
        <v>81</v>
      </c>
      <c r="B183">
        <v>2004</v>
      </c>
      <c r="C183" t="s">
        <v>51</v>
      </c>
      <c r="D183" s="13">
        <v>10310</v>
      </c>
      <c r="E183" s="1"/>
      <c r="F183" s="1"/>
      <c r="G183" s="1"/>
      <c r="H183" s="1"/>
      <c r="I183" s="21">
        <v>0.28117596290133401</v>
      </c>
      <c r="J183" s="21">
        <v>3.7484781746451919E-3</v>
      </c>
      <c r="K183" s="13">
        <f t="shared" si="164"/>
        <v>36667.430222752817</v>
      </c>
      <c r="L183" s="1">
        <f t="shared" si="146"/>
        <v>63746970.869564563</v>
      </c>
      <c r="M183">
        <f t="shared" si="127"/>
        <v>7984.1700175763144</v>
      </c>
      <c r="N183" s="1">
        <f t="shared" si="128"/>
        <v>15648.973234449575</v>
      </c>
      <c r="O183" s="24">
        <f t="shared" si="121"/>
        <v>26357.430222752817</v>
      </c>
      <c r="P183" s="1">
        <f t="shared" si="165"/>
        <v>63746970.869564563</v>
      </c>
      <c r="Q183">
        <f t="shared" si="166"/>
        <v>7984.1700175763144</v>
      </c>
      <c r="R183" s="1">
        <f t="shared" si="167"/>
        <v>15648.973234449575</v>
      </c>
    </row>
    <row r="184" spans="1:18" hidden="1" x14ac:dyDescent="0.25">
      <c r="A184" t="s">
        <v>81</v>
      </c>
      <c r="B184">
        <v>2005</v>
      </c>
      <c r="C184" t="s">
        <v>51</v>
      </c>
      <c r="D184" s="13">
        <v>10930</v>
      </c>
      <c r="E184" s="1"/>
      <c r="F184" s="1"/>
      <c r="G184" s="1"/>
      <c r="H184" s="1"/>
      <c r="I184" s="21">
        <v>0.28117596290133401</v>
      </c>
      <c r="J184" s="21">
        <v>3.7484781746451919E-3</v>
      </c>
      <c r="K184" s="13">
        <f t="shared" si="164"/>
        <v>38872.455124606044</v>
      </c>
      <c r="L184" s="1">
        <f t="shared" si="146"/>
        <v>71644448.857817397</v>
      </c>
      <c r="M184">
        <f t="shared" si="127"/>
        <v>8464.3043930270724</v>
      </c>
      <c r="N184" s="1">
        <f t="shared" si="128"/>
        <v>16590.03661033306</v>
      </c>
      <c r="O184" s="24">
        <f t="shared" si="121"/>
        <v>27942.455124606044</v>
      </c>
      <c r="P184" s="1">
        <f t="shared" si="165"/>
        <v>71644448.857817397</v>
      </c>
      <c r="Q184">
        <f t="shared" si="166"/>
        <v>8464.3043930270724</v>
      </c>
      <c r="R184" s="1">
        <f t="shared" si="167"/>
        <v>16590.03661033306</v>
      </c>
    </row>
    <row r="185" spans="1:18" hidden="1" x14ac:dyDescent="0.25">
      <c r="A185" t="s">
        <v>81</v>
      </c>
      <c r="B185">
        <v>2006</v>
      </c>
      <c r="C185" t="s">
        <v>51</v>
      </c>
      <c r="D185" s="13">
        <v>7578</v>
      </c>
      <c r="E185" s="1"/>
      <c r="F185" s="1"/>
      <c r="G185" s="1"/>
      <c r="H185" s="1"/>
      <c r="I185" s="21">
        <v>0.28117596290133401</v>
      </c>
      <c r="J185" s="21">
        <v>3.7484781746451919E-3</v>
      </c>
      <c r="K185" s="13">
        <f t="shared" si="164"/>
        <v>26951.094687489898</v>
      </c>
      <c r="L185" s="1">
        <f t="shared" si="146"/>
        <v>34439070.708155498</v>
      </c>
      <c r="M185">
        <f t="shared" si="127"/>
        <v>5868.4811244610391</v>
      </c>
      <c r="N185" s="1">
        <f t="shared" si="128"/>
        <v>11502.223003943636</v>
      </c>
      <c r="O185" s="24">
        <f t="shared" si="121"/>
        <v>19373.094687489898</v>
      </c>
      <c r="P185" s="1">
        <f t="shared" si="165"/>
        <v>34439070.708155498</v>
      </c>
      <c r="Q185">
        <f t="shared" si="166"/>
        <v>5868.4811244610391</v>
      </c>
      <c r="R185" s="1">
        <f t="shared" si="167"/>
        <v>11502.223003943636</v>
      </c>
    </row>
    <row r="186" spans="1:18" hidden="1" x14ac:dyDescent="0.25">
      <c r="A186" t="s">
        <v>81</v>
      </c>
      <c r="B186">
        <v>2007</v>
      </c>
      <c r="C186" t="s">
        <v>51</v>
      </c>
      <c r="D186" s="13">
        <v>12404</v>
      </c>
      <c r="E186" s="1"/>
      <c r="F186" s="1"/>
      <c r="G186" s="1"/>
      <c r="H186" s="1"/>
      <c r="I186" s="21">
        <v>0.28117596290133401</v>
      </c>
      <c r="J186" s="21">
        <v>3.7484781746451919E-3</v>
      </c>
      <c r="K186" s="13">
        <f t="shared" si="164"/>
        <v>44114.724004173229</v>
      </c>
      <c r="L186" s="1">
        <f t="shared" si="146"/>
        <v>92271108.350786552</v>
      </c>
      <c r="M186">
        <f t="shared" si="127"/>
        <v>9605.7851501470996</v>
      </c>
      <c r="N186" s="1">
        <f t="shared" si="128"/>
        <v>18827.338894288314</v>
      </c>
      <c r="O186" s="24">
        <f t="shared" si="121"/>
        <v>31710.724004173229</v>
      </c>
      <c r="P186" s="1">
        <f t="shared" si="165"/>
        <v>92271108.350786552</v>
      </c>
      <c r="Q186">
        <f t="shared" si="166"/>
        <v>9605.7851501470996</v>
      </c>
      <c r="R186" s="1">
        <f t="shared" si="167"/>
        <v>18827.338894288314</v>
      </c>
    </row>
    <row r="187" spans="1:18" hidden="1" x14ac:dyDescent="0.25">
      <c r="A187" t="s">
        <v>81</v>
      </c>
      <c r="B187">
        <v>2008</v>
      </c>
      <c r="C187" t="s">
        <v>51</v>
      </c>
      <c r="D187" s="13">
        <v>9522</v>
      </c>
      <c r="E187" s="1"/>
      <c r="F187" s="1"/>
      <c r="G187" s="1"/>
      <c r="H187" s="1"/>
      <c r="I187" s="21">
        <v>0.28117596290133401</v>
      </c>
      <c r="J187" s="21">
        <v>3.7484781746451919E-3</v>
      </c>
      <c r="K187" s="13">
        <f t="shared" si="164"/>
        <v>33864.914702332913</v>
      </c>
      <c r="L187" s="1">
        <f t="shared" si="146"/>
        <v>54374913.17494791</v>
      </c>
      <c r="M187">
        <f t="shared" si="127"/>
        <v>7373.9347145840602</v>
      </c>
      <c r="N187" s="1">
        <f t="shared" si="128"/>
        <v>14452.912040584757</v>
      </c>
      <c r="O187" s="24">
        <f t="shared" si="121"/>
        <v>24342.914702332913</v>
      </c>
      <c r="P187" s="1">
        <f t="shared" si="165"/>
        <v>54374913.17494791</v>
      </c>
      <c r="Q187">
        <f t="shared" si="166"/>
        <v>7373.9347145840602</v>
      </c>
      <c r="R187" s="1">
        <f t="shared" si="167"/>
        <v>14452.912040584757</v>
      </c>
    </row>
    <row r="188" spans="1:18" hidden="1" x14ac:dyDescent="0.25">
      <c r="A188" t="s">
        <v>81</v>
      </c>
      <c r="B188">
        <v>2009</v>
      </c>
      <c r="C188" t="s">
        <v>51</v>
      </c>
      <c r="D188" s="13">
        <v>8197</v>
      </c>
      <c r="E188" s="1"/>
      <c r="F188" s="1"/>
      <c r="G188" s="1"/>
      <c r="H188" s="1"/>
      <c r="I188" s="21">
        <v>0.28117596290133401</v>
      </c>
      <c r="J188" s="21">
        <v>3.7484781746451919E-3</v>
      </c>
      <c r="K188" s="13">
        <f t="shared" si="164"/>
        <v>29152.563097565941</v>
      </c>
      <c r="L188" s="1">
        <f t="shared" si="146"/>
        <v>40295086.4991799</v>
      </c>
      <c r="M188">
        <f t="shared" si="127"/>
        <v>6347.8410896288115</v>
      </c>
      <c r="N188" s="1">
        <f t="shared" si="128"/>
        <v>12441.768535672471</v>
      </c>
      <c r="O188" s="24">
        <f t="shared" si="121"/>
        <v>20955.563097565941</v>
      </c>
      <c r="P188" s="1">
        <f t="shared" si="165"/>
        <v>40295086.4991799</v>
      </c>
      <c r="Q188">
        <f t="shared" si="166"/>
        <v>6347.8410896288115</v>
      </c>
      <c r="R188" s="1">
        <f t="shared" si="167"/>
        <v>12441.768535672471</v>
      </c>
    </row>
    <row r="189" spans="1:18" hidden="1" x14ac:dyDescent="0.25">
      <c r="A189" t="s">
        <v>81</v>
      </c>
      <c r="B189">
        <v>2010</v>
      </c>
      <c r="C189" t="s">
        <v>51</v>
      </c>
      <c r="D189" s="13">
        <v>11909</v>
      </c>
      <c r="E189" s="1"/>
      <c r="F189" s="1"/>
      <c r="G189" s="1"/>
      <c r="H189" s="1"/>
      <c r="I189" s="21">
        <v>0.28117596290133401</v>
      </c>
      <c r="J189" s="21">
        <v>3.7484781746451919E-3</v>
      </c>
      <c r="K189" s="13">
        <f t="shared" si="164"/>
        <v>42354.260574467829</v>
      </c>
      <c r="L189" s="1">
        <f t="shared" si="146"/>
        <v>85053622.000279784</v>
      </c>
      <c r="M189">
        <f t="shared" si="127"/>
        <v>9222.4520600694796</v>
      </c>
      <c r="N189" s="1">
        <f t="shared" si="128"/>
        <v>18076.006037736181</v>
      </c>
      <c r="O189" s="24">
        <f t="shared" si="121"/>
        <v>30445.260574467829</v>
      </c>
      <c r="P189" s="1">
        <f t="shared" si="165"/>
        <v>85053622.000279784</v>
      </c>
      <c r="Q189">
        <f t="shared" si="166"/>
        <v>9222.4520600694796</v>
      </c>
      <c r="R189" s="1">
        <f t="shared" si="167"/>
        <v>18076.006037736181</v>
      </c>
    </row>
    <row r="190" spans="1:18" hidden="1" x14ac:dyDescent="0.25">
      <c r="A190" t="s">
        <v>81</v>
      </c>
      <c r="B190">
        <v>2011</v>
      </c>
      <c r="C190" t="s">
        <v>51</v>
      </c>
      <c r="D190" s="13">
        <v>11367</v>
      </c>
      <c r="E190" s="1">
        <v>3774</v>
      </c>
      <c r="F190" s="1">
        <v>242434.32982982989</v>
      </c>
      <c r="G190" s="1">
        <v>19456</v>
      </c>
      <c r="H190" s="1">
        <v>4587452.5342102023</v>
      </c>
      <c r="I190">
        <f>E190/(E190+G190)</f>
        <v>0.16246233318984071</v>
      </c>
      <c r="J190">
        <f t="shared" ref="J190:J223" si="168">((((E190)^2*H190)+((G190)^2*F190))/(E190+G190)^4)</f>
        <v>5.3951772928738536E-4</v>
      </c>
      <c r="K190" s="13">
        <f>D190/I190</f>
        <v>69966.987281399051</v>
      </c>
      <c r="L190" s="1">
        <f t="shared" ref="L190:L214" si="169">(D190^2)*J190*(1/(I190^4))</f>
        <v>100066036.13433234</v>
      </c>
      <c r="M190">
        <f t="shared" ref="M190:M239" si="170">SQRT(L190)</f>
        <v>10003.301261800143</v>
      </c>
      <c r="N190" s="1">
        <f t="shared" ref="N190:N239" si="171">(1.96*M190)</f>
        <v>19606.47047312828</v>
      </c>
      <c r="O190" s="24">
        <f t="shared" si="121"/>
        <v>58599.987281399051</v>
      </c>
      <c r="P190" s="1">
        <f t="shared" si="165"/>
        <v>100066036.13433234</v>
      </c>
      <c r="Q190">
        <f t="shared" si="166"/>
        <v>10003.301261800143</v>
      </c>
      <c r="R190" s="1">
        <f t="shared" si="167"/>
        <v>19606.47047312828</v>
      </c>
    </row>
    <row r="191" spans="1:18" hidden="1" x14ac:dyDescent="0.25">
      <c r="A191" t="s">
        <v>81</v>
      </c>
      <c r="B191">
        <v>2012</v>
      </c>
      <c r="C191" t="s">
        <v>51</v>
      </c>
      <c r="D191" s="13">
        <v>13580</v>
      </c>
      <c r="E191" s="1">
        <v>6613</v>
      </c>
      <c r="F191" s="1">
        <v>843123.71126226336</v>
      </c>
      <c r="G191" s="1">
        <v>15153</v>
      </c>
      <c r="H191" s="1">
        <v>2548094.4886646816</v>
      </c>
      <c r="I191">
        <f t="shared" ref="I191:I223" si="172">E191/(E191+G191)</f>
        <v>0.30382247542038043</v>
      </c>
      <c r="J191">
        <f t="shared" si="168"/>
        <v>1.3590054729676565E-3</v>
      </c>
      <c r="K191" s="13">
        <f t="shared" si="164"/>
        <v>44697.154090427939</v>
      </c>
      <c r="L191" s="1">
        <f t="shared" si="169"/>
        <v>29413124.019685954</v>
      </c>
      <c r="M191">
        <f t="shared" si="170"/>
        <v>5423.3867665588768</v>
      </c>
      <c r="N191" s="1">
        <f t="shared" si="171"/>
        <v>10629.838062455399</v>
      </c>
      <c r="O191" s="24">
        <f t="shared" si="121"/>
        <v>31117.154090427939</v>
      </c>
      <c r="P191" s="1">
        <f t="shared" si="165"/>
        <v>29413124.019685954</v>
      </c>
      <c r="Q191">
        <f t="shared" si="166"/>
        <v>5423.3867665588768</v>
      </c>
      <c r="R191" s="1">
        <f t="shared" si="167"/>
        <v>10629.838062455399</v>
      </c>
    </row>
    <row r="192" spans="1:18" hidden="1" x14ac:dyDescent="0.25">
      <c r="A192" t="s">
        <v>81</v>
      </c>
      <c r="B192">
        <v>2013</v>
      </c>
      <c r="C192" t="s">
        <v>51</v>
      </c>
      <c r="D192" s="13">
        <v>14209</v>
      </c>
      <c r="E192" s="1">
        <v>6102</v>
      </c>
      <c r="F192" s="1">
        <v>488966.8653613613</v>
      </c>
      <c r="G192" s="1">
        <v>19861</v>
      </c>
      <c r="H192" s="1">
        <v>3967586.0219579455</v>
      </c>
      <c r="I192">
        <f t="shared" si="172"/>
        <v>0.2350267688633825</v>
      </c>
      <c r="J192">
        <f t="shared" si="168"/>
        <v>7.4961048927422666E-4</v>
      </c>
      <c r="K192" s="13">
        <f t="shared" si="164"/>
        <v>60456.943133398883</v>
      </c>
      <c r="L192" s="1">
        <f t="shared" si="169"/>
        <v>49601334.787597425</v>
      </c>
      <c r="M192">
        <f t="shared" si="170"/>
        <v>7042.8215075775861</v>
      </c>
      <c r="N192" s="1">
        <f t="shared" si="171"/>
        <v>13803.930154852069</v>
      </c>
      <c r="O192" s="24">
        <f t="shared" si="121"/>
        <v>46247.943133398883</v>
      </c>
      <c r="P192" s="1">
        <f t="shared" si="165"/>
        <v>49601334.787597425</v>
      </c>
      <c r="Q192">
        <f t="shared" si="166"/>
        <v>7042.8215075775861</v>
      </c>
      <c r="R192" s="1">
        <f t="shared" si="167"/>
        <v>13803.930154852069</v>
      </c>
    </row>
    <row r="193" spans="1:18" ht="17.25" hidden="1" customHeight="1" x14ac:dyDescent="0.25">
      <c r="A193" t="s">
        <v>81</v>
      </c>
      <c r="B193">
        <v>2014</v>
      </c>
      <c r="C193" t="s">
        <v>51</v>
      </c>
      <c r="D193" s="13">
        <v>14913</v>
      </c>
      <c r="E193" s="1">
        <v>9046</v>
      </c>
      <c r="F193" s="1">
        <v>1666839.6055055037</v>
      </c>
      <c r="G193" s="1">
        <v>23022</v>
      </c>
      <c r="H193" s="1">
        <v>6533179.0830580359</v>
      </c>
      <c r="I193">
        <f t="shared" si="172"/>
        <v>0.28208806286640886</v>
      </c>
      <c r="J193">
        <f t="shared" si="168"/>
        <v>1.3409298742526547E-3</v>
      </c>
      <c r="K193" s="13">
        <f t="shared" si="164"/>
        <v>52866.469599823133</v>
      </c>
      <c r="L193" s="1">
        <f t="shared" si="169"/>
        <v>47097436.38695576</v>
      </c>
      <c r="M193">
        <f t="shared" si="170"/>
        <v>6862.7572000585715</v>
      </c>
      <c r="N193" s="1">
        <f t="shared" si="171"/>
        <v>13451.004112114801</v>
      </c>
      <c r="O193" s="24">
        <f t="shared" si="121"/>
        <v>37953.469599823133</v>
      </c>
      <c r="P193" s="1">
        <f t="shared" si="165"/>
        <v>47097436.38695576</v>
      </c>
      <c r="Q193">
        <f t="shared" si="166"/>
        <v>6862.7572000585715</v>
      </c>
      <c r="R193" s="1">
        <f t="shared" si="167"/>
        <v>13451.004112114801</v>
      </c>
    </row>
    <row r="194" spans="1:18" hidden="1" x14ac:dyDescent="0.25">
      <c r="A194" t="s">
        <v>81</v>
      </c>
      <c r="B194">
        <v>2015</v>
      </c>
      <c r="C194" t="s">
        <v>51</v>
      </c>
      <c r="D194" s="13">
        <v>20073</v>
      </c>
      <c r="E194" s="1">
        <v>8996</v>
      </c>
      <c r="F194" s="1">
        <v>892984.73656756792</v>
      </c>
      <c r="G194" s="1">
        <v>23363</v>
      </c>
      <c r="H194" s="1">
        <v>5991962.1945785834</v>
      </c>
      <c r="I194">
        <f t="shared" si="172"/>
        <v>0.27800611885410548</v>
      </c>
      <c r="J194">
        <f t="shared" si="168"/>
        <v>8.8682038814212507E-4</v>
      </c>
      <c r="K194" s="13">
        <f t="shared" si="164"/>
        <v>72203.446754112942</v>
      </c>
      <c r="L194" s="1">
        <f t="shared" si="169"/>
        <v>59819505.590102598</v>
      </c>
      <c r="M194">
        <f t="shared" si="170"/>
        <v>7734.3070530011028</v>
      </c>
      <c r="N194" s="1">
        <f t="shared" si="171"/>
        <v>15159.241823882161</v>
      </c>
      <c r="O194" s="24">
        <f t="shared" si="121"/>
        <v>52130.446754112942</v>
      </c>
      <c r="P194" s="1">
        <f t="shared" si="165"/>
        <v>59819505.590102598</v>
      </c>
      <c r="Q194">
        <f t="shared" si="166"/>
        <v>7734.3070530011028</v>
      </c>
      <c r="R194" s="1">
        <f t="shared" si="167"/>
        <v>15159.241823882161</v>
      </c>
    </row>
    <row r="195" spans="1:18" hidden="1" x14ac:dyDescent="0.25">
      <c r="A195" t="s">
        <v>81</v>
      </c>
      <c r="B195">
        <v>2016</v>
      </c>
      <c r="C195" t="s">
        <v>51</v>
      </c>
      <c r="D195" s="13">
        <v>28893</v>
      </c>
      <c r="E195" s="1">
        <v>10302</v>
      </c>
      <c r="F195" s="1">
        <v>1365515.0305345249</v>
      </c>
      <c r="G195" s="1">
        <v>23114</v>
      </c>
      <c r="H195" s="1">
        <v>7650453.4078238215</v>
      </c>
      <c r="I195">
        <f t="shared" si="172"/>
        <v>0.30829542734019633</v>
      </c>
      <c r="J195">
        <f t="shared" si="168"/>
        <v>1.2362953617843812E-3</v>
      </c>
      <c r="K195" s="13">
        <f t="shared" si="164"/>
        <v>93718.548631333717</v>
      </c>
      <c r="L195" s="1">
        <f t="shared" si="169"/>
        <v>114245520.83381788</v>
      </c>
      <c r="M195">
        <f t="shared" si="170"/>
        <v>10688.569634605834</v>
      </c>
      <c r="N195" s="1">
        <f t="shared" si="171"/>
        <v>20949.596483827434</v>
      </c>
      <c r="O195" s="24">
        <f t="shared" si="121"/>
        <v>64825.548631333717</v>
      </c>
      <c r="P195" s="1">
        <f t="shared" si="165"/>
        <v>114245520.83381788</v>
      </c>
      <c r="Q195">
        <f t="shared" si="166"/>
        <v>10688.569634605834</v>
      </c>
      <c r="R195" s="1">
        <f t="shared" si="167"/>
        <v>20949.596483827434</v>
      </c>
    </row>
    <row r="196" spans="1:18" hidden="1" x14ac:dyDescent="0.25">
      <c r="A196" t="s">
        <v>81</v>
      </c>
      <c r="B196">
        <v>2017</v>
      </c>
      <c r="C196" t="s">
        <v>51</v>
      </c>
      <c r="D196" s="13">
        <v>16300</v>
      </c>
      <c r="E196" s="1">
        <v>8241</v>
      </c>
      <c r="F196" s="1">
        <v>868708.97628728708</v>
      </c>
      <c r="G196" s="1">
        <v>16945</v>
      </c>
      <c r="H196" s="1">
        <v>3824778.5271311314</v>
      </c>
      <c r="I196">
        <f t="shared" si="172"/>
        <v>0.32720559040736918</v>
      </c>
      <c r="J196">
        <f t="shared" si="168"/>
        <v>1.2654477718482876E-3</v>
      </c>
      <c r="K196" s="13">
        <f t="shared" si="164"/>
        <v>49815.774784613517</v>
      </c>
      <c r="L196" s="1">
        <f t="shared" si="169"/>
        <v>29331655.3806163</v>
      </c>
      <c r="M196">
        <f t="shared" si="170"/>
        <v>5415.8706945990043</v>
      </c>
      <c r="N196" s="1">
        <f t="shared" si="171"/>
        <v>10615.106561414048</v>
      </c>
      <c r="O196" s="24">
        <f t="shared" si="121"/>
        <v>33515.774784613517</v>
      </c>
      <c r="P196" s="1">
        <f t="shared" si="165"/>
        <v>29331655.3806163</v>
      </c>
      <c r="Q196">
        <f t="shared" si="166"/>
        <v>5415.8706945990043</v>
      </c>
      <c r="R196" s="1">
        <f t="shared" si="167"/>
        <v>10615.106561414048</v>
      </c>
    </row>
    <row r="197" spans="1:18" hidden="1" x14ac:dyDescent="0.25">
      <c r="A197" t="s">
        <v>81</v>
      </c>
      <c r="B197">
        <v>2018</v>
      </c>
      <c r="C197" t="s">
        <v>51</v>
      </c>
      <c r="D197" s="13">
        <v>12107</v>
      </c>
      <c r="E197" s="1">
        <v>9514</v>
      </c>
      <c r="F197" s="1">
        <v>1343205.7000110077</v>
      </c>
      <c r="G197" s="1">
        <v>17476</v>
      </c>
      <c r="H197" s="1">
        <v>6845122.7581942203</v>
      </c>
      <c r="I197">
        <f t="shared" si="172"/>
        <v>0.35250092626898849</v>
      </c>
      <c r="J197">
        <f t="shared" si="168"/>
        <v>1.9406684433297616E-3</v>
      </c>
      <c r="K197" s="13">
        <f t="shared" si="164"/>
        <v>34346.009039310491</v>
      </c>
      <c r="L197" s="1">
        <f t="shared" si="169"/>
        <v>18423976.825865198</v>
      </c>
      <c r="M197">
        <f t="shared" si="170"/>
        <v>4292.3160212017474</v>
      </c>
      <c r="N197" s="1">
        <f t="shared" si="171"/>
        <v>8412.9394015554244</v>
      </c>
      <c r="O197" s="24">
        <f t="shared" si="121"/>
        <v>22239.009039310491</v>
      </c>
      <c r="P197" s="1">
        <f t="shared" si="165"/>
        <v>18423976.825865198</v>
      </c>
      <c r="Q197">
        <f t="shared" si="166"/>
        <v>4292.3160212017474</v>
      </c>
      <c r="R197" s="1">
        <f t="shared" si="167"/>
        <v>8412.9394015554244</v>
      </c>
    </row>
    <row r="198" spans="1:18" hidden="1" x14ac:dyDescent="0.25">
      <c r="A198" t="s">
        <v>81</v>
      </c>
      <c r="B198">
        <v>2019</v>
      </c>
      <c r="C198" t="s">
        <v>51</v>
      </c>
      <c r="D198" s="13">
        <v>15083</v>
      </c>
      <c r="E198" s="1">
        <v>13138</v>
      </c>
      <c r="F198" s="1">
        <v>1542503.0820410531</v>
      </c>
      <c r="G198" s="1">
        <v>27875</v>
      </c>
      <c r="H198" s="1">
        <v>12795556.546737736</v>
      </c>
      <c r="I198">
        <f t="shared" si="172"/>
        <v>0.32033745397800695</v>
      </c>
      <c r="J198">
        <f t="shared" si="168"/>
        <v>1.2042187379813071E-3</v>
      </c>
      <c r="K198" s="13">
        <f t="shared" si="164"/>
        <v>47084.722103820983</v>
      </c>
      <c r="L198" s="1">
        <f>(D198^2)*J198*(1/(I198^4))</f>
        <v>26016565.548853625</v>
      </c>
      <c r="M198">
        <f>SQRT(L198)</f>
        <v>5100.6436406451321</v>
      </c>
      <c r="N198" s="1">
        <f>(1.96*M198)</f>
        <v>9997.2615356644583</v>
      </c>
      <c r="O198" s="24">
        <f t="shared" si="121"/>
        <v>32001.722103820983</v>
      </c>
      <c r="P198" s="1">
        <f>L198</f>
        <v>26016565.548853625</v>
      </c>
      <c r="Q198">
        <f>SQRT(P198)</f>
        <v>5100.6436406451321</v>
      </c>
      <c r="R198" s="1">
        <f>(1.96*Q198)</f>
        <v>9997.2615356644583</v>
      </c>
    </row>
    <row r="199" spans="1:18" hidden="1" x14ac:dyDescent="0.25">
      <c r="A199" t="s">
        <v>81</v>
      </c>
      <c r="B199">
        <v>2020</v>
      </c>
      <c r="C199" t="s">
        <v>51</v>
      </c>
      <c r="D199" s="13">
        <v>9001</v>
      </c>
      <c r="E199" s="1">
        <v>8645</v>
      </c>
      <c r="F199" s="1">
        <v>908092.66942042112</v>
      </c>
      <c r="G199" s="1">
        <v>17870</v>
      </c>
      <c r="H199" s="1">
        <v>5220519.0429619784</v>
      </c>
      <c r="I199">
        <f t="shared" ref="I199:I201" si="173">E199/(E199+G199)</f>
        <v>0.32604186309636057</v>
      </c>
      <c r="J199">
        <f t="shared" ref="J199:J200" si="174">((((E199)^2*H199)+((G199)^2*F199))/(E199+G199)^4)</f>
        <v>1.3760591941410019E-3</v>
      </c>
      <c r="K199" s="13">
        <f t="shared" ref="K199:K200" si="175">D199/I199</f>
        <v>27606.884326200114</v>
      </c>
      <c r="L199" s="1">
        <f t="shared" ref="L199:L200" si="176">(D199^2)*J199*(1/(I199^4))</f>
        <v>9865637.9851696268</v>
      </c>
      <c r="M199">
        <f t="shared" ref="M199:M200" si="177">SQRT(L199)</f>
        <v>3140.9613154525841</v>
      </c>
      <c r="N199" s="1">
        <f t="shared" ref="N199:N200" si="178">(1.96*M199)</f>
        <v>6156.2841782870646</v>
      </c>
      <c r="O199" s="24">
        <f t="shared" ref="O199:O200" si="179">K199-D199</f>
        <v>18605.884326200114</v>
      </c>
      <c r="P199" s="1">
        <f t="shared" ref="P199:P200" si="180">L199</f>
        <v>9865637.9851696268</v>
      </c>
      <c r="Q199">
        <f t="shared" ref="Q199:Q200" si="181">SQRT(P199)</f>
        <v>3140.9613154525841</v>
      </c>
      <c r="R199" s="1">
        <f t="shared" ref="R199:R200" si="182">(1.96*Q199)</f>
        <v>6156.2841782870646</v>
      </c>
    </row>
    <row r="200" spans="1:18" hidden="1" x14ac:dyDescent="0.25">
      <c r="A200" t="s">
        <v>81</v>
      </c>
      <c r="B200">
        <v>2021</v>
      </c>
      <c r="C200" t="s">
        <v>51</v>
      </c>
      <c r="D200" s="13">
        <v>16848</v>
      </c>
      <c r="E200" s="1">
        <v>13179</v>
      </c>
      <c r="F200" s="1">
        <v>2669707.3398508485</v>
      </c>
      <c r="G200" s="1">
        <v>20895</v>
      </c>
      <c r="H200" s="1">
        <v>6627670.60938437</v>
      </c>
      <c r="I200">
        <f t="shared" si="173"/>
        <v>0.38677584081704525</v>
      </c>
      <c r="J200">
        <f t="shared" si="174"/>
        <v>1.7186328231655198E-3</v>
      </c>
      <c r="K200" s="13">
        <f t="shared" si="175"/>
        <v>43560.114727976325</v>
      </c>
      <c r="L200" s="1">
        <f t="shared" si="176"/>
        <v>21799295.268585149</v>
      </c>
      <c r="M200">
        <f t="shared" si="177"/>
        <v>4668.9715429187563</v>
      </c>
      <c r="N200" s="1">
        <f t="shared" si="178"/>
        <v>9151.1842241207614</v>
      </c>
      <c r="O200" s="24">
        <f t="shared" si="179"/>
        <v>26712.114727976325</v>
      </c>
      <c r="P200" s="1">
        <f t="shared" si="180"/>
        <v>21799295.268585149</v>
      </c>
      <c r="Q200">
        <f t="shared" si="181"/>
        <v>4668.9715429187563</v>
      </c>
      <c r="R200" s="1">
        <f t="shared" si="182"/>
        <v>9151.1842241207614</v>
      </c>
    </row>
    <row r="201" spans="1:18" s="51" customFormat="1" hidden="1" x14ac:dyDescent="0.25">
      <c r="A201" s="51" t="s">
        <v>81</v>
      </c>
      <c r="B201" s="51">
        <v>2022</v>
      </c>
      <c r="C201" s="51" t="s">
        <v>51</v>
      </c>
      <c r="D201" s="71">
        <v>21685</v>
      </c>
      <c r="E201" s="72">
        <v>14868</v>
      </c>
      <c r="F201" s="72">
        <f>1488^2</f>
        <v>2214144</v>
      </c>
      <c r="G201" s="72">
        <v>17221</v>
      </c>
      <c r="H201" s="72">
        <f>2049^2</f>
        <v>4198401</v>
      </c>
      <c r="I201" s="51">
        <f t="shared" si="173"/>
        <v>0.46333634578827637</v>
      </c>
      <c r="J201">
        <f t="shared" ref="J201" si="183">((((E201)^2*H201)+((G201)^2*F201))/(E201+G201)^4)</f>
        <v>1.4946102467314221E-3</v>
      </c>
      <c r="K201" s="13">
        <f t="shared" ref="K201" si="184">D201/I201</f>
        <v>46801.853981705674</v>
      </c>
      <c r="L201" s="1">
        <f t="shared" ref="L201" si="185">(D201^2)*J201*(1/(I201^4))</f>
        <v>15249701.106684575</v>
      </c>
      <c r="M201">
        <f t="shared" ref="M201" si="186">SQRT(L201)</f>
        <v>3905.0865683982697</v>
      </c>
      <c r="N201" s="1">
        <f t="shared" ref="N201" si="187">(1.96*M201)</f>
        <v>7653.9696740606087</v>
      </c>
      <c r="O201" s="24">
        <f t="shared" ref="O201" si="188">K201-D201</f>
        <v>25116.853981705674</v>
      </c>
      <c r="P201" s="1">
        <f t="shared" ref="P201" si="189">L201</f>
        <v>15249701.106684575</v>
      </c>
      <c r="Q201">
        <f t="shared" ref="Q201" si="190">SQRT(P201)</f>
        <v>3905.0865683982697</v>
      </c>
      <c r="R201" s="1">
        <f t="shared" ref="R201" si="191">(1.96*Q201)</f>
        <v>7653.9696740606087</v>
      </c>
    </row>
    <row r="202" spans="1:18" hidden="1" x14ac:dyDescent="0.25">
      <c r="A202" t="s">
        <v>81</v>
      </c>
      <c r="B202">
        <v>1998</v>
      </c>
      <c r="C202" t="s">
        <v>52</v>
      </c>
      <c r="D202" s="13">
        <v>7091</v>
      </c>
      <c r="E202" s="1"/>
      <c r="F202" s="1"/>
      <c r="G202" s="1"/>
      <c r="H202" s="1"/>
      <c r="I202" s="21">
        <f>AVERAGE(I215:I222)</f>
        <v>0.82817461499598577</v>
      </c>
      <c r="J202" s="21">
        <v>4.6231267472161067E-3</v>
      </c>
      <c r="K202" s="13">
        <f t="shared" si="164"/>
        <v>8562.2039985303945</v>
      </c>
      <c r="L202" s="1">
        <f t="shared" si="169"/>
        <v>494154.9077878145</v>
      </c>
      <c r="M202">
        <f t="shared" si="170"/>
        <v>702.96152653457114</v>
      </c>
      <c r="N202" s="1">
        <f t="shared" si="171"/>
        <v>1377.8045920077593</v>
      </c>
      <c r="O202" s="24">
        <f t="shared" si="121"/>
        <v>1471.2039985303945</v>
      </c>
      <c r="P202" s="1">
        <f t="shared" si="165"/>
        <v>494154.9077878145</v>
      </c>
      <c r="Q202">
        <f t="shared" si="166"/>
        <v>702.96152653457114</v>
      </c>
      <c r="R202" s="1">
        <f t="shared" si="167"/>
        <v>1377.8045920077593</v>
      </c>
    </row>
    <row r="203" spans="1:18" hidden="1" x14ac:dyDescent="0.25">
      <c r="A203" t="s">
        <v>81</v>
      </c>
      <c r="B203">
        <v>1999</v>
      </c>
      <c r="C203" t="s">
        <v>52</v>
      </c>
      <c r="D203" s="13">
        <v>4594</v>
      </c>
      <c r="E203" s="1"/>
      <c r="F203" s="1"/>
      <c r="G203" s="1"/>
      <c r="H203" s="1"/>
      <c r="I203" s="21">
        <v>0.82817461499598577</v>
      </c>
      <c r="J203" s="21">
        <v>4.6231267472161067E-3</v>
      </c>
      <c r="K203" s="13">
        <f t="shared" si="164"/>
        <v>5547.1393554151227</v>
      </c>
      <c r="L203" s="1">
        <f t="shared" si="169"/>
        <v>207410.20653889881</v>
      </c>
      <c r="M203">
        <f t="shared" si="170"/>
        <v>455.42310716398526</v>
      </c>
      <c r="N203" s="1">
        <f t="shared" si="171"/>
        <v>892.62929004141108</v>
      </c>
      <c r="O203" s="24">
        <f t="shared" si="121"/>
        <v>953.13935541512274</v>
      </c>
      <c r="P203" s="1">
        <f t="shared" si="165"/>
        <v>207410.20653889881</v>
      </c>
      <c r="Q203">
        <f t="shared" si="166"/>
        <v>455.42310716398526</v>
      </c>
      <c r="R203" s="1">
        <f t="shared" si="167"/>
        <v>892.62929004141108</v>
      </c>
    </row>
    <row r="204" spans="1:18" hidden="1" x14ac:dyDescent="0.25">
      <c r="A204" t="s">
        <v>81</v>
      </c>
      <c r="B204">
        <v>2000</v>
      </c>
      <c r="C204" t="s">
        <v>52</v>
      </c>
      <c r="D204" s="13">
        <v>9244</v>
      </c>
      <c r="E204" s="1"/>
      <c r="F204" s="1"/>
      <c r="G204" s="1"/>
      <c r="H204" s="1"/>
      <c r="I204" s="21">
        <v>0.82817461499598577</v>
      </c>
      <c r="J204" s="21">
        <v>4.6231267472161067E-3</v>
      </c>
      <c r="K204" s="13">
        <f t="shared" si="164"/>
        <v>11161.897301144405</v>
      </c>
      <c r="L204" s="1">
        <f t="shared" si="169"/>
        <v>839784.81191828009</v>
      </c>
      <c r="M204">
        <f t="shared" si="170"/>
        <v>916.39773674877665</v>
      </c>
      <c r="N204" s="1">
        <f t="shared" si="171"/>
        <v>1796.1395640276021</v>
      </c>
      <c r="O204" s="24">
        <f t="shared" si="121"/>
        <v>1917.897301144405</v>
      </c>
      <c r="P204" s="1">
        <f t="shared" si="165"/>
        <v>839784.81191828009</v>
      </c>
      <c r="Q204">
        <f t="shared" si="166"/>
        <v>916.39773674877665</v>
      </c>
      <c r="R204" s="1">
        <f t="shared" si="167"/>
        <v>1796.1395640276021</v>
      </c>
    </row>
    <row r="205" spans="1:18" hidden="1" x14ac:dyDescent="0.25">
      <c r="A205" t="s">
        <v>81</v>
      </c>
      <c r="B205">
        <v>2001</v>
      </c>
      <c r="C205" t="s">
        <v>52</v>
      </c>
      <c r="D205" s="13">
        <v>11235</v>
      </c>
      <c r="E205" s="1"/>
      <c r="F205" s="1"/>
      <c r="G205" s="1"/>
      <c r="H205" s="1"/>
      <c r="I205" s="21">
        <v>0.82817461499598577</v>
      </c>
      <c r="J205" s="21">
        <v>4.6231267472161067E-3</v>
      </c>
      <c r="K205" s="13">
        <f t="shared" si="164"/>
        <v>13565.979681778168</v>
      </c>
      <c r="L205" s="1">
        <f t="shared" si="169"/>
        <v>1240492.9366742759</v>
      </c>
      <c r="M205">
        <f t="shared" si="170"/>
        <v>1113.7741856742218</v>
      </c>
      <c r="N205" s="1">
        <f t="shared" si="171"/>
        <v>2182.9974039214749</v>
      </c>
      <c r="O205" s="24">
        <f t="shared" ref="O205:O280" si="192">K205-D205</f>
        <v>2330.979681778168</v>
      </c>
      <c r="P205" s="1">
        <f t="shared" si="165"/>
        <v>1240492.9366742759</v>
      </c>
      <c r="Q205">
        <f t="shared" si="166"/>
        <v>1113.7741856742218</v>
      </c>
      <c r="R205" s="1">
        <f t="shared" si="167"/>
        <v>2182.9974039214749</v>
      </c>
    </row>
    <row r="206" spans="1:18" hidden="1" x14ac:dyDescent="0.25">
      <c r="A206" t="s">
        <v>81</v>
      </c>
      <c r="B206">
        <v>2002</v>
      </c>
      <c r="C206" t="s">
        <v>52</v>
      </c>
      <c r="D206" s="13">
        <v>9018</v>
      </c>
      <c r="E206" s="1"/>
      <c r="F206" s="1"/>
      <c r="G206" s="1"/>
      <c r="H206" s="1"/>
      <c r="I206" s="21">
        <v>0.82817461499598577</v>
      </c>
      <c r="J206" s="21">
        <v>4.6231267472161067E-3</v>
      </c>
      <c r="K206" s="13">
        <f t="shared" si="164"/>
        <v>10889.007990233691</v>
      </c>
      <c r="L206" s="1">
        <f t="shared" si="169"/>
        <v>799224.16063675296</v>
      </c>
      <c r="M206">
        <f t="shared" si="170"/>
        <v>893.99337840766634</v>
      </c>
      <c r="N206" s="1">
        <f t="shared" si="171"/>
        <v>1752.2270216790259</v>
      </c>
      <c r="O206" s="24">
        <f t="shared" si="192"/>
        <v>1871.0079902336911</v>
      </c>
      <c r="P206" s="1">
        <f t="shared" si="165"/>
        <v>799224.16063675296</v>
      </c>
      <c r="Q206">
        <f t="shared" si="166"/>
        <v>893.99337840766634</v>
      </c>
      <c r="R206" s="1">
        <f t="shared" si="167"/>
        <v>1752.2270216790259</v>
      </c>
    </row>
    <row r="207" spans="1:18" hidden="1" x14ac:dyDescent="0.25">
      <c r="A207" t="s">
        <v>81</v>
      </c>
      <c r="B207">
        <v>2003</v>
      </c>
      <c r="C207" t="s">
        <v>52</v>
      </c>
      <c r="D207" s="13">
        <v>9696</v>
      </c>
      <c r="E207" s="1"/>
      <c r="F207" s="1"/>
      <c r="G207" s="1"/>
      <c r="H207" s="1"/>
      <c r="I207" s="21">
        <v>0.82817461499598577</v>
      </c>
      <c r="J207" s="21">
        <v>4.6231267472161067E-3</v>
      </c>
      <c r="K207" s="13">
        <f t="shared" si="164"/>
        <v>11707.675922965831</v>
      </c>
      <c r="L207" s="1">
        <f t="shared" si="169"/>
        <v>923917.84611739591</v>
      </c>
      <c r="M207">
        <f t="shared" si="170"/>
        <v>961.20645343099727</v>
      </c>
      <c r="N207" s="1">
        <f t="shared" si="171"/>
        <v>1883.9646487247546</v>
      </c>
      <c r="O207" s="24">
        <f t="shared" si="192"/>
        <v>2011.675922965831</v>
      </c>
      <c r="P207" s="1">
        <f t="shared" si="165"/>
        <v>923917.84611739591</v>
      </c>
      <c r="Q207">
        <f t="shared" si="166"/>
        <v>961.20645343099727</v>
      </c>
      <c r="R207" s="1">
        <f t="shared" si="167"/>
        <v>1883.9646487247546</v>
      </c>
    </row>
    <row r="208" spans="1:18" hidden="1" x14ac:dyDescent="0.25">
      <c r="A208" t="s">
        <v>81</v>
      </c>
      <c r="B208">
        <v>2004</v>
      </c>
      <c r="C208" t="s">
        <v>52</v>
      </c>
      <c r="D208" s="13">
        <v>12216</v>
      </c>
      <c r="E208" s="1"/>
      <c r="F208" s="1"/>
      <c r="G208" s="1"/>
      <c r="H208" s="1"/>
      <c r="I208" s="21">
        <v>0.82817461499598577</v>
      </c>
      <c r="J208" s="21">
        <v>4.6231267472161067E-3</v>
      </c>
      <c r="K208" s="13">
        <f t="shared" si="164"/>
        <v>14750.512487102991</v>
      </c>
      <c r="L208" s="1">
        <f t="shared" si="169"/>
        <v>1466581.4594766509</v>
      </c>
      <c r="M208">
        <f t="shared" si="170"/>
        <v>1211.0249623672714</v>
      </c>
      <c r="N208" s="1">
        <f t="shared" si="171"/>
        <v>2373.6089262398518</v>
      </c>
      <c r="O208" s="24">
        <f t="shared" si="192"/>
        <v>2534.5124871029911</v>
      </c>
      <c r="P208" s="1">
        <f t="shared" si="165"/>
        <v>1466581.4594766509</v>
      </c>
      <c r="Q208">
        <f t="shared" si="166"/>
        <v>1211.0249623672714</v>
      </c>
      <c r="R208" s="1">
        <f t="shared" si="167"/>
        <v>2373.6089262398518</v>
      </c>
    </row>
    <row r="209" spans="1:18" hidden="1" x14ac:dyDescent="0.25">
      <c r="A209" t="s">
        <v>81</v>
      </c>
      <c r="B209">
        <v>2005</v>
      </c>
      <c r="C209" t="s">
        <v>52</v>
      </c>
      <c r="D209" s="13">
        <v>9664</v>
      </c>
      <c r="E209" s="1"/>
      <c r="F209" s="1"/>
      <c r="G209" s="1"/>
      <c r="H209" s="1"/>
      <c r="I209" s="21">
        <v>0.82817461499598577</v>
      </c>
      <c r="J209" s="21">
        <v>4.6231267472161067E-3</v>
      </c>
      <c r="K209" s="13">
        <f t="shared" si="164"/>
        <v>11669.036728500598</v>
      </c>
      <c r="L209" s="1">
        <f t="shared" si="169"/>
        <v>917829.44196419709</v>
      </c>
      <c r="M209">
        <f t="shared" si="170"/>
        <v>958.03415490482234</v>
      </c>
      <c r="N209" s="1">
        <f t="shared" si="171"/>
        <v>1877.7469436134518</v>
      </c>
      <c r="O209" s="24">
        <f t="shared" si="192"/>
        <v>2005.0367285005977</v>
      </c>
      <c r="P209" s="1">
        <f t="shared" si="165"/>
        <v>917829.44196419709</v>
      </c>
      <c r="Q209">
        <f t="shared" si="166"/>
        <v>958.03415490482234</v>
      </c>
      <c r="R209" s="1">
        <f t="shared" si="167"/>
        <v>1877.7469436134518</v>
      </c>
    </row>
    <row r="210" spans="1:18" hidden="1" x14ac:dyDescent="0.25">
      <c r="A210" t="s">
        <v>81</v>
      </c>
      <c r="B210">
        <v>2006</v>
      </c>
      <c r="C210" t="s">
        <v>52</v>
      </c>
      <c r="D210" s="13">
        <v>9129</v>
      </c>
      <c r="E210" s="1"/>
      <c r="F210" s="1"/>
      <c r="G210" s="1"/>
      <c r="H210" s="1"/>
      <c r="I210" s="21">
        <v>0.82817461499598577</v>
      </c>
      <c r="J210" s="21">
        <v>4.6231267472161067E-3</v>
      </c>
      <c r="K210" s="13">
        <f t="shared" si="164"/>
        <v>11023.037696034971</v>
      </c>
      <c r="L210" s="1">
        <f t="shared" si="169"/>
        <v>819020.09295315738</v>
      </c>
      <c r="M210">
        <f t="shared" si="170"/>
        <v>904.99728892033556</v>
      </c>
      <c r="N210" s="1">
        <f t="shared" si="171"/>
        <v>1773.7946862838576</v>
      </c>
      <c r="O210" s="24">
        <f t="shared" si="192"/>
        <v>1894.0376960349713</v>
      </c>
      <c r="P210" s="1">
        <f t="shared" si="165"/>
        <v>819020.09295315738</v>
      </c>
      <c r="Q210">
        <f t="shared" si="166"/>
        <v>904.99728892033556</v>
      </c>
      <c r="R210" s="1">
        <f t="shared" si="167"/>
        <v>1773.7946862838576</v>
      </c>
    </row>
    <row r="211" spans="1:18" hidden="1" x14ac:dyDescent="0.25">
      <c r="A211" t="s">
        <v>81</v>
      </c>
      <c r="B211">
        <v>2007</v>
      </c>
      <c r="C211" t="s">
        <v>52</v>
      </c>
      <c r="D211" s="13">
        <v>12198</v>
      </c>
      <c r="E211" s="1"/>
      <c r="F211" s="1"/>
      <c r="G211" s="1"/>
      <c r="H211" s="1"/>
      <c r="I211" s="21">
        <v>0.82817461499598577</v>
      </c>
      <c r="J211" s="21">
        <v>4.6231267472161067E-3</v>
      </c>
      <c r="K211" s="13">
        <f t="shared" si="164"/>
        <v>14728.777940216298</v>
      </c>
      <c r="L211" s="1">
        <f t="shared" si="169"/>
        <v>1462262.6943327789</v>
      </c>
      <c r="M211">
        <f t="shared" si="170"/>
        <v>1209.2405444462979</v>
      </c>
      <c r="N211" s="1">
        <f t="shared" si="171"/>
        <v>2370.1114671147438</v>
      </c>
      <c r="O211" s="24">
        <f t="shared" si="192"/>
        <v>2530.7779402162978</v>
      </c>
      <c r="P211" s="1">
        <f t="shared" si="165"/>
        <v>1462262.6943327789</v>
      </c>
      <c r="Q211">
        <f t="shared" si="166"/>
        <v>1209.2405444462979</v>
      </c>
      <c r="R211" s="1">
        <f t="shared" si="167"/>
        <v>2370.1114671147438</v>
      </c>
    </row>
    <row r="212" spans="1:18" hidden="1" x14ac:dyDescent="0.25">
      <c r="A212" t="s">
        <v>81</v>
      </c>
      <c r="B212">
        <v>2008</v>
      </c>
      <c r="C212" t="s">
        <v>52</v>
      </c>
      <c r="D212" s="13">
        <v>13387</v>
      </c>
      <c r="E212" s="1"/>
      <c r="F212" s="1"/>
      <c r="G212" s="1"/>
      <c r="H212" s="1"/>
      <c r="I212" s="21">
        <v>0.82817461499598577</v>
      </c>
      <c r="J212" s="21">
        <v>4.6231267472161067E-3</v>
      </c>
      <c r="K212" s="13">
        <f t="shared" si="164"/>
        <v>16164.46550956514</v>
      </c>
      <c r="L212" s="1">
        <f t="shared" si="169"/>
        <v>1761224.3005580062</v>
      </c>
      <c r="M212">
        <f t="shared" si="170"/>
        <v>1327.1112615594843</v>
      </c>
      <c r="N212" s="1">
        <f t="shared" si="171"/>
        <v>2601.1380726565894</v>
      </c>
      <c r="O212" s="24">
        <f t="shared" si="192"/>
        <v>2777.4655095651397</v>
      </c>
      <c r="P212" s="1">
        <f t="shared" si="165"/>
        <v>1761224.3005580062</v>
      </c>
      <c r="Q212">
        <f t="shared" si="166"/>
        <v>1327.1112615594843</v>
      </c>
      <c r="R212" s="1">
        <f t="shared" si="167"/>
        <v>2601.1380726565894</v>
      </c>
    </row>
    <row r="213" spans="1:18" hidden="1" x14ac:dyDescent="0.25">
      <c r="A213" t="s">
        <v>81</v>
      </c>
      <c r="B213">
        <v>2009</v>
      </c>
      <c r="C213" t="s">
        <v>52</v>
      </c>
      <c r="D213" s="13">
        <v>13724</v>
      </c>
      <c r="E213" s="1"/>
      <c r="F213" s="1"/>
      <c r="G213" s="1"/>
      <c r="H213" s="1"/>
      <c r="I213" s="21">
        <v>0.82817461499598577</v>
      </c>
      <c r="J213" s="21">
        <v>4.6231267472161067E-3</v>
      </c>
      <c r="K213" s="13">
        <f t="shared" si="164"/>
        <v>16571.384526277132</v>
      </c>
      <c r="L213" s="1">
        <f t="shared" si="169"/>
        <v>1851013.392635928</v>
      </c>
      <c r="M213">
        <f t="shared" si="170"/>
        <v>1360.519530413264</v>
      </c>
      <c r="N213" s="1">
        <f t="shared" si="171"/>
        <v>2666.6182796099974</v>
      </c>
      <c r="O213" s="24">
        <f t="shared" si="192"/>
        <v>2847.384526277132</v>
      </c>
      <c r="P213" s="1">
        <f t="shared" si="165"/>
        <v>1851013.392635928</v>
      </c>
      <c r="Q213">
        <f t="shared" si="166"/>
        <v>1360.519530413264</v>
      </c>
      <c r="R213" s="1">
        <f t="shared" si="167"/>
        <v>2666.6182796099974</v>
      </c>
    </row>
    <row r="214" spans="1:18" hidden="1" x14ac:dyDescent="0.25">
      <c r="A214" t="s">
        <v>81</v>
      </c>
      <c r="B214">
        <v>2010</v>
      </c>
      <c r="C214" t="s">
        <v>52</v>
      </c>
      <c r="D214" s="13">
        <v>13038</v>
      </c>
      <c r="E214" s="1"/>
      <c r="F214" s="1"/>
      <c r="G214" s="1"/>
      <c r="H214" s="1"/>
      <c r="I214" s="21">
        <v>0.82817461499598577</v>
      </c>
      <c r="J214" s="21">
        <v>4.6231267472161067E-3</v>
      </c>
      <c r="K214" s="13">
        <f t="shared" si="164"/>
        <v>15743.056794928683</v>
      </c>
      <c r="L214" s="1">
        <f t="shared" si="169"/>
        <v>1670590.8394394808</v>
      </c>
      <c r="M214">
        <f t="shared" si="170"/>
        <v>1292.5133807583893</v>
      </c>
      <c r="N214" s="1">
        <f t="shared" si="171"/>
        <v>2533.3262262864428</v>
      </c>
      <c r="O214" s="24">
        <f t="shared" si="192"/>
        <v>2705.0567949286833</v>
      </c>
      <c r="P214" s="1">
        <f t="shared" si="165"/>
        <v>1670590.8394394808</v>
      </c>
      <c r="Q214">
        <f t="shared" si="166"/>
        <v>1292.5133807583893</v>
      </c>
      <c r="R214" s="1">
        <f t="shared" si="167"/>
        <v>2533.3262262864428</v>
      </c>
    </row>
    <row r="215" spans="1:18" hidden="1" x14ac:dyDescent="0.25">
      <c r="A215" t="s">
        <v>81</v>
      </c>
      <c r="B215">
        <v>2011</v>
      </c>
      <c r="C215" t="s">
        <v>52</v>
      </c>
      <c r="D215" s="13">
        <v>15590</v>
      </c>
      <c r="E215" s="1">
        <v>9523</v>
      </c>
      <c r="F215" s="1">
        <v>1000086.8635795786</v>
      </c>
      <c r="G215" s="1">
        <v>2256</v>
      </c>
      <c r="H215" s="1">
        <v>444672.7509749746</v>
      </c>
      <c r="I215">
        <f t="shared" si="172"/>
        <v>0.80847270566261986</v>
      </c>
      <c r="J215">
        <f t="shared" si="168"/>
        <v>2.3592697276234669E-3</v>
      </c>
      <c r="K215" s="13">
        <f t="shared" si="164"/>
        <v>19283.2731282159</v>
      </c>
      <c r="L215" s="1">
        <f t="shared" ref="L215:L239" si="193">(D215^2)*J215*(1/(I215^4))</f>
        <v>1342172.6209808656</v>
      </c>
      <c r="M215">
        <f t="shared" si="170"/>
        <v>1158.5217395374441</v>
      </c>
      <c r="N215" s="1">
        <f t="shared" si="171"/>
        <v>2270.7026094933904</v>
      </c>
      <c r="O215" s="24">
        <f t="shared" si="192"/>
        <v>3693.2731282159002</v>
      </c>
      <c r="P215" s="1">
        <f t="shared" si="165"/>
        <v>1342172.6209808656</v>
      </c>
      <c r="Q215">
        <f t="shared" si="166"/>
        <v>1158.5217395374441</v>
      </c>
      <c r="R215" s="1">
        <f t="shared" si="167"/>
        <v>2270.7026094933904</v>
      </c>
    </row>
    <row r="216" spans="1:18" hidden="1" x14ac:dyDescent="0.25">
      <c r="A216" t="s">
        <v>81</v>
      </c>
      <c r="B216">
        <v>2012</v>
      </c>
      <c r="C216" t="s">
        <v>52</v>
      </c>
      <c r="D216" s="13">
        <v>16566</v>
      </c>
      <c r="E216" s="1">
        <v>11672</v>
      </c>
      <c r="F216" s="1">
        <v>1684349.2401111166</v>
      </c>
      <c r="G216" s="1">
        <v>1412</v>
      </c>
      <c r="H216" s="1">
        <v>161801.5242432433</v>
      </c>
      <c r="I216">
        <f t="shared" si="172"/>
        <v>0.89208193213084686</v>
      </c>
      <c r="J216">
        <f t="shared" si="168"/>
        <v>8.6674943721456565E-4</v>
      </c>
      <c r="K216" s="13">
        <f t="shared" si="164"/>
        <v>18570.043180260451</v>
      </c>
      <c r="L216" s="1">
        <f t="shared" si="193"/>
        <v>375586.44375818601</v>
      </c>
      <c r="M216">
        <f t="shared" si="170"/>
        <v>612.85107796118461</v>
      </c>
      <c r="N216" s="1">
        <f t="shared" si="171"/>
        <v>1201.1881128039217</v>
      </c>
      <c r="O216" s="24">
        <f t="shared" si="192"/>
        <v>2004.0431802604508</v>
      </c>
      <c r="P216" s="1">
        <f t="shared" si="165"/>
        <v>375586.44375818601</v>
      </c>
      <c r="Q216">
        <f t="shared" si="166"/>
        <v>612.85107796118461</v>
      </c>
      <c r="R216" s="1">
        <f t="shared" si="167"/>
        <v>1201.1881128039217</v>
      </c>
    </row>
    <row r="217" spans="1:18" hidden="1" x14ac:dyDescent="0.25">
      <c r="A217" t="s">
        <v>81</v>
      </c>
      <c r="B217">
        <v>2013</v>
      </c>
      <c r="C217" t="s">
        <v>52</v>
      </c>
      <c r="D217" s="13">
        <v>19818</v>
      </c>
      <c r="E217" s="1">
        <v>12255</v>
      </c>
      <c r="F217" s="1">
        <v>1635681.2696055952</v>
      </c>
      <c r="G217" s="1">
        <v>4258</v>
      </c>
      <c r="H217" s="1">
        <v>1463400.9114704733</v>
      </c>
      <c r="I217">
        <f t="shared" si="172"/>
        <v>0.74214255435111731</v>
      </c>
      <c r="J217">
        <f t="shared" si="168"/>
        <v>3.3547215201438622E-3</v>
      </c>
      <c r="K217" s="13">
        <f t="shared" si="164"/>
        <v>26703.764504283965</v>
      </c>
      <c r="L217" s="1">
        <f t="shared" si="193"/>
        <v>4343369.567205376</v>
      </c>
      <c r="M217">
        <f t="shared" si="170"/>
        <v>2084.0752306971494</v>
      </c>
      <c r="N217" s="1">
        <f t="shared" si="171"/>
        <v>4084.787452166413</v>
      </c>
      <c r="O217" s="24">
        <f t="shared" si="192"/>
        <v>6885.7645042839649</v>
      </c>
      <c r="P217" s="1">
        <f t="shared" si="165"/>
        <v>4343369.567205376</v>
      </c>
      <c r="Q217">
        <f t="shared" si="166"/>
        <v>2084.0752306971494</v>
      </c>
      <c r="R217" s="1">
        <f t="shared" si="167"/>
        <v>4084.787452166413</v>
      </c>
    </row>
    <row r="218" spans="1:18" hidden="1" x14ac:dyDescent="0.25">
      <c r="A218" t="s">
        <v>81</v>
      </c>
      <c r="B218">
        <v>2014</v>
      </c>
      <c r="C218" t="s">
        <v>52</v>
      </c>
      <c r="D218" s="13">
        <v>21309</v>
      </c>
      <c r="E218" s="1">
        <v>10778</v>
      </c>
      <c r="F218" s="1">
        <v>1179415.2438478486</v>
      </c>
      <c r="G218" s="1">
        <v>3721</v>
      </c>
      <c r="H218" s="1">
        <v>847689.06570470578</v>
      </c>
      <c r="I218">
        <f t="shared" si="172"/>
        <v>0.74336161114559629</v>
      </c>
      <c r="J218">
        <f t="shared" si="168"/>
        <v>2.5977502461180862E-3</v>
      </c>
      <c r="K218" s="13">
        <f t="shared" si="164"/>
        <v>28665.725644832062</v>
      </c>
      <c r="L218" s="1">
        <f t="shared" si="193"/>
        <v>3862984.9469756186</v>
      </c>
      <c r="M218">
        <f t="shared" si="170"/>
        <v>1965.4477726400207</v>
      </c>
      <c r="N218" s="1">
        <f t="shared" si="171"/>
        <v>3852.2776343744404</v>
      </c>
      <c r="O218" s="24">
        <f t="shared" si="192"/>
        <v>7356.7256448320622</v>
      </c>
      <c r="P218" s="1">
        <f t="shared" si="165"/>
        <v>3862984.9469756186</v>
      </c>
      <c r="Q218">
        <f t="shared" si="166"/>
        <v>1965.4477726400207</v>
      </c>
      <c r="R218" s="1">
        <f t="shared" si="167"/>
        <v>3852.2776343744404</v>
      </c>
    </row>
    <row r="219" spans="1:18" hidden="1" x14ac:dyDescent="0.25">
      <c r="A219" t="s">
        <v>81</v>
      </c>
      <c r="B219">
        <v>2015</v>
      </c>
      <c r="C219" t="s">
        <v>52</v>
      </c>
      <c r="D219" s="13">
        <v>24516</v>
      </c>
      <c r="E219" s="1">
        <v>14327</v>
      </c>
      <c r="F219" s="1">
        <v>2243009.0109109143</v>
      </c>
      <c r="G219" s="1">
        <v>1527</v>
      </c>
      <c r="H219" s="1">
        <v>145763.58553653696</v>
      </c>
      <c r="I219">
        <f t="shared" si="172"/>
        <v>0.9036836129683361</v>
      </c>
      <c r="J219">
        <f t="shared" si="168"/>
        <v>5.5637715833237872E-4</v>
      </c>
      <c r="K219" s="13">
        <f t="shared" si="164"/>
        <v>27128.963774691143</v>
      </c>
      <c r="L219" s="1">
        <f t="shared" si="193"/>
        <v>501421.42786728247</v>
      </c>
      <c r="M219">
        <f t="shared" si="170"/>
        <v>708.11116914456477</v>
      </c>
      <c r="N219" s="1">
        <f t="shared" si="171"/>
        <v>1387.897891523347</v>
      </c>
      <c r="O219" s="24">
        <f t="shared" si="192"/>
        <v>2612.963774691143</v>
      </c>
      <c r="P219" s="1">
        <f t="shared" si="165"/>
        <v>501421.42786728247</v>
      </c>
      <c r="Q219">
        <f t="shared" si="166"/>
        <v>708.11116914456477</v>
      </c>
      <c r="R219" s="1">
        <f t="shared" si="167"/>
        <v>1387.897891523347</v>
      </c>
    </row>
    <row r="220" spans="1:18" hidden="1" x14ac:dyDescent="0.25">
      <c r="A220" t="s">
        <v>81</v>
      </c>
      <c r="B220">
        <v>2016</v>
      </c>
      <c r="C220" t="s">
        <v>52</v>
      </c>
      <c r="D220" s="13">
        <v>29349</v>
      </c>
      <c r="E220" s="1">
        <v>19835</v>
      </c>
      <c r="F220" s="1">
        <v>2640694.0164164146</v>
      </c>
      <c r="G220" s="1">
        <v>2520</v>
      </c>
      <c r="H220" s="1">
        <v>272770.67811411433</v>
      </c>
      <c r="I220">
        <f t="shared" si="172"/>
        <v>0.88727354059494523</v>
      </c>
      <c r="J220">
        <f t="shared" si="168"/>
        <v>4.9684411267634739E-4</v>
      </c>
      <c r="K220" s="13">
        <f t="shared" si="164"/>
        <v>33077.736072598942</v>
      </c>
      <c r="L220" s="1">
        <f t="shared" si="193"/>
        <v>690520.60458105023</v>
      </c>
      <c r="M220">
        <f t="shared" si="170"/>
        <v>830.97569433831836</v>
      </c>
      <c r="N220" s="1">
        <f t="shared" si="171"/>
        <v>1628.7123609031039</v>
      </c>
      <c r="O220" s="24">
        <f t="shared" si="192"/>
        <v>3728.736072598942</v>
      </c>
      <c r="P220" s="1">
        <f t="shared" si="165"/>
        <v>690520.60458105023</v>
      </c>
      <c r="Q220">
        <f t="shared" si="166"/>
        <v>830.97569433831836</v>
      </c>
      <c r="R220" s="1">
        <f t="shared" si="167"/>
        <v>1628.7123609031039</v>
      </c>
    </row>
    <row r="221" spans="1:18" hidden="1" x14ac:dyDescent="0.25">
      <c r="A221" t="s">
        <v>81</v>
      </c>
      <c r="B221">
        <v>2017</v>
      </c>
      <c r="C221" t="s">
        <v>52</v>
      </c>
      <c r="D221" s="13">
        <v>28647</v>
      </c>
      <c r="E221" s="1">
        <v>10418</v>
      </c>
      <c r="F221" s="1">
        <v>1578689.6600600502</v>
      </c>
      <c r="G221" s="1">
        <v>2658</v>
      </c>
      <c r="H221" s="1">
        <v>682327.10357457597</v>
      </c>
      <c r="I221">
        <f t="shared" si="172"/>
        <v>0.79672682777607828</v>
      </c>
      <c r="J221">
        <f t="shared" si="168"/>
        <v>2.9146655203077854E-3</v>
      </c>
      <c r="K221" s="13">
        <f t="shared" si="164"/>
        <v>35955.862161643308</v>
      </c>
      <c r="L221" s="1">
        <f t="shared" si="193"/>
        <v>5936209.9806912215</v>
      </c>
      <c r="M221">
        <f t="shared" si="170"/>
        <v>2436.433865445812</v>
      </c>
      <c r="N221" s="1">
        <f t="shared" si="171"/>
        <v>4775.4103762737914</v>
      </c>
      <c r="O221" s="24">
        <f t="shared" si="192"/>
        <v>7308.8621616433084</v>
      </c>
      <c r="P221" s="1">
        <f t="shared" si="165"/>
        <v>5936209.9806912215</v>
      </c>
      <c r="Q221">
        <f t="shared" si="166"/>
        <v>2436.433865445812</v>
      </c>
      <c r="R221" s="1">
        <f t="shared" si="167"/>
        <v>4775.4103762737914</v>
      </c>
    </row>
    <row r="222" spans="1:18" hidden="1" x14ac:dyDescent="0.25">
      <c r="A222" t="s">
        <v>81</v>
      </c>
      <c r="B222">
        <v>2018</v>
      </c>
      <c r="C222" t="s">
        <v>52</v>
      </c>
      <c r="D222" s="13">
        <v>27142</v>
      </c>
      <c r="E222" s="1">
        <v>11327</v>
      </c>
      <c r="F222" s="1">
        <v>3278882.3630991206</v>
      </c>
      <c r="G222" s="1">
        <v>1973</v>
      </c>
      <c r="H222" s="1">
        <v>290158.27530630538</v>
      </c>
      <c r="I222">
        <f t="shared" si="172"/>
        <v>0.85165413533834589</v>
      </c>
      <c r="J222">
        <f t="shared" si="168"/>
        <v>1.5976753451220466E-3</v>
      </c>
      <c r="K222" s="13">
        <f t="shared" si="164"/>
        <v>31869.744857420323</v>
      </c>
      <c r="L222" s="1">
        <f t="shared" si="193"/>
        <v>2237274.0611776323</v>
      </c>
      <c r="M222">
        <f t="shared" si="170"/>
        <v>1495.752005239382</v>
      </c>
      <c r="N222" s="1">
        <f t="shared" si="171"/>
        <v>2931.6739302691885</v>
      </c>
      <c r="O222" s="24">
        <f t="shared" si="192"/>
        <v>4727.7448574203227</v>
      </c>
      <c r="P222" s="1">
        <f t="shared" si="165"/>
        <v>2237274.0611776323</v>
      </c>
      <c r="Q222">
        <f t="shared" si="166"/>
        <v>1495.752005239382</v>
      </c>
      <c r="R222" s="1">
        <f t="shared" si="167"/>
        <v>2931.6739302691885</v>
      </c>
    </row>
    <row r="223" spans="1:18" hidden="1" x14ac:dyDescent="0.25">
      <c r="A223" t="s">
        <v>81</v>
      </c>
      <c r="B223">
        <v>2019</v>
      </c>
      <c r="C223" t="s">
        <v>52</v>
      </c>
      <c r="D223" s="13">
        <v>33682</v>
      </c>
      <c r="E223" s="1">
        <v>9235</v>
      </c>
      <c r="F223" s="1">
        <v>1570889.8454044154</v>
      </c>
      <c r="G223" s="1">
        <v>1918</v>
      </c>
      <c r="H223" s="1">
        <v>332688.3136646644</v>
      </c>
      <c r="I223">
        <f t="shared" si="172"/>
        <v>0.82802833318389668</v>
      </c>
      <c r="J223">
        <f t="shared" si="168"/>
        <v>2.2072561687664395E-3</v>
      </c>
      <c r="K223" s="13">
        <f t="shared" si="164"/>
        <v>40677.352030319438</v>
      </c>
      <c r="L223" s="1">
        <f>(D223^2)*J223*(1/(I223^4))</f>
        <v>5326815.9562128652</v>
      </c>
      <c r="M223">
        <f>SQRT(L223)</f>
        <v>2307.9895918770658</v>
      </c>
      <c r="N223" s="1">
        <f>(1.96*M223)</f>
        <v>4523.6596000790487</v>
      </c>
      <c r="O223" s="24">
        <f t="shared" si="192"/>
        <v>6995.3520303194382</v>
      </c>
      <c r="P223" s="1">
        <f>L223</f>
        <v>5326815.9562128652</v>
      </c>
      <c r="Q223">
        <f>SQRT(P223)</f>
        <v>2307.9895918770658</v>
      </c>
      <c r="R223" s="1">
        <f>(1.96*Q223)</f>
        <v>4523.6596000790487</v>
      </c>
    </row>
    <row r="224" spans="1:18" hidden="1" x14ac:dyDescent="0.25">
      <c r="A224" t="s">
        <v>81</v>
      </c>
      <c r="B224">
        <v>2020</v>
      </c>
      <c r="C224" t="s">
        <v>52</v>
      </c>
      <c r="D224" s="13">
        <v>29279</v>
      </c>
      <c r="E224" s="1">
        <v>7465</v>
      </c>
      <c r="F224" s="1">
        <v>726238.58025125181</v>
      </c>
      <c r="G224" s="1">
        <v>1669</v>
      </c>
      <c r="H224" s="1">
        <v>159885.22441541558</v>
      </c>
      <c r="I224">
        <f t="shared" ref="I224:I226" si="194">E224/(E224+G224)</f>
        <v>0.81727611123275679</v>
      </c>
      <c r="J224">
        <f t="shared" ref="J224:J225" si="195">((((E224)^2*H224)+((G224)^2*F224))/(E224+G224)^4)</f>
        <v>1.570676165585678E-3</v>
      </c>
      <c r="K224" s="13">
        <f t="shared" ref="K224:K225" si="196">D224/I224</f>
        <v>35825.101942397858</v>
      </c>
      <c r="L224" s="1">
        <f t="shared" ref="L224:L225" si="197">(D224^2)*J224*(1/(I224^4))</f>
        <v>3018032.5104616564</v>
      </c>
      <c r="M224">
        <f t="shared" ref="M224:M225" si="198">SQRT(L224)</f>
        <v>1737.2485459661943</v>
      </c>
      <c r="N224" s="1">
        <f t="shared" ref="N224:N225" si="199">(1.96*M224)</f>
        <v>3405.0071500937411</v>
      </c>
      <c r="O224" s="24">
        <f t="shared" ref="O224:O225" si="200">K224-D224</f>
        <v>6546.1019423978578</v>
      </c>
      <c r="P224" s="1">
        <f t="shared" ref="P224:P225" si="201">L224</f>
        <v>3018032.5104616564</v>
      </c>
      <c r="Q224">
        <f t="shared" ref="Q224:Q225" si="202">SQRT(P224)</f>
        <v>1737.2485459661943</v>
      </c>
      <c r="R224" s="1">
        <f t="shared" ref="R224:R225" si="203">(1.96*Q224)</f>
        <v>3405.0071500937411</v>
      </c>
    </row>
    <row r="225" spans="1:20" hidden="1" x14ac:dyDescent="0.25">
      <c r="A225" t="s">
        <v>81</v>
      </c>
      <c r="B225">
        <v>2021</v>
      </c>
      <c r="C225" t="s">
        <v>52</v>
      </c>
      <c r="D225" s="13">
        <v>38638</v>
      </c>
      <c r="E225" s="1">
        <v>12079</v>
      </c>
      <c r="F225" s="1">
        <v>1555376.4304304256</v>
      </c>
      <c r="G225" s="1">
        <v>2545</v>
      </c>
      <c r="H225" s="1">
        <v>404616.90486886847</v>
      </c>
      <c r="I225">
        <f t="shared" si="194"/>
        <v>0.82597100656455147</v>
      </c>
      <c r="J225">
        <f t="shared" si="195"/>
        <v>1.5110128869114368E-3</v>
      </c>
      <c r="K225" s="13">
        <f t="shared" si="196"/>
        <v>46778.881695504591</v>
      </c>
      <c r="L225" s="1">
        <f t="shared" si="197"/>
        <v>4846611.7748930994</v>
      </c>
      <c r="M225">
        <f t="shared" si="198"/>
        <v>2201.5021632724097</v>
      </c>
      <c r="N225" s="1">
        <f t="shared" si="199"/>
        <v>4314.9442400139233</v>
      </c>
      <c r="O225" s="24">
        <f t="shared" si="200"/>
        <v>8140.8816955045913</v>
      </c>
      <c r="P225" s="1">
        <f t="shared" si="201"/>
        <v>4846611.7748930994</v>
      </c>
      <c r="Q225">
        <f t="shared" si="202"/>
        <v>2201.5021632724097</v>
      </c>
      <c r="R225" s="1">
        <f t="shared" si="203"/>
        <v>4314.9442400139233</v>
      </c>
    </row>
    <row r="226" spans="1:20" s="51" customFormat="1" hidden="1" x14ac:dyDescent="0.25">
      <c r="A226" s="51" t="s">
        <v>81</v>
      </c>
      <c r="B226" s="51">
        <v>2022</v>
      </c>
      <c r="C226" s="51" t="s">
        <v>52</v>
      </c>
      <c r="D226" s="71">
        <v>36656</v>
      </c>
      <c r="E226" s="72">
        <v>11206</v>
      </c>
      <c r="F226" s="72">
        <f>1396^2</f>
        <v>1948816</v>
      </c>
      <c r="G226" s="83">
        <v>4076</v>
      </c>
      <c r="H226" s="83">
        <f>1394^2</f>
        <v>1943236</v>
      </c>
      <c r="I226" s="51">
        <f t="shared" si="194"/>
        <v>0.73328098416437637</v>
      </c>
      <c r="J226">
        <f t="shared" ref="J226" si="204">((((E226)^2*H226)+((G226)^2*F226))/(E226+G226)^4)</f>
        <v>5.0677367585206905E-3</v>
      </c>
      <c r="K226" s="13">
        <f t="shared" ref="K226" si="205">D226/I226</f>
        <v>49989.02302338033</v>
      </c>
      <c r="L226" s="1">
        <f t="shared" ref="L226" si="206">(D226^2)*J226*(1/(I226^4))</f>
        <v>23551712.984039951</v>
      </c>
      <c r="M226">
        <f t="shared" ref="M226" si="207">SQRT(L226)</f>
        <v>4853.0107133654619</v>
      </c>
      <c r="N226" s="1">
        <f t="shared" ref="N226" si="208">(1.96*M226)</f>
        <v>9511.9009981963045</v>
      </c>
      <c r="O226" s="24">
        <f t="shared" ref="O226" si="209">K226-D226</f>
        <v>13333.02302338033</v>
      </c>
      <c r="P226" s="1">
        <f t="shared" ref="P226" si="210">L226</f>
        <v>23551712.984039951</v>
      </c>
      <c r="Q226">
        <f t="shared" ref="Q226" si="211">SQRT(P226)</f>
        <v>4853.0107133654619</v>
      </c>
      <c r="R226" s="1">
        <f t="shared" ref="R226" si="212">(1.96*Q226)</f>
        <v>9511.9009981963045</v>
      </c>
    </row>
    <row r="227" spans="1:20" x14ac:dyDescent="0.25">
      <c r="A227" t="s">
        <v>151</v>
      </c>
      <c r="B227">
        <v>1998</v>
      </c>
      <c r="C227" t="s">
        <v>42</v>
      </c>
      <c r="D227" s="13">
        <v>9366</v>
      </c>
      <c r="E227" s="1"/>
      <c r="F227" s="1"/>
      <c r="G227" s="1"/>
      <c r="H227" s="1"/>
      <c r="I227" s="21">
        <f>AVERAGE(I240:I247)</f>
        <v>0.86838355205906959</v>
      </c>
      <c r="J227" s="21">
        <v>1.4536667427749639E-3</v>
      </c>
      <c r="K227" s="13">
        <f t="shared" ref="K227:K232" si="213">D227/I227</f>
        <v>10785.556656147837</v>
      </c>
      <c r="L227" s="1">
        <f t="shared" si="193"/>
        <v>224247.08472663842</v>
      </c>
      <c r="M227">
        <f t="shared" si="170"/>
        <v>473.54734158966454</v>
      </c>
      <c r="N227" s="1">
        <f t="shared" si="171"/>
        <v>928.15278951574248</v>
      </c>
      <c r="O227" s="24">
        <f t="shared" si="192"/>
        <v>1419.5566561478372</v>
      </c>
      <c r="P227" s="1">
        <f t="shared" ref="P227:P232" si="214">L227</f>
        <v>224247.08472663842</v>
      </c>
      <c r="Q227">
        <f t="shared" ref="Q227:Q232" si="215">SQRT(P227)</f>
        <v>473.54734158966454</v>
      </c>
      <c r="R227" s="1">
        <f t="shared" ref="R227:R232" si="216">(1.96*Q227)</f>
        <v>928.15278951574248</v>
      </c>
    </row>
    <row r="228" spans="1:20" x14ac:dyDescent="0.25">
      <c r="A228" t="s">
        <v>151</v>
      </c>
      <c r="B228">
        <v>1999</v>
      </c>
      <c r="C228" t="s">
        <v>42</v>
      </c>
      <c r="D228" s="13">
        <v>9636</v>
      </c>
      <c r="E228" s="1"/>
      <c r="F228" s="1"/>
      <c r="G228" s="1"/>
      <c r="H228" s="1"/>
      <c r="I228" s="21">
        <v>0.86838355205906959</v>
      </c>
      <c r="J228" s="21">
        <v>1.4536667427749639E-3</v>
      </c>
      <c r="K228" s="13">
        <f t="shared" si="213"/>
        <v>11096.479173461516</v>
      </c>
      <c r="L228" s="1">
        <f t="shared" si="193"/>
        <v>237362.48582500662</v>
      </c>
      <c r="M228">
        <f t="shared" si="170"/>
        <v>487.19861024535635</v>
      </c>
      <c r="N228" s="1">
        <f t="shared" si="171"/>
        <v>954.90927608089839</v>
      </c>
      <c r="O228" s="24">
        <f t="shared" si="192"/>
        <v>1460.4791734615155</v>
      </c>
      <c r="P228" s="1">
        <f t="shared" si="214"/>
        <v>237362.48582500662</v>
      </c>
      <c r="Q228">
        <f t="shared" si="215"/>
        <v>487.19861024535635</v>
      </c>
      <c r="R228" s="1">
        <f t="shared" si="216"/>
        <v>954.90927608089839</v>
      </c>
    </row>
    <row r="229" spans="1:20" x14ac:dyDescent="0.25">
      <c r="A229" t="s">
        <v>151</v>
      </c>
      <c r="B229">
        <v>2000</v>
      </c>
      <c r="C229" t="s">
        <v>42</v>
      </c>
      <c r="D229" s="13">
        <v>16855</v>
      </c>
      <c r="E229" s="1"/>
      <c r="F229" s="1"/>
      <c r="G229" s="1"/>
      <c r="H229" s="1"/>
      <c r="I229" s="21">
        <v>0.86838355205906959</v>
      </c>
      <c r="J229" s="21">
        <v>1.4536667427749639E-3</v>
      </c>
      <c r="K229" s="13">
        <f t="shared" si="213"/>
        <v>19409.626034526136</v>
      </c>
      <c r="L229" s="1">
        <f t="shared" si="193"/>
        <v>726233.05564746587</v>
      </c>
      <c r="M229">
        <f t="shared" si="170"/>
        <v>852.19308589513082</v>
      </c>
      <c r="N229" s="1">
        <f t="shared" si="171"/>
        <v>1670.2984483544565</v>
      </c>
      <c r="O229" s="24">
        <f t="shared" si="192"/>
        <v>2554.6260345261362</v>
      </c>
      <c r="P229" s="1">
        <f t="shared" si="214"/>
        <v>726233.05564746587</v>
      </c>
      <c r="Q229">
        <f t="shared" si="215"/>
        <v>852.19308589513082</v>
      </c>
      <c r="R229" s="1">
        <f t="shared" si="216"/>
        <v>1670.2984483544565</v>
      </c>
    </row>
    <row r="230" spans="1:20" x14ac:dyDescent="0.25">
      <c r="A230" t="s">
        <v>151</v>
      </c>
      <c r="B230">
        <v>2001</v>
      </c>
      <c r="C230" t="s">
        <v>42</v>
      </c>
      <c r="D230" s="13">
        <v>15083</v>
      </c>
      <c r="E230" s="1"/>
      <c r="F230" s="1"/>
      <c r="G230" s="1"/>
      <c r="H230" s="1"/>
      <c r="I230" s="21">
        <v>0.86838355205906959</v>
      </c>
      <c r="J230" s="21">
        <v>1.4536667427749639E-3</v>
      </c>
      <c r="K230" s="13">
        <f t="shared" si="213"/>
        <v>17369.053069045251</v>
      </c>
      <c r="L230" s="1">
        <f t="shared" si="193"/>
        <v>581559.24091147329</v>
      </c>
      <c r="M230">
        <f t="shared" si="170"/>
        <v>762.60031531036839</v>
      </c>
      <c r="N230" s="1">
        <f t="shared" si="171"/>
        <v>1494.696618008322</v>
      </c>
      <c r="O230" s="24">
        <f t="shared" si="192"/>
        <v>2286.0530690452506</v>
      </c>
      <c r="P230" s="1">
        <f t="shared" si="214"/>
        <v>581559.24091147329</v>
      </c>
      <c r="Q230">
        <f t="shared" si="215"/>
        <v>762.60031531036839</v>
      </c>
      <c r="R230" s="1">
        <f t="shared" si="216"/>
        <v>1494.696618008322</v>
      </c>
    </row>
    <row r="231" spans="1:20" x14ac:dyDescent="0.25">
      <c r="A231" t="s">
        <v>151</v>
      </c>
      <c r="B231">
        <v>2002</v>
      </c>
      <c r="C231" t="s">
        <v>42</v>
      </c>
      <c r="D231" s="13">
        <v>14004</v>
      </c>
      <c r="E231" s="1"/>
      <c r="F231" s="1"/>
      <c r="G231" s="1"/>
      <c r="H231" s="1"/>
      <c r="I231" s="21">
        <v>0.86838355205906959</v>
      </c>
      <c r="J231" s="21">
        <v>1.4536667427749639E-3</v>
      </c>
      <c r="K231" s="13">
        <f t="shared" si="213"/>
        <v>16126.514564669476</v>
      </c>
      <c r="L231" s="1">
        <f t="shared" si="193"/>
        <v>501328.85623143055</v>
      </c>
      <c r="M231">
        <f t="shared" si="170"/>
        <v>708.04580094188157</v>
      </c>
      <c r="N231" s="1">
        <f t="shared" si="171"/>
        <v>1387.7697698460879</v>
      </c>
      <c r="O231" s="24">
        <f t="shared" si="192"/>
        <v>2122.5145646694764</v>
      </c>
      <c r="P231" s="1">
        <f t="shared" si="214"/>
        <v>501328.85623143055</v>
      </c>
      <c r="Q231">
        <f t="shared" si="215"/>
        <v>708.04580094188157</v>
      </c>
      <c r="R231" s="1">
        <f t="shared" si="216"/>
        <v>1387.7697698460879</v>
      </c>
    </row>
    <row r="232" spans="1:20" x14ac:dyDescent="0.25">
      <c r="A232" t="s">
        <v>151</v>
      </c>
      <c r="B232">
        <v>2003</v>
      </c>
      <c r="C232" t="s">
        <v>42</v>
      </c>
      <c r="D232" s="13">
        <v>15272</v>
      </c>
      <c r="E232" s="1"/>
      <c r="F232" s="1"/>
      <c r="G232" s="1"/>
      <c r="H232" s="1"/>
      <c r="I232" s="21">
        <v>0.86838355205906959</v>
      </c>
      <c r="J232" s="21">
        <v>1.4536667427749639E-3</v>
      </c>
      <c r="K232" s="13">
        <f t="shared" si="213"/>
        <v>17586.698831164827</v>
      </c>
      <c r="L232" s="1">
        <f t="shared" si="193"/>
        <v>596225.20240177307</v>
      </c>
      <c r="M232">
        <f t="shared" si="170"/>
        <v>772.15620336935262</v>
      </c>
      <c r="N232" s="1">
        <f t="shared" si="171"/>
        <v>1513.4261586039311</v>
      </c>
      <c r="O232" s="24">
        <f t="shared" si="192"/>
        <v>2314.6988311648274</v>
      </c>
      <c r="P232" s="1">
        <f t="shared" si="214"/>
        <v>596225.20240177307</v>
      </c>
      <c r="Q232">
        <f t="shared" si="215"/>
        <v>772.15620336935262</v>
      </c>
      <c r="R232" s="1">
        <f t="shared" si="216"/>
        <v>1513.4261586039311</v>
      </c>
    </row>
    <row r="233" spans="1:20" x14ac:dyDescent="0.25">
      <c r="A233" t="s">
        <v>151</v>
      </c>
      <c r="B233">
        <v>2004</v>
      </c>
      <c r="C233" t="s">
        <v>42</v>
      </c>
      <c r="D233" s="13">
        <v>21796</v>
      </c>
      <c r="E233" s="1"/>
      <c r="F233" s="1"/>
      <c r="G233" s="1"/>
      <c r="H233" s="1"/>
      <c r="I233" s="21">
        <v>0.86838355205906959</v>
      </c>
      <c r="J233" s="21">
        <v>1.4536667427749639E-3</v>
      </c>
      <c r="K233" s="13">
        <f t="shared" ref="K233:K283" si="217">D233/I233</f>
        <v>25099.50810136646</v>
      </c>
      <c r="L233" s="1">
        <f t="shared" si="193"/>
        <v>1214428.9103843591</v>
      </c>
      <c r="M233">
        <f t="shared" si="170"/>
        <v>1102.011302294291</v>
      </c>
      <c r="N233" s="1">
        <f t="shared" si="171"/>
        <v>2159.9421524968102</v>
      </c>
      <c r="O233" s="24">
        <f t="shared" si="192"/>
        <v>3303.5081013664603</v>
      </c>
      <c r="P233" s="1">
        <f t="shared" ref="P233:P283" si="218">L233</f>
        <v>1214428.9103843591</v>
      </c>
      <c r="Q233">
        <f t="shared" ref="Q233:Q283" si="219">SQRT(P233)</f>
        <v>1102.011302294291</v>
      </c>
      <c r="R233" s="1">
        <f t="shared" ref="R233:R283" si="220">(1.96*Q233)</f>
        <v>2159.9421524968102</v>
      </c>
    </row>
    <row r="234" spans="1:20" x14ac:dyDescent="0.25">
      <c r="A234" t="s">
        <v>151</v>
      </c>
      <c r="B234">
        <v>2005</v>
      </c>
      <c r="C234" t="s">
        <v>42</v>
      </c>
      <c r="D234" s="13">
        <v>27304</v>
      </c>
      <c r="E234" s="1"/>
      <c r="F234" s="1"/>
      <c r="G234" s="1"/>
      <c r="H234" s="1"/>
      <c r="I234" s="21">
        <v>0.86838355205906959</v>
      </c>
      <c r="J234" s="21">
        <v>1.4536667427749639E-3</v>
      </c>
      <c r="K234" s="13">
        <f t="shared" si="217"/>
        <v>31442.327454565508</v>
      </c>
      <c r="L234" s="1">
        <f t="shared" si="193"/>
        <v>1905772.4719131205</v>
      </c>
      <c r="M234">
        <f t="shared" si="170"/>
        <v>1380.4971828704035</v>
      </c>
      <c r="N234" s="1">
        <f t="shared" si="171"/>
        <v>2705.7744784259908</v>
      </c>
      <c r="O234" s="24">
        <f t="shared" si="192"/>
        <v>4138.3274545655077</v>
      </c>
      <c r="P234" s="1">
        <f t="shared" si="218"/>
        <v>1905772.4719131205</v>
      </c>
      <c r="Q234">
        <f t="shared" si="219"/>
        <v>1380.4971828704035</v>
      </c>
      <c r="R234" s="1">
        <f t="shared" si="220"/>
        <v>2705.7744784259908</v>
      </c>
    </row>
    <row r="235" spans="1:20" x14ac:dyDescent="0.25">
      <c r="A235" t="s">
        <v>151</v>
      </c>
      <c r="B235">
        <v>2006</v>
      </c>
      <c r="C235" t="s">
        <v>42</v>
      </c>
      <c r="D235" s="13">
        <v>33748</v>
      </c>
      <c r="E235" s="1"/>
      <c r="F235" s="1"/>
      <c r="G235" s="1"/>
      <c r="H235" s="1"/>
      <c r="I235" s="21">
        <v>0.86838355205906959</v>
      </c>
      <c r="J235" s="21">
        <v>1.4536667427749639E-3</v>
      </c>
      <c r="K235" s="13">
        <f t="shared" si="217"/>
        <v>38863.01153445198</v>
      </c>
      <c r="L235" s="1">
        <f t="shared" si="193"/>
        <v>2911485.1530098896</v>
      </c>
      <c r="M235">
        <f t="shared" si="170"/>
        <v>1706.3074614529146</v>
      </c>
      <c r="N235" s="1">
        <f t="shared" si="171"/>
        <v>3344.3626244477127</v>
      </c>
      <c r="O235" s="24">
        <f t="shared" si="192"/>
        <v>5115.01153445198</v>
      </c>
      <c r="P235" s="1">
        <f t="shared" si="218"/>
        <v>2911485.1530098896</v>
      </c>
      <c r="Q235">
        <f t="shared" si="219"/>
        <v>1706.3074614529146</v>
      </c>
      <c r="R235" s="1">
        <f t="shared" si="220"/>
        <v>3344.3626244477127</v>
      </c>
    </row>
    <row r="236" spans="1:20" x14ac:dyDescent="0.25">
      <c r="A236" t="s">
        <v>151</v>
      </c>
      <c r="B236">
        <v>2007</v>
      </c>
      <c r="C236" t="s">
        <v>42</v>
      </c>
      <c r="D236" s="13">
        <v>38443</v>
      </c>
      <c r="E236" s="1"/>
      <c r="F236" s="1"/>
      <c r="G236" s="1"/>
      <c r="H236" s="1"/>
      <c r="I236" s="21">
        <v>0.86838355205906959</v>
      </c>
      <c r="J236" s="21">
        <v>1.4536667427749639E-3</v>
      </c>
      <c r="K236" s="13">
        <f t="shared" si="217"/>
        <v>44269.608641073173</v>
      </c>
      <c r="L236" s="1">
        <f t="shared" si="193"/>
        <v>3777922.4788372577</v>
      </c>
      <c r="M236">
        <f t="shared" si="170"/>
        <v>1943.6878552991109</v>
      </c>
      <c r="N236" s="1">
        <f t="shared" si="171"/>
        <v>3809.6281963862571</v>
      </c>
      <c r="O236" s="24">
        <f t="shared" si="192"/>
        <v>5826.6086410731732</v>
      </c>
      <c r="P236" s="1">
        <f t="shared" si="218"/>
        <v>3777922.4788372577</v>
      </c>
      <c r="Q236">
        <f t="shared" si="219"/>
        <v>1943.6878552991109</v>
      </c>
      <c r="R236" s="1">
        <f t="shared" si="220"/>
        <v>3809.6281963862571</v>
      </c>
    </row>
    <row r="237" spans="1:20" x14ac:dyDescent="0.25">
      <c r="A237" t="s">
        <v>151</v>
      </c>
      <c r="B237">
        <v>2008</v>
      </c>
      <c r="C237" t="s">
        <v>42</v>
      </c>
      <c r="D237" s="13">
        <v>52901</v>
      </c>
      <c r="E237" s="1"/>
      <c r="F237" s="1"/>
      <c r="G237" s="1"/>
      <c r="H237" s="1"/>
      <c r="I237" s="21">
        <v>0.86838355205906959</v>
      </c>
      <c r="J237" s="21">
        <v>1.4536667427749639E-3</v>
      </c>
      <c r="K237" s="13">
        <f t="shared" si="217"/>
        <v>60918.9336607812</v>
      </c>
      <c r="L237" s="1">
        <f t="shared" si="193"/>
        <v>7153955.9598475369</v>
      </c>
      <c r="M237">
        <f t="shared" si="170"/>
        <v>2674.6880116842667</v>
      </c>
      <c r="N237" s="1">
        <f t="shared" si="171"/>
        <v>5242.3885029011626</v>
      </c>
      <c r="O237" s="24">
        <f t="shared" si="192"/>
        <v>8017.9336607812002</v>
      </c>
      <c r="P237" s="1">
        <f t="shared" si="218"/>
        <v>7153955.9598475369</v>
      </c>
      <c r="Q237">
        <f t="shared" si="219"/>
        <v>2674.6880116842667</v>
      </c>
      <c r="R237" s="1">
        <f t="shared" si="220"/>
        <v>5242.3885029011626</v>
      </c>
    </row>
    <row r="238" spans="1:20" x14ac:dyDescent="0.25">
      <c r="A238" t="s">
        <v>151</v>
      </c>
      <c r="B238">
        <v>2009</v>
      </c>
      <c r="C238" t="s">
        <v>42</v>
      </c>
      <c r="D238" s="13">
        <v>31717</v>
      </c>
      <c r="E238" s="1"/>
      <c r="F238" s="1"/>
      <c r="G238" s="1"/>
      <c r="H238" s="1"/>
      <c r="I238" s="21">
        <v>0.86838355205906959</v>
      </c>
      <c r="J238" s="21">
        <v>1.4536667427749639E-3</v>
      </c>
      <c r="K238" s="13">
        <f t="shared" si="217"/>
        <v>36524.183265325752</v>
      </c>
      <c r="L238" s="1">
        <f t="shared" si="193"/>
        <v>2571595.7734261826</v>
      </c>
      <c r="M238">
        <f t="shared" si="170"/>
        <v>1603.6195850095442</v>
      </c>
      <c r="N238" s="1">
        <f t="shared" si="171"/>
        <v>3143.0943866187063</v>
      </c>
      <c r="O238" s="24">
        <f t="shared" si="192"/>
        <v>4807.1832653257516</v>
      </c>
      <c r="P238" s="1">
        <f t="shared" si="218"/>
        <v>2571595.7734261826</v>
      </c>
      <c r="Q238">
        <f t="shared" si="219"/>
        <v>1603.6195850095442</v>
      </c>
      <c r="R238" s="1">
        <f t="shared" si="220"/>
        <v>3143.0943866187063</v>
      </c>
    </row>
    <row r="239" spans="1:20" x14ac:dyDescent="0.25">
      <c r="A239" t="s">
        <v>151</v>
      </c>
      <c r="B239">
        <v>2010</v>
      </c>
      <c r="C239" t="s">
        <v>42</v>
      </c>
      <c r="D239" s="13">
        <v>43813</v>
      </c>
      <c r="E239" s="1"/>
      <c r="F239" s="1"/>
      <c r="G239" s="1"/>
      <c r="H239" s="1"/>
      <c r="I239" s="21">
        <v>0.86838355205906959</v>
      </c>
      <c r="J239" s="21">
        <v>1.4536667427749639E-3</v>
      </c>
      <c r="K239" s="13">
        <f t="shared" si="217"/>
        <v>50453.51204097856</v>
      </c>
      <c r="L239" s="1">
        <f t="shared" si="193"/>
        <v>4907095.1826566225</v>
      </c>
      <c r="M239">
        <f t="shared" si="170"/>
        <v>2215.1964207845367</v>
      </c>
      <c r="N239" s="1">
        <f t="shared" si="171"/>
        <v>4341.784984737692</v>
      </c>
      <c r="O239" s="24">
        <f t="shared" si="192"/>
        <v>6640.5120409785595</v>
      </c>
      <c r="P239" s="1">
        <f t="shared" si="218"/>
        <v>4907095.1826566225</v>
      </c>
      <c r="Q239">
        <f t="shared" si="219"/>
        <v>2215.1964207845367</v>
      </c>
      <c r="R239" s="1">
        <f t="shared" si="220"/>
        <v>4341.784984737692</v>
      </c>
    </row>
    <row r="240" spans="1:20" x14ac:dyDescent="0.25">
      <c r="A240" t="s">
        <v>151</v>
      </c>
      <c r="B240">
        <v>2011</v>
      </c>
      <c r="C240" t="s">
        <v>42</v>
      </c>
      <c r="D240" s="13">
        <v>58843</v>
      </c>
      <c r="E240" s="1">
        <v>41675</v>
      </c>
      <c r="F240" s="1">
        <v>10242682.237273294</v>
      </c>
      <c r="G240" s="11">
        <v>6826</v>
      </c>
      <c r="H240" s="1">
        <v>3307428.1567007052</v>
      </c>
      <c r="I240">
        <f t="shared" ref="I240:I273" si="221">E240/(E240+G240)</f>
        <v>0.85926063380136497</v>
      </c>
      <c r="J240">
        <f t="shared" ref="J240:J273" si="222">((((E240)^2*H240)+((G240)^2*F240))/(E240+G240)^4)</f>
        <v>1.1243461189196558E-3</v>
      </c>
      <c r="K240" s="13">
        <f t="shared" si="217"/>
        <v>68480.968038392311</v>
      </c>
      <c r="L240" s="1">
        <f t="shared" ref="L240:L264" si="223">(D240^2)*J240*(1/(I240^4))</f>
        <v>7141508.8030922944</v>
      </c>
      <c r="M240">
        <f t="shared" ref="M240:M289" si="224">SQRT(L240)</f>
        <v>2672.3601559468543</v>
      </c>
      <c r="N240" s="1">
        <f t="shared" ref="N240:N289" si="225">(1.96*M240)</f>
        <v>5237.8259056558345</v>
      </c>
      <c r="O240" s="24">
        <f t="shared" si="192"/>
        <v>9637.9680383923114</v>
      </c>
      <c r="P240" s="1">
        <f t="shared" si="218"/>
        <v>7141508.8030922944</v>
      </c>
      <c r="Q240">
        <f t="shared" si="219"/>
        <v>2672.3601559468543</v>
      </c>
      <c r="R240" s="1">
        <f t="shared" si="220"/>
        <v>5237.8259056558345</v>
      </c>
      <c r="T240" s="2"/>
    </row>
    <row r="241" spans="1:20" x14ac:dyDescent="0.25">
      <c r="A241" t="s">
        <v>151</v>
      </c>
      <c r="B241">
        <v>2012</v>
      </c>
      <c r="C241" t="s">
        <v>42</v>
      </c>
      <c r="D241" s="13">
        <v>57675</v>
      </c>
      <c r="E241" s="1">
        <v>52345</v>
      </c>
      <c r="F241" s="1">
        <v>13685724.066841852</v>
      </c>
      <c r="G241" s="11">
        <v>5584</v>
      </c>
      <c r="H241" s="1">
        <v>690595.05465465412</v>
      </c>
      <c r="I241">
        <f t="shared" si="221"/>
        <v>0.90360613854891336</v>
      </c>
      <c r="J241">
        <f t="shared" si="222"/>
        <v>2.0592548018437935E-4</v>
      </c>
      <c r="K241" s="13">
        <f t="shared" si="217"/>
        <v>63827.587639698155</v>
      </c>
      <c r="L241" s="1">
        <f t="shared" si="223"/>
        <v>1027468.7062518544</v>
      </c>
      <c r="M241">
        <f t="shared" si="224"/>
        <v>1013.6413104505234</v>
      </c>
      <c r="N241" s="1">
        <f t="shared" si="225"/>
        <v>1986.7369684830257</v>
      </c>
      <c r="O241" s="24">
        <f t="shared" si="192"/>
        <v>6152.5876396981548</v>
      </c>
      <c r="P241" s="1">
        <f t="shared" si="218"/>
        <v>1027468.7062518544</v>
      </c>
      <c r="Q241">
        <f t="shared" si="219"/>
        <v>1013.6413104505234</v>
      </c>
      <c r="R241" s="1">
        <f t="shared" si="220"/>
        <v>1986.7369684830257</v>
      </c>
      <c r="T241" s="2"/>
    </row>
    <row r="242" spans="1:20" x14ac:dyDescent="0.25">
      <c r="A242" t="s">
        <v>151</v>
      </c>
      <c r="B242">
        <v>2013</v>
      </c>
      <c r="C242" t="s">
        <v>42</v>
      </c>
      <c r="D242" s="13">
        <v>60735</v>
      </c>
      <c r="E242" s="1">
        <v>49080</v>
      </c>
      <c r="F242" s="1">
        <v>12607924.147123162</v>
      </c>
      <c r="G242" s="11">
        <v>7782</v>
      </c>
      <c r="H242" s="1">
        <v>2186679.7550740778</v>
      </c>
      <c r="I242">
        <f t="shared" si="221"/>
        <v>0.86314234462382611</v>
      </c>
      <c r="J242">
        <f t="shared" si="222"/>
        <v>5.7689131709178507E-4</v>
      </c>
      <c r="K242" s="13">
        <f t="shared" si="217"/>
        <v>70364.987163814178</v>
      </c>
      <c r="L242" s="1">
        <f t="shared" si="223"/>
        <v>3833914.1323344847</v>
      </c>
      <c r="M242">
        <f t="shared" si="224"/>
        <v>1958.0383378101883</v>
      </c>
      <c r="N242" s="1">
        <f t="shared" si="225"/>
        <v>3837.7551421079688</v>
      </c>
      <c r="O242" s="24">
        <f t="shared" si="192"/>
        <v>9629.9871638141776</v>
      </c>
      <c r="P242" s="1">
        <f t="shared" si="218"/>
        <v>3833914.1323344847</v>
      </c>
      <c r="Q242">
        <f t="shared" si="219"/>
        <v>1958.0383378101883</v>
      </c>
      <c r="R242" s="1">
        <f t="shared" si="220"/>
        <v>3837.7551421079688</v>
      </c>
      <c r="T242" s="2"/>
    </row>
    <row r="243" spans="1:20" x14ac:dyDescent="0.25">
      <c r="A243" t="s">
        <v>151</v>
      </c>
      <c r="B243">
        <v>2014</v>
      </c>
      <c r="C243" t="s">
        <v>42</v>
      </c>
      <c r="D243" s="13">
        <v>73709</v>
      </c>
      <c r="E243" s="1">
        <v>66961</v>
      </c>
      <c r="F243" s="1">
        <v>20277301.63682786</v>
      </c>
      <c r="G243" s="11">
        <v>11809</v>
      </c>
      <c r="H243" s="1">
        <v>7627377.4458368318</v>
      </c>
      <c r="I243">
        <f t="shared" si="221"/>
        <v>0.85008251872540308</v>
      </c>
      <c r="J243">
        <f t="shared" si="222"/>
        <v>9.6178304830558383E-4</v>
      </c>
      <c r="K243" s="13">
        <f t="shared" si="217"/>
        <v>86708.052896462119</v>
      </c>
      <c r="L243" s="1">
        <f t="shared" si="223"/>
        <v>10006306.818414057</v>
      </c>
      <c r="M243">
        <f t="shared" si="224"/>
        <v>3163.2746985385347</v>
      </c>
      <c r="N243" s="1">
        <f t="shared" si="225"/>
        <v>6200.0184091355277</v>
      </c>
      <c r="O243" s="24">
        <f t="shared" si="192"/>
        <v>12999.052896462119</v>
      </c>
      <c r="P243" s="1">
        <f t="shared" si="218"/>
        <v>10006306.818414057</v>
      </c>
      <c r="Q243">
        <f t="shared" si="219"/>
        <v>3163.2746985385347</v>
      </c>
      <c r="R243" s="1">
        <f t="shared" si="220"/>
        <v>6200.0184091355277</v>
      </c>
      <c r="T243" s="2"/>
    </row>
    <row r="244" spans="1:20" x14ac:dyDescent="0.25">
      <c r="A244" t="s">
        <v>151</v>
      </c>
      <c r="B244">
        <v>2015</v>
      </c>
      <c r="C244" t="s">
        <v>42</v>
      </c>
      <c r="D244" s="13">
        <v>80105</v>
      </c>
      <c r="E244" s="1">
        <v>69569</v>
      </c>
      <c r="F244" s="1">
        <v>21055774.694533534</v>
      </c>
      <c r="G244" s="11">
        <v>7082</v>
      </c>
      <c r="H244" s="1">
        <v>2148442.0751791894</v>
      </c>
      <c r="I244">
        <f t="shared" si="221"/>
        <v>0.90760720669006278</v>
      </c>
      <c r="J244">
        <f t="shared" si="222"/>
        <v>3.3181232038789928E-4</v>
      </c>
      <c r="K244" s="13">
        <f t="shared" si="217"/>
        <v>88259.545990311773</v>
      </c>
      <c r="L244" s="1">
        <f t="shared" si="223"/>
        <v>3137762.110543259</v>
      </c>
      <c r="M244">
        <f t="shared" si="224"/>
        <v>1771.3729450748815</v>
      </c>
      <c r="N244" s="1">
        <f t="shared" si="225"/>
        <v>3471.8909723467677</v>
      </c>
      <c r="O244" s="24">
        <f t="shared" si="192"/>
        <v>8154.5459903117735</v>
      </c>
      <c r="P244" s="1">
        <f t="shared" si="218"/>
        <v>3137762.110543259</v>
      </c>
      <c r="Q244">
        <f t="shared" si="219"/>
        <v>1771.3729450748815</v>
      </c>
      <c r="R244" s="1">
        <f t="shared" si="220"/>
        <v>3471.8909723467677</v>
      </c>
      <c r="T244" s="2"/>
    </row>
    <row r="245" spans="1:20" x14ac:dyDescent="0.25">
      <c r="A245" t="s">
        <v>151</v>
      </c>
      <c r="B245">
        <v>2016</v>
      </c>
      <c r="C245" t="s">
        <v>42</v>
      </c>
      <c r="D245" s="13">
        <v>54908</v>
      </c>
      <c r="E245" s="1">
        <v>54929</v>
      </c>
      <c r="F245" s="1">
        <v>12343701.534990964</v>
      </c>
      <c r="G245" s="11">
        <v>8443</v>
      </c>
      <c r="H245" s="1">
        <v>2133387.2032022127</v>
      </c>
      <c r="I245">
        <f t="shared" si="221"/>
        <v>0.8667708136085337</v>
      </c>
      <c r="J245">
        <f t="shared" si="222"/>
        <v>4.5365840836920565E-4</v>
      </c>
      <c r="K245" s="13">
        <f t="shared" si="217"/>
        <v>63347.772142219961</v>
      </c>
      <c r="L245" s="1">
        <f t="shared" si="223"/>
        <v>2423165.6191606135</v>
      </c>
      <c r="M245">
        <f t="shared" si="224"/>
        <v>1556.6520546225522</v>
      </c>
      <c r="N245" s="1">
        <f t="shared" si="225"/>
        <v>3051.0380270602022</v>
      </c>
      <c r="O245" s="24">
        <f t="shared" si="192"/>
        <v>8439.7721422199611</v>
      </c>
      <c r="P245" s="1">
        <f t="shared" si="218"/>
        <v>2423165.6191606135</v>
      </c>
      <c r="Q245">
        <f t="shared" si="219"/>
        <v>1556.6520546225522</v>
      </c>
      <c r="R245" s="1">
        <f t="shared" si="220"/>
        <v>3051.0380270602022</v>
      </c>
      <c r="T245" s="2"/>
    </row>
    <row r="246" spans="1:20" x14ac:dyDescent="0.25">
      <c r="A246" t="s">
        <v>151</v>
      </c>
      <c r="B246">
        <v>2017</v>
      </c>
      <c r="C246" t="s">
        <v>42</v>
      </c>
      <c r="D246" s="13">
        <v>57388</v>
      </c>
      <c r="E246" s="1">
        <v>44003</v>
      </c>
      <c r="F246" s="1">
        <v>10063359.055830875</v>
      </c>
      <c r="G246" s="11">
        <v>11158</v>
      </c>
      <c r="H246" s="1">
        <v>7142546.3929970162</v>
      </c>
      <c r="I246">
        <f t="shared" si="221"/>
        <v>0.79771940320153734</v>
      </c>
      <c r="J246">
        <f t="shared" si="222"/>
        <v>1.6291163705098699E-3</v>
      </c>
      <c r="K246" s="13">
        <f t="shared" si="217"/>
        <v>71940.082903438393</v>
      </c>
      <c r="L246" s="1">
        <f t="shared" si="223"/>
        <v>13249322.287968032</v>
      </c>
      <c r="M246">
        <f t="shared" si="224"/>
        <v>3639.9618525429673</v>
      </c>
      <c r="N246" s="1">
        <f t="shared" si="225"/>
        <v>7134.3252309842155</v>
      </c>
      <c r="O246" s="24">
        <f t="shared" si="192"/>
        <v>14552.082903438393</v>
      </c>
      <c r="P246" s="1">
        <f t="shared" si="218"/>
        <v>13249322.287968032</v>
      </c>
      <c r="Q246">
        <f t="shared" si="219"/>
        <v>3639.9618525429673</v>
      </c>
      <c r="R246" s="1">
        <f t="shared" si="220"/>
        <v>7134.3252309842155</v>
      </c>
      <c r="T246" s="2"/>
    </row>
    <row r="247" spans="1:20" x14ac:dyDescent="0.25">
      <c r="A247" t="s">
        <v>151</v>
      </c>
      <c r="B247">
        <v>2018</v>
      </c>
      <c r="C247" t="s">
        <v>42</v>
      </c>
      <c r="D247" s="13">
        <v>55460</v>
      </c>
      <c r="E247" s="1">
        <v>47886</v>
      </c>
      <c r="F247" s="1">
        <v>14252941.161912879</v>
      </c>
      <c r="G247" s="11">
        <v>5387</v>
      </c>
      <c r="H247" s="1">
        <v>792955.03104704909</v>
      </c>
      <c r="I247">
        <f t="shared" si="221"/>
        <v>0.89887935727291501</v>
      </c>
      <c r="J247">
        <f t="shared" si="222"/>
        <v>2.7710831091213705E-4</v>
      </c>
      <c r="K247" s="13">
        <f t="shared" si="217"/>
        <v>61699.047320720041</v>
      </c>
      <c r="L247" s="1">
        <f t="shared" si="223"/>
        <v>1305580.4963851175</v>
      </c>
      <c r="M247">
        <f t="shared" si="224"/>
        <v>1142.620013996393</v>
      </c>
      <c r="N247" s="1">
        <f t="shared" si="225"/>
        <v>2239.5352274329302</v>
      </c>
      <c r="O247" s="24">
        <f t="shared" si="192"/>
        <v>6239.0473207200412</v>
      </c>
      <c r="P247" s="1">
        <f t="shared" si="218"/>
        <v>1305580.4963851175</v>
      </c>
      <c r="Q247">
        <f t="shared" si="219"/>
        <v>1142.620013996393</v>
      </c>
      <c r="R247" s="1">
        <f t="shared" si="220"/>
        <v>2239.5352274329302</v>
      </c>
      <c r="T247" s="2"/>
    </row>
    <row r="248" spans="1:20" x14ac:dyDescent="0.25">
      <c r="A248" t="s">
        <v>151</v>
      </c>
      <c r="B248">
        <v>2019</v>
      </c>
      <c r="C248" t="s">
        <v>42</v>
      </c>
      <c r="D248" s="13">
        <v>59842</v>
      </c>
      <c r="E248" s="1">
        <v>44354</v>
      </c>
      <c r="F248" s="1">
        <v>9559839.3355916012</v>
      </c>
      <c r="G248" s="54">
        <v>7289</v>
      </c>
      <c r="H248" s="1">
        <v>1897155.0750740643</v>
      </c>
      <c r="I248">
        <f t="shared" si="221"/>
        <v>0.85885792847046061</v>
      </c>
      <c r="J248">
        <f t="shared" si="222"/>
        <v>5.9612087027981859E-4</v>
      </c>
      <c r="K248" s="13">
        <f t="shared" si="217"/>
        <v>69676.250304369401</v>
      </c>
      <c r="L248" s="1">
        <f>(D248^2)*J248*(1/(I248^4))</f>
        <v>3923387.5515685715</v>
      </c>
      <c r="M248">
        <f>SQRT(L248)</f>
        <v>1980.7542885397399</v>
      </c>
      <c r="N248" s="1">
        <f>(1.96*M248)</f>
        <v>3882.2784055378902</v>
      </c>
      <c r="O248" s="24">
        <f t="shared" si="192"/>
        <v>9834.2503043694014</v>
      </c>
      <c r="P248" s="1">
        <f>L248</f>
        <v>3923387.5515685715</v>
      </c>
      <c r="Q248">
        <f>SQRT(P248)</f>
        <v>1980.7542885397399</v>
      </c>
      <c r="R248" s="1">
        <f>(1.96*Q248)</f>
        <v>3882.2784055378902</v>
      </c>
      <c r="T248" s="2"/>
    </row>
    <row r="249" spans="1:20" x14ac:dyDescent="0.25">
      <c r="A249" t="s">
        <v>151</v>
      </c>
      <c r="B249">
        <v>2020</v>
      </c>
      <c r="C249" t="s">
        <v>42</v>
      </c>
      <c r="D249" s="13">
        <v>24728</v>
      </c>
      <c r="E249" s="1">
        <v>23972</v>
      </c>
      <c r="F249" s="1">
        <v>2929407.5649889908</v>
      </c>
      <c r="G249" s="54">
        <v>5409</v>
      </c>
      <c r="H249" s="1">
        <v>2810036.4944934789</v>
      </c>
      <c r="I249">
        <f t="shared" ref="I249:I251" si="226">E249/(E249+G249)</f>
        <v>0.81590143289881212</v>
      </c>
      <c r="J249">
        <f t="shared" ref="J249:J250" si="227">((((E249)^2*H249)+((G249)^2*F249))/(E249+G249)^4)</f>
        <v>2.2819896619486408E-3</v>
      </c>
      <c r="K249" s="13">
        <f t="shared" ref="K249:K250" si="228">D249/I249</f>
        <v>30307.582512931756</v>
      </c>
      <c r="L249" s="1">
        <f t="shared" ref="L249:L250" si="229">(D249^2)*J249*(1/(I249^4))</f>
        <v>3148769.5238355137</v>
      </c>
      <c r="M249">
        <f t="shared" ref="M249:M250" si="230">SQRT(L249)</f>
        <v>1774.4772536821974</v>
      </c>
      <c r="N249" s="1">
        <f t="shared" ref="N249:N250" si="231">(1.96*M249)</f>
        <v>3477.975417217107</v>
      </c>
      <c r="O249" s="24">
        <f t="shared" ref="O249:O250" si="232">K249-D249</f>
        <v>5579.5825129317564</v>
      </c>
      <c r="P249" s="1">
        <f t="shared" ref="P249:P250" si="233">L249</f>
        <v>3148769.5238355137</v>
      </c>
      <c r="Q249">
        <f t="shared" ref="Q249:Q250" si="234">SQRT(P249)</f>
        <v>1774.4772536821974</v>
      </c>
      <c r="R249" s="1">
        <f t="shared" ref="R249:R250" si="235">(1.96*Q249)</f>
        <v>3477.975417217107</v>
      </c>
      <c r="T249" s="2"/>
    </row>
    <row r="250" spans="1:20" x14ac:dyDescent="0.25">
      <c r="A250" t="s">
        <v>151</v>
      </c>
      <c r="B250">
        <v>2021</v>
      </c>
      <c r="C250" t="s">
        <v>42</v>
      </c>
      <c r="D250" s="13">
        <v>56521</v>
      </c>
      <c r="E250" s="1">
        <v>57621</v>
      </c>
      <c r="F250" s="1">
        <v>16759884.709748719</v>
      </c>
      <c r="G250" s="54">
        <v>6423</v>
      </c>
      <c r="H250" s="1">
        <v>1318267.870269275</v>
      </c>
      <c r="I250">
        <f t="shared" si="226"/>
        <v>0.89970957466741619</v>
      </c>
      <c r="J250">
        <f t="shared" si="227"/>
        <v>3.0126571996868953E-4</v>
      </c>
      <c r="K250" s="13">
        <f t="shared" si="228"/>
        <v>62821.383245691672</v>
      </c>
      <c r="L250" s="1">
        <f t="shared" si="229"/>
        <v>1468791.0672018982</v>
      </c>
      <c r="M250">
        <f t="shared" si="230"/>
        <v>1211.9369072694742</v>
      </c>
      <c r="N250" s="1">
        <f t="shared" si="231"/>
        <v>2375.3963382481693</v>
      </c>
      <c r="O250" s="24">
        <f t="shared" si="232"/>
        <v>6300.3832456916716</v>
      </c>
      <c r="P250" s="1">
        <f t="shared" si="233"/>
        <v>1468791.0672018982</v>
      </c>
      <c r="Q250">
        <f t="shared" si="234"/>
        <v>1211.9369072694742</v>
      </c>
      <c r="R250" s="1">
        <f t="shared" si="235"/>
        <v>2375.3963382481693</v>
      </c>
      <c r="T250" s="2"/>
    </row>
    <row r="251" spans="1:20" s="51" customFormat="1" x14ac:dyDescent="0.25">
      <c r="A251" s="51" t="s">
        <v>151</v>
      </c>
      <c r="B251" s="51">
        <v>2022</v>
      </c>
      <c r="C251" s="51" t="s">
        <v>42</v>
      </c>
      <c r="D251" s="71">
        <v>67729</v>
      </c>
      <c r="E251" s="72">
        <v>62221</v>
      </c>
      <c r="F251" s="72">
        <f>4195^2</f>
        <v>17598025</v>
      </c>
      <c r="G251" s="75">
        <v>10313</v>
      </c>
      <c r="H251" s="72">
        <f>1999^2</f>
        <v>3996001</v>
      </c>
      <c r="I251" s="51">
        <f t="shared" si="226"/>
        <v>0.85781840240438967</v>
      </c>
      <c r="J251">
        <f t="shared" ref="J251" si="236">((((E251)^2*H251)+((G251)^2*F251))/(E251+G251)^4)</f>
        <v>6.2651743524697533E-4</v>
      </c>
      <c r="K251" s="13">
        <f t="shared" ref="K251" si="237">D251/I251</f>
        <v>78954.939425595861</v>
      </c>
      <c r="L251" s="1">
        <f t="shared" ref="L251" si="238">(D251^2)*J251*(1/(I251^4))</f>
        <v>5307635.0491281012</v>
      </c>
      <c r="M251">
        <f t="shared" ref="M251" si="239">SQRT(L251)</f>
        <v>2303.8305165806146</v>
      </c>
      <c r="N251" s="1">
        <f t="shared" ref="N251" si="240">(1.96*M251)</f>
        <v>4515.5078124980046</v>
      </c>
      <c r="O251" s="24">
        <f t="shared" ref="O251" si="241">K251-D251</f>
        <v>11225.939425595861</v>
      </c>
      <c r="P251" s="1">
        <f t="shared" ref="P251" si="242">L251</f>
        <v>5307635.0491281012</v>
      </c>
      <c r="Q251">
        <f t="shared" ref="Q251" si="243">SQRT(P251)</f>
        <v>2303.8305165806146</v>
      </c>
      <c r="R251" s="1">
        <f t="shared" ref="R251" si="244">(1.96*Q251)</f>
        <v>4515.5078124980046</v>
      </c>
      <c r="T251" s="76"/>
    </row>
    <row r="252" spans="1:20" x14ac:dyDescent="0.25">
      <c r="A252" t="s">
        <v>151</v>
      </c>
      <c r="B252">
        <v>1998</v>
      </c>
      <c r="C252" t="s">
        <v>83</v>
      </c>
      <c r="D252" s="13">
        <v>1305</v>
      </c>
      <c r="E252" s="1"/>
      <c r="F252" s="1"/>
      <c r="G252" s="1"/>
      <c r="H252" s="1"/>
      <c r="I252" s="21">
        <f>AVERAGE(I265:I272)</f>
        <v>0.79329428486217379</v>
      </c>
      <c r="J252" s="21">
        <v>6.3002293625166695E-3</v>
      </c>
      <c r="K252" s="13">
        <f t="shared" si="217"/>
        <v>1645.0389532640204</v>
      </c>
      <c r="L252" s="1">
        <f t="shared" si="223"/>
        <v>27091.93854220381</v>
      </c>
      <c r="M252">
        <f t="shared" si="224"/>
        <v>164.59628957605275</v>
      </c>
      <c r="N252" s="1">
        <f t="shared" si="225"/>
        <v>322.60872756906338</v>
      </c>
      <c r="O252" s="24">
        <f t="shared" si="192"/>
        <v>340.03895326402039</v>
      </c>
      <c r="P252" s="1">
        <f t="shared" si="218"/>
        <v>27091.93854220381</v>
      </c>
      <c r="Q252">
        <f t="shared" si="219"/>
        <v>164.59628957605275</v>
      </c>
      <c r="R252" s="1">
        <f t="shared" si="220"/>
        <v>322.60872756906338</v>
      </c>
    </row>
    <row r="253" spans="1:20" x14ac:dyDescent="0.25">
      <c r="A253" t="s">
        <v>151</v>
      </c>
      <c r="B253">
        <v>1999</v>
      </c>
      <c r="C253" t="s">
        <v>83</v>
      </c>
      <c r="D253" s="13">
        <v>663</v>
      </c>
      <c r="E253" s="1"/>
      <c r="F253" s="1"/>
      <c r="G253" s="1"/>
      <c r="H253" s="1"/>
      <c r="I253" s="21">
        <v>0.79329428486217379</v>
      </c>
      <c r="J253" s="21">
        <v>6.3002293625166695E-3</v>
      </c>
      <c r="K253" s="13">
        <f t="shared" si="217"/>
        <v>835.7554222329851</v>
      </c>
      <c r="L253" s="1">
        <f t="shared" si="223"/>
        <v>6992.7196212962144</v>
      </c>
      <c r="M253">
        <f t="shared" si="224"/>
        <v>83.622482750132548</v>
      </c>
      <c r="N253" s="1">
        <f t="shared" si="225"/>
        <v>163.90006619025979</v>
      </c>
      <c r="O253" s="24">
        <f t="shared" si="192"/>
        <v>172.7554222329851</v>
      </c>
      <c r="P253" s="1">
        <f t="shared" si="218"/>
        <v>6992.7196212962144</v>
      </c>
      <c r="Q253">
        <f t="shared" si="219"/>
        <v>83.622482750132548</v>
      </c>
      <c r="R253" s="1">
        <f t="shared" si="220"/>
        <v>163.90006619025979</v>
      </c>
    </row>
    <row r="254" spans="1:20" x14ac:dyDescent="0.25">
      <c r="A254" t="s">
        <v>151</v>
      </c>
      <c r="B254">
        <v>2000</v>
      </c>
      <c r="C254" t="s">
        <v>83</v>
      </c>
      <c r="D254" s="13">
        <v>1199</v>
      </c>
      <c r="E254" s="1"/>
      <c r="F254" s="1"/>
      <c r="G254" s="1"/>
      <c r="H254" s="1"/>
      <c r="I254" s="21">
        <v>0.79329428486217379</v>
      </c>
      <c r="J254" s="21">
        <v>6.3002293625166695E-3</v>
      </c>
      <c r="K254" s="13">
        <f t="shared" si="217"/>
        <v>1511.4189310065597</v>
      </c>
      <c r="L254" s="1">
        <f t="shared" si="223"/>
        <v>22869.539754384543</v>
      </c>
      <c r="M254">
        <f t="shared" si="224"/>
        <v>151.22678253002854</v>
      </c>
      <c r="N254" s="1">
        <f t="shared" si="225"/>
        <v>296.40449375885595</v>
      </c>
      <c r="O254" s="24">
        <f t="shared" si="192"/>
        <v>312.41893100655966</v>
      </c>
      <c r="P254" s="1">
        <f t="shared" si="218"/>
        <v>22869.539754384543</v>
      </c>
      <c r="Q254">
        <f t="shared" si="219"/>
        <v>151.22678253002854</v>
      </c>
      <c r="R254" s="1">
        <f t="shared" si="220"/>
        <v>296.40449375885595</v>
      </c>
    </row>
    <row r="255" spans="1:20" x14ac:dyDescent="0.25">
      <c r="A255" t="s">
        <v>151</v>
      </c>
      <c r="B255">
        <v>2001</v>
      </c>
      <c r="C255" t="s">
        <v>83</v>
      </c>
      <c r="D255" s="13">
        <v>1043</v>
      </c>
      <c r="E255" s="1"/>
      <c r="F255" s="1"/>
      <c r="G255" s="1"/>
      <c r="H255" s="1"/>
      <c r="I255" s="21">
        <v>0.79329428486217379</v>
      </c>
      <c r="J255" s="21">
        <v>6.3002293625166695E-3</v>
      </c>
      <c r="K255" s="13">
        <f t="shared" si="217"/>
        <v>1314.7705963635044</v>
      </c>
      <c r="L255" s="1">
        <f t="shared" si="223"/>
        <v>17305.640405277591</v>
      </c>
      <c r="M255">
        <f t="shared" si="224"/>
        <v>131.5509042358797</v>
      </c>
      <c r="N255" s="1">
        <f t="shared" si="225"/>
        <v>257.83977230232421</v>
      </c>
      <c r="O255" s="24">
        <f t="shared" si="192"/>
        <v>271.77059636350441</v>
      </c>
      <c r="P255" s="1">
        <f t="shared" si="218"/>
        <v>17305.640405277591</v>
      </c>
      <c r="Q255">
        <f t="shared" si="219"/>
        <v>131.5509042358797</v>
      </c>
      <c r="R255" s="1">
        <f t="shared" si="220"/>
        <v>257.83977230232421</v>
      </c>
    </row>
    <row r="256" spans="1:20" x14ac:dyDescent="0.25">
      <c r="A256" t="s">
        <v>151</v>
      </c>
      <c r="B256">
        <v>2002</v>
      </c>
      <c r="C256" t="s">
        <v>83</v>
      </c>
      <c r="D256" s="13">
        <v>893</v>
      </c>
      <c r="E256" s="1"/>
      <c r="F256" s="1"/>
      <c r="G256" s="1"/>
      <c r="H256" s="1"/>
      <c r="I256" s="21">
        <v>0.79329428486217379</v>
      </c>
      <c r="J256" s="21">
        <v>6.3002293625166695E-3</v>
      </c>
      <c r="K256" s="13">
        <f t="shared" si="217"/>
        <v>1125.6856592067204</v>
      </c>
      <c r="L256" s="1">
        <f t="shared" si="223"/>
        <v>12685.920229322461</v>
      </c>
      <c r="M256">
        <f t="shared" si="224"/>
        <v>112.63179049150583</v>
      </c>
      <c r="N256" s="1">
        <f t="shared" si="225"/>
        <v>220.7583093633514</v>
      </c>
      <c r="O256" s="24">
        <f t="shared" si="192"/>
        <v>232.6856592067204</v>
      </c>
      <c r="P256" s="1">
        <f t="shared" si="218"/>
        <v>12685.920229322461</v>
      </c>
      <c r="Q256">
        <f t="shared" si="219"/>
        <v>112.63179049150583</v>
      </c>
      <c r="R256" s="1">
        <f t="shared" si="220"/>
        <v>220.7583093633514</v>
      </c>
    </row>
    <row r="257" spans="1:20" x14ac:dyDescent="0.25">
      <c r="A257" t="s">
        <v>151</v>
      </c>
      <c r="B257">
        <v>2003</v>
      </c>
      <c r="C257" t="s">
        <v>83</v>
      </c>
      <c r="D257" s="13">
        <v>1627</v>
      </c>
      <c r="E257" s="1"/>
      <c r="F257" s="1"/>
      <c r="G257" s="1"/>
      <c r="H257" s="1"/>
      <c r="I257" s="21">
        <v>0.79329428486217379</v>
      </c>
      <c r="J257" s="21">
        <v>6.3002293625166695E-3</v>
      </c>
      <c r="K257" s="13">
        <f t="shared" si="217"/>
        <v>2050.9412850272502</v>
      </c>
      <c r="L257" s="1">
        <f t="shared" si="223"/>
        <v>42110.865184765593</v>
      </c>
      <c r="M257">
        <f t="shared" si="224"/>
        <v>205.20932041397532</v>
      </c>
      <c r="N257" s="1">
        <f t="shared" si="225"/>
        <v>402.21026801139163</v>
      </c>
      <c r="O257" s="24">
        <f t="shared" si="192"/>
        <v>423.94128502725016</v>
      </c>
      <c r="P257" s="1">
        <f t="shared" si="218"/>
        <v>42110.865184765593</v>
      </c>
      <c r="Q257">
        <f t="shared" si="219"/>
        <v>205.20932041397532</v>
      </c>
      <c r="R257" s="1">
        <f t="shared" si="220"/>
        <v>402.21026801139163</v>
      </c>
    </row>
    <row r="258" spans="1:20" x14ac:dyDescent="0.25">
      <c r="A258" t="s">
        <v>151</v>
      </c>
      <c r="B258">
        <v>2004</v>
      </c>
      <c r="C258" t="s">
        <v>83</v>
      </c>
      <c r="D258" s="13">
        <v>1501</v>
      </c>
      <c r="E258" s="1"/>
      <c r="F258" s="1"/>
      <c r="G258" s="1"/>
      <c r="H258" s="1"/>
      <c r="I258" s="21">
        <v>0.79329428486217379</v>
      </c>
      <c r="J258" s="21">
        <v>6.3002293625166695E-3</v>
      </c>
      <c r="K258" s="13">
        <f t="shared" si="217"/>
        <v>1892.1099378155513</v>
      </c>
      <c r="L258" s="1">
        <f t="shared" si="223"/>
        <v>35841.026777365994</v>
      </c>
      <c r="M258">
        <f t="shared" si="224"/>
        <v>189.31726486870127</v>
      </c>
      <c r="N258" s="1">
        <f t="shared" si="225"/>
        <v>371.06183914265449</v>
      </c>
      <c r="O258" s="24">
        <f t="shared" si="192"/>
        <v>391.10993781555135</v>
      </c>
      <c r="P258" s="1">
        <f t="shared" si="218"/>
        <v>35841.026777365994</v>
      </c>
      <c r="Q258">
        <f t="shared" si="219"/>
        <v>189.31726486870127</v>
      </c>
      <c r="R258" s="1">
        <f t="shared" si="220"/>
        <v>371.06183914265449</v>
      </c>
    </row>
    <row r="259" spans="1:20" x14ac:dyDescent="0.25">
      <c r="A259" t="s">
        <v>151</v>
      </c>
      <c r="B259">
        <v>2005</v>
      </c>
      <c r="C259" t="s">
        <v>83</v>
      </c>
      <c r="D259" s="13">
        <v>1676</v>
      </c>
      <c r="E259" s="1"/>
      <c r="F259" s="1"/>
      <c r="G259" s="1"/>
      <c r="H259" s="1"/>
      <c r="I259" s="21">
        <v>0.79329428486217379</v>
      </c>
      <c r="J259" s="21">
        <v>6.3002293625166695E-3</v>
      </c>
      <c r="K259" s="13">
        <f t="shared" si="217"/>
        <v>2112.7090311651327</v>
      </c>
      <c r="L259" s="1">
        <f t="shared" si="223"/>
        <v>44685.54786836687</v>
      </c>
      <c r="M259">
        <f t="shared" si="224"/>
        <v>211.38956423713748</v>
      </c>
      <c r="N259" s="1">
        <f t="shared" si="225"/>
        <v>414.32354590478946</v>
      </c>
      <c r="O259" s="24">
        <f t="shared" si="192"/>
        <v>436.70903116513273</v>
      </c>
      <c r="P259" s="1">
        <f t="shared" si="218"/>
        <v>44685.54786836687</v>
      </c>
      <c r="Q259">
        <f t="shared" si="219"/>
        <v>211.38956423713748</v>
      </c>
      <c r="R259" s="1">
        <f t="shared" si="220"/>
        <v>414.32354590478946</v>
      </c>
    </row>
    <row r="260" spans="1:20" x14ac:dyDescent="0.25">
      <c r="A260" t="s">
        <v>151</v>
      </c>
      <c r="B260">
        <v>2006</v>
      </c>
      <c r="C260" t="s">
        <v>83</v>
      </c>
      <c r="D260" s="13">
        <v>2529</v>
      </c>
      <c r="E260" s="1"/>
      <c r="F260" s="1"/>
      <c r="G260" s="1"/>
      <c r="H260" s="1"/>
      <c r="I260" s="21">
        <v>0.79329428486217379</v>
      </c>
      <c r="J260" s="21">
        <v>6.3002293625166695E-3</v>
      </c>
      <c r="K260" s="13">
        <f t="shared" si="217"/>
        <v>3187.9720404633777</v>
      </c>
      <c r="L260" s="1">
        <f t="shared" si="223"/>
        <v>101745.85299552699</v>
      </c>
      <c r="M260">
        <f t="shared" si="224"/>
        <v>318.97625773014357</v>
      </c>
      <c r="N260" s="1">
        <f t="shared" si="225"/>
        <v>625.19346515108134</v>
      </c>
      <c r="O260" s="24">
        <f t="shared" si="192"/>
        <v>658.97204046337765</v>
      </c>
      <c r="P260" s="1">
        <f t="shared" si="218"/>
        <v>101745.85299552699</v>
      </c>
      <c r="Q260">
        <f t="shared" si="219"/>
        <v>318.97625773014357</v>
      </c>
      <c r="R260" s="1">
        <f t="shared" si="220"/>
        <v>625.19346515108134</v>
      </c>
    </row>
    <row r="261" spans="1:20" x14ac:dyDescent="0.25">
      <c r="A261" t="s">
        <v>151</v>
      </c>
      <c r="B261">
        <v>2007</v>
      </c>
      <c r="C261" t="s">
        <v>83</v>
      </c>
      <c r="D261" s="13">
        <v>2290</v>
      </c>
      <c r="E261" s="1"/>
      <c r="F261" s="1"/>
      <c r="G261" s="1"/>
      <c r="H261" s="1"/>
      <c r="I261" s="21">
        <v>0.79329428486217379</v>
      </c>
      <c r="J261" s="21">
        <v>6.3002293625166695E-3</v>
      </c>
      <c r="K261" s="13">
        <f t="shared" si="217"/>
        <v>2886.6967072602351</v>
      </c>
      <c r="L261" s="1">
        <f t="shared" si="223"/>
        <v>83423.810519029968</v>
      </c>
      <c r="M261">
        <f t="shared" si="224"/>
        <v>288.8318031641079</v>
      </c>
      <c r="N261" s="1">
        <f t="shared" si="225"/>
        <v>566.11033420165143</v>
      </c>
      <c r="O261" s="24">
        <f t="shared" si="192"/>
        <v>596.69670726023514</v>
      </c>
      <c r="P261" s="1">
        <f t="shared" si="218"/>
        <v>83423.810519029968</v>
      </c>
      <c r="Q261">
        <f t="shared" si="219"/>
        <v>288.8318031641079</v>
      </c>
      <c r="R261" s="1">
        <f t="shared" si="220"/>
        <v>566.11033420165143</v>
      </c>
    </row>
    <row r="262" spans="1:20" x14ac:dyDescent="0.25">
      <c r="A262" t="s">
        <v>151</v>
      </c>
      <c r="B262">
        <v>2008</v>
      </c>
      <c r="C262" t="s">
        <v>83</v>
      </c>
      <c r="D262" s="13">
        <v>2857</v>
      </c>
      <c r="E262" s="1"/>
      <c r="F262" s="1"/>
      <c r="G262" s="1"/>
      <c r="H262" s="1"/>
      <c r="I262" s="21">
        <v>0.79329428486217379</v>
      </c>
      <c r="J262" s="21">
        <v>6.3002293625166695E-3</v>
      </c>
      <c r="K262" s="13">
        <f t="shared" si="217"/>
        <v>3601.4377697128784</v>
      </c>
      <c r="L262" s="1">
        <f t="shared" si="223"/>
        <v>129849.277997606</v>
      </c>
      <c r="M262">
        <f t="shared" si="224"/>
        <v>360.34605311784117</v>
      </c>
      <c r="N262" s="1">
        <f t="shared" si="225"/>
        <v>706.27826411096862</v>
      </c>
      <c r="O262" s="24">
        <f t="shared" si="192"/>
        <v>744.43776971287843</v>
      </c>
      <c r="P262" s="1">
        <f t="shared" si="218"/>
        <v>129849.277997606</v>
      </c>
      <c r="Q262">
        <f t="shared" si="219"/>
        <v>360.34605311784117</v>
      </c>
      <c r="R262" s="1">
        <f t="shared" si="220"/>
        <v>706.27826411096862</v>
      </c>
    </row>
    <row r="263" spans="1:20" x14ac:dyDescent="0.25">
      <c r="A263" t="s">
        <v>151</v>
      </c>
      <c r="B263">
        <v>2009</v>
      </c>
      <c r="C263" t="s">
        <v>83</v>
      </c>
      <c r="D263" s="13">
        <v>2494</v>
      </c>
      <c r="E263" s="1"/>
      <c r="F263" s="1"/>
      <c r="G263" s="1"/>
      <c r="H263" s="1"/>
      <c r="I263" s="21">
        <v>0.79329428486217379</v>
      </c>
      <c r="J263" s="21">
        <v>6.3002293625166695E-3</v>
      </c>
      <c r="K263" s="13">
        <f t="shared" si="217"/>
        <v>3143.852221793461</v>
      </c>
      <c r="L263" s="1">
        <f t="shared" si="223"/>
        <v>98949.124670686113</v>
      </c>
      <c r="M263">
        <f t="shared" si="224"/>
        <v>314.56179785645634</v>
      </c>
      <c r="N263" s="1">
        <f t="shared" si="225"/>
        <v>616.54112379865444</v>
      </c>
      <c r="O263" s="24">
        <f t="shared" si="192"/>
        <v>649.85222179346101</v>
      </c>
      <c r="P263" s="1">
        <f t="shared" si="218"/>
        <v>98949.124670686113</v>
      </c>
      <c r="Q263">
        <f t="shared" si="219"/>
        <v>314.56179785645634</v>
      </c>
      <c r="R263" s="1">
        <f t="shared" si="220"/>
        <v>616.54112379865444</v>
      </c>
    </row>
    <row r="264" spans="1:20" x14ac:dyDescent="0.25">
      <c r="A264" t="s">
        <v>151</v>
      </c>
      <c r="B264">
        <v>2010</v>
      </c>
      <c r="C264" t="s">
        <v>83</v>
      </c>
      <c r="D264" s="13">
        <v>2435</v>
      </c>
      <c r="E264" s="1"/>
      <c r="F264" s="1"/>
      <c r="G264" s="1"/>
      <c r="H264" s="1"/>
      <c r="I264" s="21">
        <v>0.79329428486217379</v>
      </c>
      <c r="J264" s="21">
        <v>6.3002293625166695E-3</v>
      </c>
      <c r="K264" s="13">
        <f t="shared" si="217"/>
        <v>3069.4788131784594</v>
      </c>
      <c r="L264" s="1">
        <f t="shared" si="223"/>
        <v>94322.866254399312</v>
      </c>
      <c r="M264">
        <f t="shared" si="224"/>
        <v>307.12027978366933</v>
      </c>
      <c r="N264" s="1">
        <f t="shared" si="225"/>
        <v>601.9557483759919</v>
      </c>
      <c r="O264" s="24">
        <f t="shared" si="192"/>
        <v>634.4788131784594</v>
      </c>
      <c r="P264" s="1">
        <f t="shared" si="218"/>
        <v>94322.866254399312</v>
      </c>
      <c r="Q264">
        <f t="shared" si="219"/>
        <v>307.12027978366933</v>
      </c>
      <c r="R264" s="1">
        <f t="shared" si="220"/>
        <v>601.9557483759919</v>
      </c>
    </row>
    <row r="265" spans="1:20" x14ac:dyDescent="0.25">
      <c r="A265" t="s">
        <v>151</v>
      </c>
      <c r="B265">
        <v>2011</v>
      </c>
      <c r="C265" t="s">
        <v>83</v>
      </c>
      <c r="D265" s="13">
        <v>2848</v>
      </c>
      <c r="E265" s="30">
        <v>1832</v>
      </c>
      <c r="F265" s="30">
        <v>176053.86633733797</v>
      </c>
      <c r="G265" s="31">
        <v>924</v>
      </c>
      <c r="H265" s="30">
        <v>122664.84272672671</v>
      </c>
      <c r="I265">
        <f t="shared" si="221"/>
        <v>0.66473149492017414</v>
      </c>
      <c r="J265">
        <f t="shared" si="222"/>
        <v>9.7413788194444864E-3</v>
      </c>
      <c r="K265" s="13">
        <f t="shared" si="217"/>
        <v>4284.4366812227072</v>
      </c>
      <c r="L265" s="1">
        <f t="shared" ref="L265:L289" si="245">(D265^2)*J265*(1/(I265^4))</f>
        <v>404683.38862902793</v>
      </c>
      <c r="M265">
        <f t="shared" si="224"/>
        <v>636.1473010467214</v>
      </c>
      <c r="N265" s="1">
        <f t="shared" si="225"/>
        <v>1246.848710051574</v>
      </c>
      <c r="O265" s="24">
        <f t="shared" si="192"/>
        <v>1436.4366812227072</v>
      </c>
      <c r="P265" s="1">
        <f t="shared" si="218"/>
        <v>404683.38862902793</v>
      </c>
      <c r="Q265">
        <f t="shared" si="219"/>
        <v>636.1473010467214</v>
      </c>
      <c r="R265" s="1">
        <f t="shared" si="220"/>
        <v>1246.848710051574</v>
      </c>
      <c r="T265" s="2"/>
    </row>
    <row r="266" spans="1:20" x14ac:dyDescent="0.25">
      <c r="A266" t="s">
        <v>151</v>
      </c>
      <c r="B266">
        <v>2012</v>
      </c>
      <c r="C266" t="s">
        <v>83</v>
      </c>
      <c r="D266" s="13">
        <v>3241</v>
      </c>
      <c r="E266" s="30">
        <v>3119</v>
      </c>
      <c r="F266" s="30">
        <v>542335.47303203226</v>
      </c>
      <c r="G266" s="31">
        <v>515</v>
      </c>
      <c r="H266" s="30">
        <v>29946.435506506437</v>
      </c>
      <c r="I266">
        <f t="shared" si="221"/>
        <v>0.85828288387451845</v>
      </c>
      <c r="J266">
        <f t="shared" si="222"/>
        <v>2.4952492785689589E-3</v>
      </c>
      <c r="K266" s="13">
        <f t="shared" si="217"/>
        <v>3776.1442770118629</v>
      </c>
      <c r="L266" s="1">
        <f t="shared" si="245"/>
        <v>48300.340637739224</v>
      </c>
      <c r="M266">
        <f t="shared" si="224"/>
        <v>219.77338473468353</v>
      </c>
      <c r="N266" s="1">
        <f t="shared" si="225"/>
        <v>430.75583407997971</v>
      </c>
      <c r="O266" s="24">
        <f t="shared" si="192"/>
        <v>535.14427701186287</v>
      </c>
      <c r="P266" s="1">
        <f t="shared" si="218"/>
        <v>48300.340637739224</v>
      </c>
      <c r="Q266">
        <f t="shared" si="219"/>
        <v>219.77338473468353</v>
      </c>
      <c r="R266" s="1">
        <f t="shared" si="220"/>
        <v>430.75583407997971</v>
      </c>
      <c r="T266" s="2"/>
    </row>
    <row r="267" spans="1:20" x14ac:dyDescent="0.25">
      <c r="A267" t="s">
        <v>151</v>
      </c>
      <c r="B267">
        <v>2013</v>
      </c>
      <c r="C267" t="s">
        <v>83</v>
      </c>
      <c r="D267" s="13">
        <v>3884</v>
      </c>
      <c r="E267" s="30">
        <v>3921</v>
      </c>
      <c r="F267" s="30">
        <v>740603.94434434373</v>
      </c>
      <c r="G267" s="31">
        <v>597</v>
      </c>
      <c r="H267" s="30">
        <v>71509.156180180347</v>
      </c>
      <c r="I267">
        <f t="shared" si="221"/>
        <v>0.86786188579017265</v>
      </c>
      <c r="J267">
        <f t="shared" si="222"/>
        <v>3.2720856103039568E-3</v>
      </c>
      <c r="K267" s="13">
        <f t="shared" si="217"/>
        <v>4475.3664881407803</v>
      </c>
      <c r="L267" s="1">
        <f t="shared" si="245"/>
        <v>87012.297802534755</v>
      </c>
      <c r="M267">
        <f t="shared" si="224"/>
        <v>294.97847006609612</v>
      </c>
      <c r="N267" s="1">
        <f t="shared" si="225"/>
        <v>578.15780132954842</v>
      </c>
      <c r="O267" s="24">
        <f t="shared" si="192"/>
        <v>591.36648814078035</v>
      </c>
      <c r="P267" s="1">
        <f t="shared" si="218"/>
        <v>87012.297802534755</v>
      </c>
      <c r="Q267">
        <f t="shared" si="219"/>
        <v>294.97847006609612</v>
      </c>
      <c r="R267" s="1">
        <f t="shared" si="220"/>
        <v>578.15780132954842</v>
      </c>
      <c r="T267" s="2"/>
    </row>
    <row r="268" spans="1:20" x14ac:dyDescent="0.25">
      <c r="A268" t="s">
        <v>151</v>
      </c>
      <c r="B268">
        <v>2014</v>
      </c>
      <c r="C268" t="s">
        <v>83</v>
      </c>
      <c r="D268" s="13">
        <v>4695</v>
      </c>
      <c r="E268" s="30">
        <v>5580</v>
      </c>
      <c r="F268" s="30">
        <v>939072.82569669676</v>
      </c>
      <c r="G268" s="31">
        <v>1216</v>
      </c>
      <c r="H268" s="30">
        <v>285978.66671071126</v>
      </c>
      <c r="I268">
        <f t="shared" si="221"/>
        <v>0.82107121836374342</v>
      </c>
      <c r="J268">
        <f t="shared" si="222"/>
        <v>4.8253050224374965E-3</v>
      </c>
      <c r="K268" s="13">
        <f t="shared" si="217"/>
        <v>5718.1397849462364</v>
      </c>
      <c r="L268" s="1">
        <f t="shared" si="245"/>
        <v>234030.60206548884</v>
      </c>
      <c r="M268">
        <f t="shared" si="224"/>
        <v>483.76709485607722</v>
      </c>
      <c r="N268" s="1">
        <f t="shared" si="225"/>
        <v>948.18350591791136</v>
      </c>
      <c r="O268" s="24">
        <f t="shared" si="192"/>
        <v>1023.1397849462364</v>
      </c>
      <c r="P268" s="1">
        <f t="shared" si="218"/>
        <v>234030.60206548884</v>
      </c>
      <c r="Q268">
        <f t="shared" si="219"/>
        <v>483.76709485607722</v>
      </c>
      <c r="R268" s="1">
        <f t="shared" si="220"/>
        <v>948.18350591791136</v>
      </c>
      <c r="T268" s="2"/>
    </row>
    <row r="269" spans="1:20" x14ac:dyDescent="0.25">
      <c r="A269" t="s">
        <v>151</v>
      </c>
      <c r="B269">
        <v>2015</v>
      </c>
      <c r="C269" t="s">
        <v>83</v>
      </c>
      <c r="D269" s="13">
        <v>5729</v>
      </c>
      <c r="E269" s="30">
        <v>3233</v>
      </c>
      <c r="F269" s="30">
        <v>480192.66438838851</v>
      </c>
      <c r="G269" s="31">
        <v>1353</v>
      </c>
      <c r="H269" s="30">
        <v>271004.48540940945</v>
      </c>
      <c r="I269">
        <f t="shared" si="221"/>
        <v>0.70497165285651986</v>
      </c>
      <c r="J269">
        <f t="shared" si="222"/>
        <v>8.3913578922520746E-3</v>
      </c>
      <c r="K269" s="13">
        <f t="shared" si="217"/>
        <v>8126.5678935972783</v>
      </c>
      <c r="L269" s="1">
        <f t="shared" si="245"/>
        <v>1115072.9274274483</v>
      </c>
      <c r="M269">
        <f t="shared" si="224"/>
        <v>1055.970135670251</v>
      </c>
      <c r="N269" s="1">
        <f t="shared" si="225"/>
        <v>2069.7014659136921</v>
      </c>
      <c r="O269" s="24">
        <f t="shared" si="192"/>
        <v>2397.5678935972783</v>
      </c>
      <c r="P269" s="1">
        <f t="shared" si="218"/>
        <v>1115072.9274274483</v>
      </c>
      <c r="Q269">
        <f t="shared" si="219"/>
        <v>1055.970135670251</v>
      </c>
      <c r="R269" s="1">
        <f t="shared" si="220"/>
        <v>2069.7014659136921</v>
      </c>
      <c r="T269" s="2"/>
    </row>
    <row r="270" spans="1:20" x14ac:dyDescent="0.25">
      <c r="A270" t="s">
        <v>151</v>
      </c>
      <c r="B270">
        <v>2016</v>
      </c>
      <c r="C270" t="s">
        <v>83</v>
      </c>
      <c r="D270" s="13">
        <v>7499</v>
      </c>
      <c r="E270" s="30">
        <v>4013</v>
      </c>
      <c r="F270" s="30">
        <v>586930.85270870931</v>
      </c>
      <c r="G270" s="31">
        <v>1128</v>
      </c>
      <c r="H270" s="30">
        <v>103064.38007607611</v>
      </c>
      <c r="I270">
        <f t="shared" si="221"/>
        <v>0.78058743435129352</v>
      </c>
      <c r="J270">
        <f t="shared" si="222"/>
        <v>3.4451461771609787E-3</v>
      </c>
      <c r="K270" s="13">
        <f t="shared" si="217"/>
        <v>9606.8674308497375</v>
      </c>
      <c r="L270" s="1">
        <f t="shared" si="245"/>
        <v>521828.91183042602</v>
      </c>
      <c r="M270">
        <f t="shared" si="224"/>
        <v>722.37726419816534</v>
      </c>
      <c r="N270" s="1">
        <f t="shared" si="225"/>
        <v>1415.859437828404</v>
      </c>
      <c r="O270" s="24">
        <f t="shared" si="192"/>
        <v>2107.8674308497375</v>
      </c>
      <c r="P270" s="1">
        <f t="shared" si="218"/>
        <v>521828.91183042602</v>
      </c>
      <c r="Q270">
        <f t="shared" si="219"/>
        <v>722.37726419816534</v>
      </c>
      <c r="R270" s="1">
        <f t="shared" si="220"/>
        <v>1415.859437828404</v>
      </c>
      <c r="T270" s="2"/>
    </row>
    <row r="271" spans="1:20" x14ac:dyDescent="0.25">
      <c r="A271" t="s">
        <v>151</v>
      </c>
      <c r="B271">
        <v>2017</v>
      </c>
      <c r="C271" t="s">
        <v>83</v>
      </c>
      <c r="D271" s="13">
        <v>6324</v>
      </c>
      <c r="E271" s="30">
        <v>4914</v>
      </c>
      <c r="F271" s="30">
        <v>953920.55854254263</v>
      </c>
      <c r="G271" s="31">
        <v>976</v>
      </c>
      <c r="H271" s="30">
        <v>77857.342117117281</v>
      </c>
      <c r="I271">
        <f t="shared" si="221"/>
        <v>0.83429541595925294</v>
      </c>
      <c r="J271">
        <f t="shared" si="222"/>
        <v>2.3171059750475682E-3</v>
      </c>
      <c r="K271" s="13">
        <f t="shared" si="217"/>
        <v>7580.0488400488402</v>
      </c>
      <c r="L271" s="1">
        <f t="shared" si="245"/>
        <v>191271.46761998921</v>
      </c>
      <c r="M271">
        <f t="shared" si="224"/>
        <v>437.3459358676941</v>
      </c>
      <c r="N271" s="1">
        <f t="shared" si="225"/>
        <v>857.19803430068043</v>
      </c>
      <c r="O271" s="24">
        <f t="shared" si="192"/>
        <v>1256.0488400488402</v>
      </c>
      <c r="P271" s="1">
        <f t="shared" si="218"/>
        <v>191271.46761998921</v>
      </c>
      <c r="Q271">
        <f t="shared" si="219"/>
        <v>437.3459358676941</v>
      </c>
      <c r="R271" s="1">
        <f t="shared" si="220"/>
        <v>857.19803430068043</v>
      </c>
      <c r="T271" s="2"/>
    </row>
    <row r="272" spans="1:20" x14ac:dyDescent="0.25">
      <c r="A272" t="s">
        <v>151</v>
      </c>
      <c r="B272">
        <v>2018</v>
      </c>
      <c r="C272" t="s">
        <v>83</v>
      </c>
      <c r="D272" s="13">
        <v>8659</v>
      </c>
      <c r="E272" s="30">
        <v>5631</v>
      </c>
      <c r="F272" s="30">
        <v>802849.63153153332</v>
      </c>
      <c r="G272" s="31">
        <v>1282</v>
      </c>
      <c r="H272" s="30">
        <v>171049.87046946987</v>
      </c>
      <c r="I272">
        <f t="shared" si="221"/>
        <v>0.81455229278171559</v>
      </c>
      <c r="J272">
        <f t="shared" si="222"/>
        <v>2.9525583630634201E-3</v>
      </c>
      <c r="K272" s="13">
        <f t="shared" si="217"/>
        <v>10630.379506304387</v>
      </c>
      <c r="L272" s="1">
        <f t="shared" si="245"/>
        <v>502872.73387700756</v>
      </c>
      <c r="M272">
        <f t="shared" si="224"/>
        <v>709.13520140873527</v>
      </c>
      <c r="N272" s="1">
        <f t="shared" si="225"/>
        <v>1389.9049947611211</v>
      </c>
      <c r="O272" s="24">
        <f t="shared" si="192"/>
        <v>1971.3795063043872</v>
      </c>
      <c r="P272" s="1">
        <f t="shared" si="218"/>
        <v>502872.73387700756</v>
      </c>
      <c r="Q272">
        <f t="shared" si="219"/>
        <v>709.13520140873527</v>
      </c>
      <c r="R272" s="1">
        <f t="shared" si="220"/>
        <v>1389.9049947611211</v>
      </c>
      <c r="T272" s="2"/>
    </row>
    <row r="273" spans="1:20" x14ac:dyDescent="0.25">
      <c r="A273" t="s">
        <v>151</v>
      </c>
      <c r="B273">
        <v>2019</v>
      </c>
      <c r="C273" t="s">
        <v>83</v>
      </c>
      <c r="D273" s="13">
        <v>7908</v>
      </c>
      <c r="E273" s="30">
        <v>5157</v>
      </c>
      <c r="F273" s="30">
        <v>902980.76940040092</v>
      </c>
      <c r="G273" s="55">
        <v>1958</v>
      </c>
      <c r="H273" s="30">
        <v>391534.05715715693</v>
      </c>
      <c r="I273">
        <f t="shared" si="221"/>
        <v>0.72480674631061137</v>
      </c>
      <c r="J273">
        <f t="shared" si="222"/>
        <v>5.4140035605128416E-3</v>
      </c>
      <c r="K273" s="13">
        <f t="shared" si="217"/>
        <v>10910.494473531124</v>
      </c>
      <c r="L273" s="1">
        <f>(D273^2)*J273*(1/(I273^4))</f>
        <v>1226769.4446075337</v>
      </c>
      <c r="M273">
        <f>SQRT(L273)</f>
        <v>1107.5962462050572</v>
      </c>
      <c r="N273" s="1">
        <f>(1.96*M273)</f>
        <v>2170.8886425619121</v>
      </c>
      <c r="O273" s="24">
        <f t="shared" si="192"/>
        <v>3002.4944735311237</v>
      </c>
      <c r="P273" s="1">
        <f>L273</f>
        <v>1226769.4446075337</v>
      </c>
      <c r="Q273">
        <f>SQRT(P273)</f>
        <v>1107.5962462050572</v>
      </c>
      <c r="R273" s="1">
        <f>(1.96*Q273)</f>
        <v>2170.8886425619121</v>
      </c>
      <c r="T273" s="2"/>
    </row>
    <row r="274" spans="1:20" x14ac:dyDescent="0.25">
      <c r="A274" t="s">
        <v>151</v>
      </c>
      <c r="B274">
        <v>2020</v>
      </c>
      <c r="C274" t="s">
        <v>83</v>
      </c>
      <c r="D274" s="13">
        <v>4059</v>
      </c>
      <c r="E274" s="30">
        <v>2605</v>
      </c>
      <c r="F274" s="30">
        <v>215364.23074975031</v>
      </c>
      <c r="G274" s="55">
        <v>587</v>
      </c>
      <c r="H274" s="30">
        <v>34183.881400400423</v>
      </c>
      <c r="I274">
        <f t="shared" ref="I274:I276" si="246">E274/(E274+G274)</f>
        <v>0.81610275689223055</v>
      </c>
      <c r="J274">
        <f t="shared" ref="J274:J275" si="247">((((E274)^2*H274)+((G274)^2*F274))/(E274+G274)^4)</f>
        <v>2.9493479624087921E-3</v>
      </c>
      <c r="K274" s="13">
        <f t="shared" ref="K274:K275" si="248">D274/I274</f>
        <v>4973.6383877159315</v>
      </c>
      <c r="L274" s="1">
        <f t="shared" ref="L274:L275" si="249">(D274^2)*J274*(1/(I274^4))</f>
        <v>109543.02664472036</v>
      </c>
      <c r="M274">
        <f t="shared" ref="M274:M275" si="250">SQRT(L274)</f>
        <v>330.97284880291971</v>
      </c>
      <c r="N274" s="1">
        <f t="shared" ref="N274:N275" si="251">(1.96*M274)</f>
        <v>648.7067836537226</v>
      </c>
      <c r="O274" s="24">
        <f t="shared" ref="O274:O275" si="252">K274-D274</f>
        <v>914.63838771593146</v>
      </c>
      <c r="P274" s="1">
        <f t="shared" ref="P274:P275" si="253">L274</f>
        <v>109543.02664472036</v>
      </c>
      <c r="Q274">
        <f t="shared" ref="Q274:Q275" si="254">SQRT(P274)</f>
        <v>330.97284880291971</v>
      </c>
      <c r="R274" s="1">
        <f t="shared" ref="R274:R275" si="255">(1.96*Q274)</f>
        <v>648.7067836537226</v>
      </c>
      <c r="T274" s="2"/>
    </row>
    <row r="275" spans="1:20" x14ac:dyDescent="0.25">
      <c r="A275" t="s">
        <v>151</v>
      </c>
      <c r="B275">
        <v>2021</v>
      </c>
      <c r="C275" t="s">
        <v>83</v>
      </c>
      <c r="D275" s="13">
        <v>7343</v>
      </c>
      <c r="E275" s="30">
        <v>6733</v>
      </c>
      <c r="F275" s="30">
        <v>1258320.732851845</v>
      </c>
      <c r="G275" s="55">
        <v>1388</v>
      </c>
      <c r="H275" s="30">
        <v>201593.59407006996</v>
      </c>
      <c r="I275">
        <f t="shared" si="246"/>
        <v>0.82908508804334446</v>
      </c>
      <c r="J275">
        <f t="shared" si="247"/>
        <v>2.658499908160208E-3</v>
      </c>
      <c r="K275" s="13">
        <f t="shared" si="248"/>
        <v>8856.750779741571</v>
      </c>
      <c r="L275" s="1">
        <f t="shared" si="249"/>
        <v>303380.23971291271</v>
      </c>
      <c r="M275">
        <f t="shared" si="250"/>
        <v>550.79963663106446</v>
      </c>
      <c r="N275" s="1">
        <f t="shared" si="251"/>
        <v>1079.5672877968864</v>
      </c>
      <c r="O275" s="24">
        <f t="shared" si="252"/>
        <v>1513.750779741571</v>
      </c>
      <c r="P275" s="1">
        <f t="shared" si="253"/>
        <v>303380.23971291271</v>
      </c>
      <c r="Q275">
        <f t="shared" si="254"/>
        <v>550.79963663106446</v>
      </c>
      <c r="R275" s="1">
        <f t="shared" si="255"/>
        <v>1079.5672877968864</v>
      </c>
      <c r="T275" s="2"/>
    </row>
    <row r="276" spans="1:20" s="51" customFormat="1" x14ac:dyDescent="0.25">
      <c r="A276" s="51" t="s">
        <v>151</v>
      </c>
      <c r="B276" s="51">
        <v>2022</v>
      </c>
      <c r="C276" s="51" t="s">
        <v>83</v>
      </c>
      <c r="D276" s="71">
        <v>6780</v>
      </c>
      <c r="E276" s="77">
        <v>7254</v>
      </c>
      <c r="F276" s="77">
        <f>1372^2</f>
        <v>1882384</v>
      </c>
      <c r="G276" s="75">
        <v>2824</v>
      </c>
      <c r="H276" s="72">
        <f>906^2</f>
        <v>820836</v>
      </c>
      <c r="I276" s="51">
        <f t="shared" si="246"/>
        <v>0.71978567176026986</v>
      </c>
      <c r="J276">
        <f t="shared" ref="J276" si="256">((((E276)^2*H276)+((G276)^2*F276))/(E276+G276)^4)</f>
        <v>5.6423658736503039E-3</v>
      </c>
      <c r="K276" s="13">
        <f t="shared" ref="K276" si="257">D276/I276</f>
        <v>9419.4706368899915</v>
      </c>
      <c r="L276" s="1">
        <f t="shared" ref="L276" si="258">(D276^2)*J276*(1/(I276^4))</f>
        <v>966290.79621620791</v>
      </c>
      <c r="M276">
        <f t="shared" ref="M276" si="259">SQRT(L276)</f>
        <v>983.00091363955914</v>
      </c>
      <c r="N276" s="1">
        <f t="shared" ref="N276" si="260">(1.96*M276)</f>
        <v>1926.681790733536</v>
      </c>
      <c r="O276" s="24">
        <f t="shared" ref="O276" si="261">K276-D276</f>
        <v>2639.4706368899915</v>
      </c>
      <c r="P276" s="1">
        <f t="shared" ref="P276" si="262">L276</f>
        <v>966290.79621620791</v>
      </c>
      <c r="Q276">
        <f t="shared" ref="Q276" si="263">SQRT(P276)</f>
        <v>983.00091363955914</v>
      </c>
      <c r="R276" s="1">
        <f t="shared" ref="R276" si="264">(1.96*Q276)</f>
        <v>1926.681790733536</v>
      </c>
      <c r="T276" s="76"/>
    </row>
    <row r="277" spans="1:20" x14ac:dyDescent="0.25">
      <c r="A277" t="s">
        <v>151</v>
      </c>
      <c r="B277">
        <v>1998</v>
      </c>
      <c r="C277" t="s">
        <v>38</v>
      </c>
      <c r="D277" s="13">
        <v>5285</v>
      </c>
      <c r="E277" s="1"/>
      <c r="F277" s="1"/>
      <c r="G277" s="1"/>
      <c r="H277" s="1"/>
      <c r="I277" s="21">
        <f>AVERAGE(I290:I297)</f>
        <v>0.62697215111182891</v>
      </c>
      <c r="J277" s="21">
        <v>4.3242846833756203E-3</v>
      </c>
      <c r="K277" s="13">
        <f t="shared" si="217"/>
        <v>8429.4015142904627</v>
      </c>
      <c r="L277" s="1">
        <f t="shared" si="245"/>
        <v>781648.06612226402</v>
      </c>
      <c r="M277">
        <f t="shared" si="224"/>
        <v>884.1086280103051</v>
      </c>
      <c r="N277" s="1">
        <f t="shared" si="225"/>
        <v>1732.8529109001979</v>
      </c>
      <c r="O277" s="24">
        <f t="shared" si="192"/>
        <v>3144.4015142904627</v>
      </c>
      <c r="P277" s="1">
        <f t="shared" si="218"/>
        <v>781648.06612226402</v>
      </c>
      <c r="Q277">
        <f t="shared" si="219"/>
        <v>884.1086280103051</v>
      </c>
      <c r="R277" s="1">
        <f t="shared" si="220"/>
        <v>1732.8529109001979</v>
      </c>
    </row>
    <row r="278" spans="1:20" x14ac:dyDescent="0.25">
      <c r="A278" t="s">
        <v>151</v>
      </c>
      <c r="B278">
        <v>1999</v>
      </c>
      <c r="C278" t="s">
        <v>38</v>
      </c>
      <c r="D278" s="13">
        <v>6363</v>
      </c>
      <c r="E278" s="1"/>
      <c r="F278" s="1"/>
      <c r="G278" s="1"/>
      <c r="H278" s="1"/>
      <c r="I278" s="21">
        <v>0.62697215111182891</v>
      </c>
      <c r="J278" s="21">
        <v>4.3242846833756203E-3</v>
      </c>
      <c r="K278" s="13">
        <f t="shared" si="217"/>
        <v>10148.776127801366</v>
      </c>
      <c r="L278" s="1">
        <f t="shared" si="245"/>
        <v>1133039.6837394333</v>
      </c>
      <c r="M278">
        <f t="shared" si="224"/>
        <v>1064.4433680283012</v>
      </c>
      <c r="N278" s="1">
        <f t="shared" si="225"/>
        <v>2086.3090013354704</v>
      </c>
      <c r="O278" s="24">
        <f t="shared" si="192"/>
        <v>3785.7761278013659</v>
      </c>
      <c r="P278" s="1">
        <f t="shared" si="218"/>
        <v>1133039.6837394333</v>
      </c>
      <c r="Q278">
        <f t="shared" si="219"/>
        <v>1064.4433680283012</v>
      </c>
      <c r="R278" s="1">
        <f t="shared" si="220"/>
        <v>2086.3090013354704</v>
      </c>
    </row>
    <row r="279" spans="1:20" x14ac:dyDescent="0.25">
      <c r="A279" t="s">
        <v>151</v>
      </c>
      <c r="B279">
        <v>2000</v>
      </c>
      <c r="C279" t="s">
        <v>38</v>
      </c>
      <c r="D279" s="13">
        <v>9746</v>
      </c>
      <c r="E279" s="1"/>
      <c r="F279" s="1"/>
      <c r="G279" s="1"/>
      <c r="H279" s="1"/>
      <c r="I279" s="21">
        <v>0.62697215111182891</v>
      </c>
      <c r="J279" s="21">
        <v>4.3242846833756203E-3</v>
      </c>
      <c r="K279" s="13">
        <f t="shared" si="217"/>
        <v>15544.550077251628</v>
      </c>
      <c r="L279" s="1">
        <f t="shared" si="245"/>
        <v>2658116.9727772144</v>
      </c>
      <c r="M279">
        <f t="shared" si="224"/>
        <v>1630.3732617953517</v>
      </c>
      <c r="N279" s="1">
        <f t="shared" si="225"/>
        <v>3195.5315931188893</v>
      </c>
      <c r="O279" s="24">
        <f t="shared" si="192"/>
        <v>5798.550077251628</v>
      </c>
      <c r="P279" s="1">
        <f t="shared" si="218"/>
        <v>2658116.9727772144</v>
      </c>
      <c r="Q279">
        <f t="shared" si="219"/>
        <v>1630.3732617953517</v>
      </c>
      <c r="R279" s="1">
        <f t="shared" si="220"/>
        <v>3195.5315931188893</v>
      </c>
    </row>
    <row r="280" spans="1:20" x14ac:dyDescent="0.25">
      <c r="A280" t="s">
        <v>151</v>
      </c>
      <c r="B280">
        <v>2001</v>
      </c>
      <c r="C280" t="s">
        <v>38</v>
      </c>
      <c r="D280" s="13">
        <v>7242</v>
      </c>
      <c r="E280" s="1"/>
      <c r="F280" s="1"/>
      <c r="G280" s="1"/>
      <c r="H280" s="1"/>
      <c r="I280" s="21">
        <v>0.62697215111182891</v>
      </c>
      <c r="J280" s="21">
        <v>4.3242846833756203E-3</v>
      </c>
      <c r="K280" s="13">
        <f t="shared" si="217"/>
        <v>11550.752273697548</v>
      </c>
      <c r="L280" s="1">
        <f t="shared" si="245"/>
        <v>1467703.4510787677</v>
      </c>
      <c r="M280">
        <f t="shared" si="224"/>
        <v>1211.4881142952941</v>
      </c>
      <c r="N280" s="1">
        <f t="shared" si="225"/>
        <v>2374.5167040187762</v>
      </c>
      <c r="O280" s="24">
        <f t="shared" si="192"/>
        <v>4308.7522736975479</v>
      </c>
      <c r="P280" s="1">
        <f t="shared" si="218"/>
        <v>1467703.4510787677</v>
      </c>
      <c r="Q280">
        <f t="shared" si="219"/>
        <v>1211.4881142952941</v>
      </c>
      <c r="R280" s="1">
        <f t="shared" si="220"/>
        <v>2374.5167040187762</v>
      </c>
    </row>
    <row r="281" spans="1:20" x14ac:dyDescent="0.25">
      <c r="A281" t="s">
        <v>151</v>
      </c>
      <c r="B281">
        <v>2002</v>
      </c>
      <c r="C281" t="s">
        <v>38</v>
      </c>
      <c r="D281" s="13">
        <v>4958</v>
      </c>
      <c r="E281" s="1"/>
      <c r="F281" s="1"/>
      <c r="G281" s="1"/>
      <c r="H281" s="1"/>
      <c r="I281" s="21">
        <v>0.62697215111182891</v>
      </c>
      <c r="J281" s="21">
        <v>4.3242846833756203E-3</v>
      </c>
      <c r="K281" s="13">
        <f t="shared" si="217"/>
        <v>7907.8472484109971</v>
      </c>
      <c r="L281" s="1">
        <f t="shared" si="245"/>
        <v>687914.27130295534</v>
      </c>
      <c r="M281">
        <f t="shared" si="224"/>
        <v>829.40597496217458</v>
      </c>
      <c r="N281" s="1">
        <f t="shared" si="225"/>
        <v>1625.6357109258622</v>
      </c>
      <c r="O281" s="24">
        <f t="shared" ref="O281:O356" si="265">K281-D281</f>
        <v>2949.8472484109971</v>
      </c>
      <c r="P281" s="1">
        <f t="shared" si="218"/>
        <v>687914.27130295534</v>
      </c>
      <c r="Q281">
        <f t="shared" si="219"/>
        <v>829.40597496217458</v>
      </c>
      <c r="R281" s="1">
        <f t="shared" si="220"/>
        <v>1625.6357109258622</v>
      </c>
    </row>
    <row r="282" spans="1:20" x14ac:dyDescent="0.25">
      <c r="A282" t="s">
        <v>151</v>
      </c>
      <c r="B282">
        <v>2003</v>
      </c>
      <c r="C282" t="s">
        <v>38</v>
      </c>
      <c r="D282" s="13">
        <v>6069</v>
      </c>
      <c r="E282" s="1"/>
      <c r="F282" s="1"/>
      <c r="G282" s="1"/>
      <c r="H282" s="1"/>
      <c r="I282" s="21">
        <v>0.62697215111182891</v>
      </c>
      <c r="J282" s="21">
        <v>4.3242846833756203E-3</v>
      </c>
      <c r="K282" s="13">
        <f t="shared" si="217"/>
        <v>9679.8557786620295</v>
      </c>
      <c r="L282" s="1">
        <f t="shared" si="245"/>
        <v>1030755.2356043656</v>
      </c>
      <c r="M282">
        <f t="shared" si="224"/>
        <v>1015.2611662052112</v>
      </c>
      <c r="N282" s="1">
        <f t="shared" si="225"/>
        <v>1989.9118857622141</v>
      </c>
      <c r="O282" s="24">
        <f t="shared" si="265"/>
        <v>3610.8557786620295</v>
      </c>
      <c r="P282" s="1">
        <f t="shared" si="218"/>
        <v>1030755.2356043656</v>
      </c>
      <c r="Q282">
        <f t="shared" si="219"/>
        <v>1015.2611662052112</v>
      </c>
      <c r="R282" s="1">
        <f t="shared" si="220"/>
        <v>1989.9118857622141</v>
      </c>
    </row>
    <row r="283" spans="1:20" x14ac:dyDescent="0.25">
      <c r="A283" t="s">
        <v>151</v>
      </c>
      <c r="B283">
        <v>2004</v>
      </c>
      <c r="C283" t="s">
        <v>38</v>
      </c>
      <c r="D283" s="13">
        <v>6052</v>
      </c>
      <c r="E283" s="1"/>
      <c r="F283" s="1"/>
      <c r="G283" s="1"/>
      <c r="H283" s="1"/>
      <c r="I283" s="21">
        <v>0.62697215111182891</v>
      </c>
      <c r="J283" s="21">
        <v>4.3242846833756203E-3</v>
      </c>
      <c r="K283" s="13">
        <f t="shared" si="217"/>
        <v>9652.7413367049921</v>
      </c>
      <c r="L283" s="1">
        <f t="shared" si="245"/>
        <v>1024988.7840591522</v>
      </c>
      <c r="M283">
        <f t="shared" si="224"/>
        <v>1012.4172973923115</v>
      </c>
      <c r="N283" s="1">
        <f t="shared" si="225"/>
        <v>1984.3379028889306</v>
      </c>
      <c r="O283" s="24">
        <f t="shared" si="265"/>
        <v>3600.7413367049921</v>
      </c>
      <c r="P283" s="1">
        <f t="shared" si="218"/>
        <v>1024988.7840591522</v>
      </c>
      <c r="Q283">
        <f t="shared" si="219"/>
        <v>1012.4172973923115</v>
      </c>
      <c r="R283" s="1">
        <f t="shared" si="220"/>
        <v>1984.3379028889306</v>
      </c>
    </row>
    <row r="284" spans="1:20" x14ac:dyDescent="0.25">
      <c r="A284" t="s">
        <v>151</v>
      </c>
      <c r="B284">
        <v>2005</v>
      </c>
      <c r="C284" t="s">
        <v>38</v>
      </c>
      <c r="D284" s="13">
        <v>7678</v>
      </c>
      <c r="E284" s="1"/>
      <c r="F284" s="1"/>
      <c r="G284" s="1"/>
      <c r="H284" s="1"/>
      <c r="I284" s="21">
        <v>0.62697215111182891</v>
      </c>
      <c r="J284" s="21">
        <v>4.3242846833756203E-3</v>
      </c>
      <c r="K284" s="13">
        <f t="shared" ref="K284:K359" si="266">D284/I284</f>
        <v>12246.157961536836</v>
      </c>
      <c r="L284" s="1">
        <f t="shared" si="245"/>
        <v>1649747.5421593867</v>
      </c>
      <c r="M284">
        <f t="shared" si="224"/>
        <v>1284.4249850261349</v>
      </c>
      <c r="N284" s="1">
        <f t="shared" si="225"/>
        <v>2517.4729706512244</v>
      </c>
      <c r="O284" s="24">
        <f t="shared" si="265"/>
        <v>4568.1579615368355</v>
      </c>
      <c r="P284" s="1">
        <f t="shared" ref="P284:P359" si="267">L284</f>
        <v>1649747.5421593867</v>
      </c>
      <c r="Q284">
        <f t="shared" ref="Q284:Q359" si="268">SQRT(P284)</f>
        <v>1284.4249850261349</v>
      </c>
      <c r="R284" s="1">
        <f t="shared" ref="R284:R359" si="269">(1.96*Q284)</f>
        <v>2517.4729706512244</v>
      </c>
    </row>
    <row r="285" spans="1:20" x14ac:dyDescent="0.25">
      <c r="A285" t="s">
        <v>151</v>
      </c>
      <c r="B285">
        <v>2006</v>
      </c>
      <c r="C285" t="s">
        <v>38</v>
      </c>
      <c r="D285" s="13">
        <v>6437</v>
      </c>
      <c r="E285" s="1"/>
      <c r="F285" s="1"/>
      <c r="G285" s="1"/>
      <c r="H285" s="1"/>
      <c r="I285" s="21">
        <v>0.62697215111182891</v>
      </c>
      <c r="J285" s="21">
        <v>4.3242846833756203E-3</v>
      </c>
      <c r="K285" s="13">
        <f t="shared" si="266"/>
        <v>10266.803698673171</v>
      </c>
      <c r="L285" s="1">
        <f t="shared" si="245"/>
        <v>1159546.8293526676</v>
      </c>
      <c r="M285">
        <f t="shared" si="224"/>
        <v>1076.8225616844529</v>
      </c>
      <c r="N285" s="1">
        <f t="shared" si="225"/>
        <v>2110.5722209015275</v>
      </c>
      <c r="O285" s="24">
        <f t="shared" si="265"/>
        <v>3829.8036986731713</v>
      </c>
      <c r="P285" s="1">
        <f t="shared" si="267"/>
        <v>1159546.8293526676</v>
      </c>
      <c r="Q285">
        <f t="shared" si="268"/>
        <v>1076.8225616844529</v>
      </c>
      <c r="R285" s="1">
        <f t="shared" si="269"/>
        <v>2110.5722209015275</v>
      </c>
    </row>
    <row r="286" spans="1:20" x14ac:dyDescent="0.25">
      <c r="A286" t="s">
        <v>151</v>
      </c>
      <c r="B286">
        <v>2007</v>
      </c>
      <c r="C286" t="s">
        <v>38</v>
      </c>
      <c r="D286" s="13">
        <v>7499</v>
      </c>
      <c r="E286" s="1"/>
      <c r="F286" s="1"/>
      <c r="G286" s="1"/>
      <c r="H286" s="1"/>
      <c r="I286" s="21">
        <v>0.62697215111182891</v>
      </c>
      <c r="J286" s="21">
        <v>4.3242846833756203E-3</v>
      </c>
      <c r="K286" s="13">
        <f t="shared" si="266"/>
        <v>11960.658837400981</v>
      </c>
      <c r="L286" s="1">
        <f t="shared" si="245"/>
        <v>1573721.8750711286</v>
      </c>
      <c r="M286">
        <f t="shared" si="224"/>
        <v>1254.4807192903081</v>
      </c>
      <c r="N286" s="1">
        <f t="shared" si="225"/>
        <v>2458.7822098090037</v>
      </c>
      <c r="O286" s="24">
        <f t="shared" si="265"/>
        <v>4461.6588374009807</v>
      </c>
      <c r="P286" s="1">
        <f t="shared" si="267"/>
        <v>1573721.8750711286</v>
      </c>
      <c r="Q286">
        <f t="shared" si="268"/>
        <v>1254.4807192903081</v>
      </c>
      <c r="R286" s="1">
        <f t="shared" si="269"/>
        <v>2458.7822098090037</v>
      </c>
    </row>
    <row r="287" spans="1:20" x14ac:dyDescent="0.25">
      <c r="A287" t="s">
        <v>151</v>
      </c>
      <c r="B287">
        <v>2008</v>
      </c>
      <c r="C287" t="s">
        <v>38</v>
      </c>
      <c r="D287" s="13">
        <v>10923</v>
      </c>
      <c r="E287" s="1"/>
      <c r="F287" s="1"/>
      <c r="G287" s="1"/>
      <c r="H287" s="1"/>
      <c r="I287" s="21">
        <v>0.62697215111182891</v>
      </c>
      <c r="J287" s="21">
        <v>4.3242846833756203E-3</v>
      </c>
      <c r="K287" s="13">
        <f t="shared" si="266"/>
        <v>17421.826440982921</v>
      </c>
      <c r="L287" s="1">
        <f t="shared" si="245"/>
        <v>3338913.2975072474</v>
      </c>
      <c r="M287">
        <f t="shared" si="224"/>
        <v>1827.2693554884697</v>
      </c>
      <c r="N287" s="1">
        <f t="shared" si="225"/>
        <v>3581.4479367574004</v>
      </c>
      <c r="O287" s="24">
        <f t="shared" si="265"/>
        <v>6498.8264409829208</v>
      </c>
      <c r="P287" s="1">
        <f t="shared" si="267"/>
        <v>3338913.2975072474</v>
      </c>
      <c r="Q287">
        <f t="shared" si="268"/>
        <v>1827.2693554884697</v>
      </c>
      <c r="R287" s="1">
        <f t="shared" si="269"/>
        <v>3581.4479367574004</v>
      </c>
    </row>
    <row r="288" spans="1:20" x14ac:dyDescent="0.25">
      <c r="A288" t="s">
        <v>151</v>
      </c>
      <c r="B288">
        <v>2009</v>
      </c>
      <c r="C288" t="s">
        <v>38</v>
      </c>
      <c r="D288" s="13">
        <v>9325</v>
      </c>
      <c r="E288" s="1"/>
      <c r="F288" s="1"/>
      <c r="G288" s="1"/>
      <c r="H288" s="1"/>
      <c r="I288" s="21">
        <v>0.62697215111182891</v>
      </c>
      <c r="J288" s="21">
        <v>4.3242846833756203E-3</v>
      </c>
      <c r="K288" s="13">
        <f t="shared" si="266"/>
        <v>14873.068897021491</v>
      </c>
      <c r="L288" s="1">
        <f t="shared" si="245"/>
        <v>2433430.5466266801</v>
      </c>
      <c r="M288">
        <f t="shared" si="224"/>
        <v>1559.9456870758931</v>
      </c>
      <c r="N288" s="1">
        <f t="shared" si="225"/>
        <v>3057.4935466687507</v>
      </c>
      <c r="O288" s="24">
        <f t="shared" si="265"/>
        <v>5548.0688970214906</v>
      </c>
      <c r="P288" s="1">
        <f t="shared" si="267"/>
        <v>2433430.5466266801</v>
      </c>
      <c r="Q288">
        <f t="shared" si="268"/>
        <v>1559.9456870758931</v>
      </c>
      <c r="R288" s="1">
        <f t="shared" si="269"/>
        <v>3057.4935466687507</v>
      </c>
    </row>
    <row r="289" spans="1:20" x14ac:dyDescent="0.25">
      <c r="A289" t="s">
        <v>151</v>
      </c>
      <c r="B289">
        <v>2010</v>
      </c>
      <c r="C289" t="s">
        <v>38</v>
      </c>
      <c r="D289" s="13">
        <v>11942</v>
      </c>
      <c r="E289" s="1"/>
      <c r="F289" s="1"/>
      <c r="G289" s="1"/>
      <c r="H289" s="1"/>
      <c r="I289" s="21">
        <v>0.62697215111182891</v>
      </c>
      <c r="J289" s="21">
        <v>4.3242846833756203E-3</v>
      </c>
      <c r="K289" s="13">
        <f t="shared" si="266"/>
        <v>19047.097991231167</v>
      </c>
      <c r="L289" s="1">
        <f t="shared" si="245"/>
        <v>3990941.9253061144</v>
      </c>
      <c r="M289">
        <f t="shared" si="224"/>
        <v>1997.7341978616962</v>
      </c>
      <c r="N289" s="1">
        <f t="shared" si="225"/>
        <v>3915.5590278089244</v>
      </c>
      <c r="O289" s="24">
        <f t="shared" si="265"/>
        <v>7105.0979912311668</v>
      </c>
      <c r="P289" s="1">
        <f t="shared" si="267"/>
        <v>3990941.9253061144</v>
      </c>
      <c r="Q289">
        <f t="shared" si="268"/>
        <v>1997.7341978616962</v>
      </c>
      <c r="R289" s="1">
        <f t="shared" si="269"/>
        <v>3915.5590278089244</v>
      </c>
    </row>
    <row r="290" spans="1:20" x14ac:dyDescent="0.25">
      <c r="A290" t="s">
        <v>151</v>
      </c>
      <c r="B290">
        <v>2011</v>
      </c>
      <c r="C290" t="s">
        <v>38</v>
      </c>
      <c r="D290" s="13">
        <v>13281</v>
      </c>
      <c r="E290" s="1">
        <v>7431</v>
      </c>
      <c r="F290" s="1">
        <v>1243063.7045435496</v>
      </c>
      <c r="G290" s="11">
        <v>4394</v>
      </c>
      <c r="H290" s="1">
        <v>468107.51868268248</v>
      </c>
      <c r="I290">
        <f t="shared" ref="I290:I298" si="270">E290/(E290+G290)</f>
        <v>0.62841437632135311</v>
      </c>
      <c r="J290">
        <f t="shared" ref="J290:J298" si="271">((((E290)^2*H290)+((G290)^2*F290))/(E290+G290)^4)</f>
        <v>2.5494768065845836E-3</v>
      </c>
      <c r="K290" s="13">
        <f t="shared" si="266"/>
        <v>21134.144125958821</v>
      </c>
      <c r="L290" s="1">
        <f t="shared" ref="L290:L315" si="272">(D290^2)*J290*(1/(I290^4))</f>
        <v>2883554.5471730651</v>
      </c>
      <c r="M290">
        <f t="shared" ref="M290:M359" si="273">SQRT(L290)</f>
        <v>1698.103220411841</v>
      </c>
      <c r="N290" s="1">
        <f t="shared" ref="N290:N359" si="274">(1.96*M290)</f>
        <v>3328.2823120072085</v>
      </c>
      <c r="O290" s="24">
        <f t="shared" si="265"/>
        <v>7853.144125958821</v>
      </c>
      <c r="P290" s="1">
        <f t="shared" si="267"/>
        <v>2883554.5471730651</v>
      </c>
      <c r="Q290">
        <f t="shared" si="268"/>
        <v>1698.103220411841</v>
      </c>
      <c r="R290" s="1">
        <f t="shared" si="269"/>
        <v>3328.2823120072085</v>
      </c>
      <c r="T290" s="2"/>
    </row>
    <row r="291" spans="1:20" x14ac:dyDescent="0.25">
      <c r="A291" t="s">
        <v>151</v>
      </c>
      <c r="B291">
        <v>2012</v>
      </c>
      <c r="C291" t="s">
        <v>38</v>
      </c>
      <c r="D291" s="13">
        <v>15243</v>
      </c>
      <c r="E291" s="1">
        <v>8800</v>
      </c>
      <c r="F291" s="1">
        <v>2020123.1363003007</v>
      </c>
      <c r="G291" s="11">
        <v>8711</v>
      </c>
      <c r="H291" s="1">
        <v>1725600.8687727768</v>
      </c>
      <c r="I291">
        <f t="shared" si="270"/>
        <v>0.5025412597795671</v>
      </c>
      <c r="J291">
        <f t="shared" si="271"/>
        <v>3.0515315092232574E-3</v>
      </c>
      <c r="K291" s="13">
        <f t="shared" si="266"/>
        <v>30331.837840909095</v>
      </c>
      <c r="L291" s="1">
        <f t="shared" si="272"/>
        <v>11116596.990618348</v>
      </c>
      <c r="M291">
        <f t="shared" si="273"/>
        <v>3334.1561137142858</v>
      </c>
      <c r="N291" s="1">
        <f t="shared" si="274"/>
        <v>6534.94598288</v>
      </c>
      <c r="O291" s="24">
        <f t="shared" si="265"/>
        <v>15088.837840909095</v>
      </c>
      <c r="P291" s="1">
        <f t="shared" si="267"/>
        <v>11116596.990618348</v>
      </c>
      <c r="Q291">
        <f t="shared" si="268"/>
        <v>3334.1561137142858</v>
      </c>
      <c r="R291" s="1">
        <f t="shared" si="269"/>
        <v>6534.94598288</v>
      </c>
      <c r="T291" s="2"/>
    </row>
    <row r="292" spans="1:20" x14ac:dyDescent="0.25">
      <c r="A292" t="s">
        <v>151</v>
      </c>
      <c r="B292">
        <v>2013</v>
      </c>
      <c r="C292" t="s">
        <v>38</v>
      </c>
      <c r="D292" s="13">
        <v>14770</v>
      </c>
      <c r="E292" s="1">
        <v>14137</v>
      </c>
      <c r="F292" s="1">
        <v>3387054.5871911976</v>
      </c>
      <c r="G292" s="11">
        <v>7822</v>
      </c>
      <c r="H292" s="1">
        <v>1541775.9123433516</v>
      </c>
      <c r="I292">
        <f t="shared" si="270"/>
        <v>0.64379070085158707</v>
      </c>
      <c r="J292">
        <f t="shared" si="271"/>
        <v>2.2164790446277168E-3</v>
      </c>
      <c r="K292" s="13">
        <f t="shared" si="266"/>
        <v>22942.238805970148</v>
      </c>
      <c r="L292" s="1">
        <f t="shared" si="272"/>
        <v>2814788.8573717903</v>
      </c>
      <c r="M292">
        <f t="shared" si="273"/>
        <v>1677.7332497664192</v>
      </c>
      <c r="N292" s="1">
        <f t="shared" si="274"/>
        <v>3288.3571695421815</v>
      </c>
      <c r="O292" s="24">
        <f t="shared" si="265"/>
        <v>8172.238805970148</v>
      </c>
      <c r="P292" s="1">
        <f t="shared" si="267"/>
        <v>2814788.8573717903</v>
      </c>
      <c r="Q292">
        <f t="shared" si="268"/>
        <v>1677.7332497664192</v>
      </c>
      <c r="R292" s="1">
        <f t="shared" si="269"/>
        <v>3288.3571695421815</v>
      </c>
      <c r="T292" s="2"/>
    </row>
    <row r="293" spans="1:20" x14ac:dyDescent="0.25">
      <c r="A293" t="s">
        <v>151</v>
      </c>
      <c r="B293">
        <v>2014</v>
      </c>
      <c r="C293" t="s">
        <v>38</v>
      </c>
      <c r="D293" s="13">
        <v>19857</v>
      </c>
      <c r="E293" s="1">
        <v>21622</v>
      </c>
      <c r="F293" s="1">
        <v>8140018.4386776667</v>
      </c>
      <c r="G293" s="11">
        <v>13523</v>
      </c>
      <c r="H293" s="1">
        <v>8113704.7463453691</v>
      </c>
      <c r="I293">
        <f t="shared" si="270"/>
        <v>0.61522264902546597</v>
      </c>
      <c r="J293">
        <f t="shared" si="271"/>
        <v>3.4620205725558852E-3</v>
      </c>
      <c r="K293" s="13">
        <f t="shared" si="266"/>
        <v>32276.119924151324</v>
      </c>
      <c r="L293" s="1">
        <f t="shared" si="272"/>
        <v>9528568.3691134229</v>
      </c>
      <c r="M293">
        <f t="shared" si="273"/>
        <v>3086.8379240111431</v>
      </c>
      <c r="N293" s="1">
        <f t="shared" si="274"/>
        <v>6050.2023310618406</v>
      </c>
      <c r="O293" s="24">
        <f t="shared" si="265"/>
        <v>12419.119924151324</v>
      </c>
      <c r="P293" s="1">
        <f t="shared" si="267"/>
        <v>9528568.3691134229</v>
      </c>
      <c r="Q293">
        <f t="shared" si="268"/>
        <v>3086.8379240111431</v>
      </c>
      <c r="R293" s="1">
        <f t="shared" si="269"/>
        <v>6050.2023310618406</v>
      </c>
      <c r="T293" s="2"/>
    </row>
    <row r="294" spans="1:20" x14ac:dyDescent="0.25">
      <c r="A294" t="s">
        <v>151</v>
      </c>
      <c r="B294">
        <v>2015</v>
      </c>
      <c r="C294" t="s">
        <v>38</v>
      </c>
      <c r="D294" s="13">
        <v>22095</v>
      </c>
      <c r="E294" s="1">
        <v>20210</v>
      </c>
      <c r="F294" s="1">
        <v>11318987.083259251</v>
      </c>
      <c r="G294" s="11">
        <v>8844</v>
      </c>
      <c r="H294" s="1">
        <v>1433728.7390580589</v>
      </c>
      <c r="I294">
        <f t="shared" si="270"/>
        <v>0.69560129414194261</v>
      </c>
      <c r="J294">
        <f t="shared" si="271"/>
        <v>2.0642752709773542E-3</v>
      </c>
      <c r="K294" s="13">
        <f t="shared" si="266"/>
        <v>31763.885700148439</v>
      </c>
      <c r="L294" s="1">
        <f t="shared" si="272"/>
        <v>4304414.6066964231</v>
      </c>
      <c r="M294">
        <f t="shared" si="273"/>
        <v>2074.708318462242</v>
      </c>
      <c r="N294" s="1">
        <f t="shared" si="274"/>
        <v>4066.4283041859944</v>
      </c>
      <c r="O294" s="24">
        <f t="shared" si="265"/>
        <v>9668.8857001484394</v>
      </c>
      <c r="P294" s="1">
        <f t="shared" si="267"/>
        <v>4304414.6066964231</v>
      </c>
      <c r="Q294">
        <f t="shared" si="268"/>
        <v>2074.708318462242</v>
      </c>
      <c r="R294" s="1">
        <f t="shared" si="269"/>
        <v>4066.4283041859944</v>
      </c>
      <c r="T294" s="2"/>
    </row>
    <row r="295" spans="1:20" x14ac:dyDescent="0.25">
      <c r="A295" t="s">
        <v>151</v>
      </c>
      <c r="B295">
        <v>2016</v>
      </c>
      <c r="C295" t="s">
        <v>38</v>
      </c>
      <c r="D295" s="13">
        <v>25877</v>
      </c>
      <c r="E295" s="1">
        <v>22747</v>
      </c>
      <c r="F295" s="1">
        <v>6879956.9099939968</v>
      </c>
      <c r="G295" s="11">
        <v>12473</v>
      </c>
      <c r="H295" s="1">
        <v>3156943.8834674614</v>
      </c>
      <c r="I295">
        <f t="shared" si="270"/>
        <v>0.64585462805224303</v>
      </c>
      <c r="J295">
        <f t="shared" si="271"/>
        <v>1.7572091310659658E-3</v>
      </c>
      <c r="K295" s="13">
        <f t="shared" si="266"/>
        <v>40066.291818701371</v>
      </c>
      <c r="L295" s="1">
        <f t="shared" si="272"/>
        <v>6762576.6255513411</v>
      </c>
      <c r="M295">
        <f t="shared" si="273"/>
        <v>2600.4954577063468</v>
      </c>
      <c r="N295" s="1">
        <f t="shared" si="274"/>
        <v>5096.9710971044397</v>
      </c>
      <c r="O295" s="24">
        <f t="shared" si="265"/>
        <v>14189.291818701371</v>
      </c>
      <c r="P295" s="1">
        <f t="shared" si="267"/>
        <v>6762576.6255513411</v>
      </c>
      <c r="Q295">
        <f t="shared" si="268"/>
        <v>2600.4954577063468</v>
      </c>
      <c r="R295" s="1">
        <f t="shared" si="269"/>
        <v>5096.9710971044397</v>
      </c>
      <c r="T295" s="2"/>
    </row>
    <row r="296" spans="1:20" x14ac:dyDescent="0.25">
      <c r="A296" t="s">
        <v>151</v>
      </c>
      <c r="B296">
        <v>2017</v>
      </c>
      <c r="C296" t="s">
        <v>38</v>
      </c>
      <c r="D296" s="13">
        <v>24305</v>
      </c>
      <c r="E296" s="1">
        <v>17214</v>
      </c>
      <c r="F296" s="1">
        <v>5170433.2956546396</v>
      </c>
      <c r="G296" s="11">
        <v>11903</v>
      </c>
      <c r="H296" s="1">
        <v>4821544.488424425</v>
      </c>
      <c r="I296">
        <f t="shared" si="270"/>
        <v>0.59120101658824742</v>
      </c>
      <c r="J296">
        <f t="shared" si="271"/>
        <v>3.0069425522097405E-3</v>
      </c>
      <c r="K296" s="13">
        <f t="shared" si="266"/>
        <v>41111.228360636691</v>
      </c>
      <c r="L296" s="1">
        <f t="shared" si="272"/>
        <v>14540377.874931889</v>
      </c>
      <c r="M296">
        <f t="shared" si="273"/>
        <v>3813.1847417784375</v>
      </c>
      <c r="N296" s="1">
        <f t="shared" si="274"/>
        <v>7473.8420938857371</v>
      </c>
      <c r="O296" s="24">
        <f t="shared" si="265"/>
        <v>16806.228360636691</v>
      </c>
      <c r="P296" s="1">
        <f t="shared" si="267"/>
        <v>14540377.874931889</v>
      </c>
      <c r="Q296">
        <f t="shared" si="268"/>
        <v>3813.1847417784375</v>
      </c>
      <c r="R296" s="1">
        <f t="shared" si="269"/>
        <v>7473.8420938857371</v>
      </c>
      <c r="T296" s="2"/>
    </row>
    <row r="297" spans="1:20" x14ac:dyDescent="0.25">
      <c r="A297" t="s">
        <v>151</v>
      </c>
      <c r="B297">
        <v>2018</v>
      </c>
      <c r="C297" t="s">
        <v>38</v>
      </c>
      <c r="D297" s="13">
        <v>34673</v>
      </c>
      <c r="E297" s="1">
        <v>22185</v>
      </c>
      <c r="F297" s="1">
        <v>7991398.7571571618</v>
      </c>
      <c r="G297" s="11">
        <v>9821</v>
      </c>
      <c r="H297" s="1">
        <v>1790082.5535285415</v>
      </c>
      <c r="I297">
        <f t="shared" si="270"/>
        <v>0.69315128413422489</v>
      </c>
      <c r="J297">
        <f t="shared" si="271"/>
        <v>1.5741166402159367E-3</v>
      </c>
      <c r="K297" s="13">
        <f t="shared" si="266"/>
        <v>50022.26901059274</v>
      </c>
      <c r="L297" s="1">
        <f t="shared" si="272"/>
        <v>8197994.4604236083</v>
      </c>
      <c r="M297">
        <f t="shared" si="273"/>
        <v>2863.2140088410451</v>
      </c>
      <c r="N297" s="1">
        <f t="shared" si="274"/>
        <v>5611.8994573284481</v>
      </c>
      <c r="O297" s="24">
        <f t="shared" si="265"/>
        <v>15349.26901059274</v>
      </c>
      <c r="P297" s="1">
        <f t="shared" si="267"/>
        <v>8197994.4604236083</v>
      </c>
      <c r="Q297">
        <f t="shared" si="268"/>
        <v>2863.2140088410451</v>
      </c>
      <c r="R297" s="1">
        <f t="shared" si="269"/>
        <v>5611.8994573284481</v>
      </c>
      <c r="T297" s="2"/>
    </row>
    <row r="298" spans="1:20" x14ac:dyDescent="0.25">
      <c r="A298" t="s">
        <v>151</v>
      </c>
      <c r="B298">
        <v>2019</v>
      </c>
      <c r="C298" t="s">
        <v>38</v>
      </c>
      <c r="D298" s="13">
        <v>36293</v>
      </c>
      <c r="E298" s="1">
        <v>15254</v>
      </c>
      <c r="F298" s="1">
        <v>4627249.9689599667</v>
      </c>
      <c r="G298" s="54">
        <v>9744</v>
      </c>
      <c r="H298" s="1">
        <v>2373693.445509505</v>
      </c>
      <c r="I298">
        <f t="shared" si="270"/>
        <v>0.61020881670533644</v>
      </c>
      <c r="J298">
        <f t="shared" si="271"/>
        <v>2.5394581329572308E-3</v>
      </c>
      <c r="K298" s="13">
        <f t="shared" si="266"/>
        <v>59476.361216730038</v>
      </c>
      <c r="L298" s="1">
        <f>(D298^2)*J298*(1/(I298^4))</f>
        <v>24125308.819017805</v>
      </c>
      <c r="M298">
        <f>SQRT(L298)</f>
        <v>4911.7521129448096</v>
      </c>
      <c r="N298" s="1">
        <f>(1.96*M298)</f>
        <v>9627.034141371827</v>
      </c>
      <c r="O298" s="24">
        <f t="shared" si="265"/>
        <v>23183.361216730038</v>
      </c>
      <c r="P298" s="1">
        <f>L298</f>
        <v>24125308.819017805</v>
      </c>
      <c r="Q298">
        <f>SQRT(P298)</f>
        <v>4911.7521129448096</v>
      </c>
      <c r="R298" s="1">
        <f>(1.96*Q298)</f>
        <v>9627.034141371827</v>
      </c>
      <c r="T298" s="2"/>
    </row>
    <row r="299" spans="1:20" x14ac:dyDescent="0.25">
      <c r="A299" t="s">
        <v>151</v>
      </c>
      <c r="B299">
        <v>2020</v>
      </c>
      <c r="C299" t="s">
        <v>38</v>
      </c>
      <c r="D299" s="13">
        <v>17585</v>
      </c>
      <c r="E299" s="1">
        <v>11282</v>
      </c>
      <c r="F299" s="1">
        <v>3378542.6395355295</v>
      </c>
      <c r="G299" s="54">
        <v>3117</v>
      </c>
      <c r="H299" s="1">
        <v>348292.54779179231</v>
      </c>
      <c r="I299">
        <f t="shared" ref="I299:I301" si="275">E299/(E299+G299)</f>
        <v>0.78352663379401344</v>
      </c>
      <c r="J299">
        <f t="shared" ref="J299:J300" si="276">((((E299)^2*H299)+((G299)^2*F299))/(E299+G299)^4)</f>
        <v>1.7949184651584506E-3</v>
      </c>
      <c r="K299" s="13">
        <f t="shared" ref="K299:K300" si="277">D299/I299</f>
        <v>22443.397890444958</v>
      </c>
      <c r="L299" s="1">
        <f t="shared" ref="L299:L300" si="278">(D299^2)*J299*(1/(I299^4))</f>
        <v>1472700.4379098967</v>
      </c>
      <c r="M299">
        <f t="shared" ref="M299:M300" si="279">SQRT(L299)</f>
        <v>1213.5486961428028</v>
      </c>
      <c r="N299" s="1">
        <f t="shared" ref="N299:N300" si="280">(1.96*M299)</f>
        <v>2378.5554444398936</v>
      </c>
      <c r="O299" s="24">
        <f t="shared" ref="O299:O300" si="281">K299-D299</f>
        <v>4858.3978904449577</v>
      </c>
      <c r="P299" s="1">
        <f t="shared" ref="P299:P300" si="282">L299</f>
        <v>1472700.4379098967</v>
      </c>
      <c r="Q299">
        <f t="shared" ref="Q299:Q300" si="283">SQRT(P299)</f>
        <v>1213.5486961428028</v>
      </c>
      <c r="R299" s="1">
        <f t="shared" ref="R299:R300" si="284">(1.96*Q299)</f>
        <v>2378.5554444398936</v>
      </c>
      <c r="T299" s="2"/>
    </row>
    <row r="300" spans="1:20" x14ac:dyDescent="0.25">
      <c r="A300" t="s">
        <v>151</v>
      </c>
      <c r="B300">
        <v>2021</v>
      </c>
      <c r="C300" t="s">
        <v>38</v>
      </c>
      <c r="D300" s="13">
        <v>33151</v>
      </c>
      <c r="E300" s="1">
        <v>24203</v>
      </c>
      <c r="F300" s="1">
        <v>9549873.3804114126</v>
      </c>
      <c r="G300" s="54">
        <v>5787</v>
      </c>
      <c r="H300" s="1">
        <v>1513685.9064624684</v>
      </c>
      <c r="I300">
        <f t="shared" si="275"/>
        <v>0.80703567855951985</v>
      </c>
      <c r="J300">
        <f t="shared" si="276"/>
        <v>1.4915112042974124E-3</v>
      </c>
      <c r="K300" s="13">
        <f t="shared" si="277"/>
        <v>41077.489980580918</v>
      </c>
      <c r="L300" s="1">
        <f t="shared" si="278"/>
        <v>3864104.3574178377</v>
      </c>
      <c r="M300">
        <f t="shared" si="279"/>
        <v>1965.7325243831719</v>
      </c>
      <c r="N300" s="1">
        <f t="shared" si="280"/>
        <v>3852.8357477910167</v>
      </c>
      <c r="O300" s="24">
        <f t="shared" si="281"/>
        <v>7926.4899805809182</v>
      </c>
      <c r="P300" s="1">
        <f t="shared" si="282"/>
        <v>3864104.3574178377</v>
      </c>
      <c r="Q300">
        <f t="shared" si="283"/>
        <v>1965.7325243831719</v>
      </c>
      <c r="R300" s="1">
        <f t="shared" si="284"/>
        <v>3852.8357477910167</v>
      </c>
      <c r="T300" s="2"/>
    </row>
    <row r="301" spans="1:20" s="51" customFormat="1" x14ac:dyDescent="0.25">
      <c r="A301" s="51" t="s">
        <v>151</v>
      </c>
      <c r="B301" s="51">
        <v>2022</v>
      </c>
      <c r="C301" s="51" t="s">
        <v>38</v>
      </c>
      <c r="D301" s="71">
        <v>34168</v>
      </c>
      <c r="E301" s="72">
        <v>20926</v>
      </c>
      <c r="F301" s="72">
        <f>2792^2</f>
        <v>7795264</v>
      </c>
      <c r="G301" s="75">
        <v>14674</v>
      </c>
      <c r="H301" s="72">
        <f>4158^2</f>
        <v>17288964</v>
      </c>
      <c r="I301" s="51">
        <f t="shared" si="275"/>
        <v>0.58780898876404497</v>
      </c>
      <c r="J301">
        <f t="shared" ref="J301" si="285">((((E301)^2*H301)+((G301)^2*F301))/(E301+G301)^4)</f>
        <v>5.7585051543787005E-3</v>
      </c>
      <c r="K301" s="13">
        <f t="shared" ref="K301" si="286">D301/I301</f>
        <v>58127.726273535314</v>
      </c>
      <c r="L301" s="1">
        <f t="shared" ref="L301" si="287">(D301^2)*J301*(1/(I301^4))</f>
        <v>56312393.20575878</v>
      </c>
      <c r="M301">
        <f t="shared" ref="M301" si="288">SQRT(L301)</f>
        <v>7504.1583942344114</v>
      </c>
      <c r="N301" s="1">
        <f t="shared" ref="N301" si="289">(1.96*M301)</f>
        <v>14708.150452699447</v>
      </c>
      <c r="O301" s="24">
        <f t="shared" ref="O301" si="290">K301-D301</f>
        <v>23959.726273535314</v>
      </c>
      <c r="P301" s="1">
        <f t="shared" ref="P301" si="291">L301</f>
        <v>56312393.20575878</v>
      </c>
      <c r="Q301">
        <f t="shared" ref="Q301" si="292">SQRT(P301)</f>
        <v>7504.1583942344114</v>
      </c>
      <c r="R301" s="1">
        <f t="shared" ref="R301" si="293">(1.96*Q301)</f>
        <v>14708.150452699447</v>
      </c>
      <c r="T301" s="76"/>
    </row>
    <row r="302" spans="1:20" x14ac:dyDescent="0.25">
      <c r="A302" t="s">
        <v>151</v>
      </c>
      <c r="B302">
        <v>1998</v>
      </c>
      <c r="C302" t="s">
        <v>41</v>
      </c>
      <c r="D302" s="13">
        <v>1123</v>
      </c>
      <c r="E302" s="1"/>
      <c r="F302" s="1"/>
      <c r="G302" s="1"/>
      <c r="H302" s="1"/>
      <c r="I302" s="21">
        <f>AVERAGE(I315:I322)</f>
        <v>0.65341780549903927</v>
      </c>
      <c r="J302" s="21">
        <v>1.3494810303268833E-2</v>
      </c>
      <c r="K302" s="13">
        <f t="shared" si="266"/>
        <v>1718.6553389715536</v>
      </c>
      <c r="L302" s="1">
        <f t="shared" si="272"/>
        <v>93360.34279041113</v>
      </c>
      <c r="M302">
        <f t="shared" si="273"/>
        <v>305.54924773334187</v>
      </c>
      <c r="N302" s="1">
        <f t="shared" si="274"/>
        <v>598.87652555735008</v>
      </c>
      <c r="O302" s="24">
        <f t="shared" si="265"/>
        <v>595.65533897155365</v>
      </c>
      <c r="P302" s="1">
        <f t="shared" si="267"/>
        <v>93360.34279041113</v>
      </c>
      <c r="Q302">
        <f t="shared" si="268"/>
        <v>305.54924773334187</v>
      </c>
      <c r="R302" s="1">
        <f t="shared" si="269"/>
        <v>598.87652555735008</v>
      </c>
    </row>
    <row r="303" spans="1:20" x14ac:dyDescent="0.25">
      <c r="A303" t="s">
        <v>151</v>
      </c>
      <c r="B303">
        <v>1999</v>
      </c>
      <c r="C303" t="s">
        <v>41</v>
      </c>
      <c r="D303" s="13">
        <v>1071</v>
      </c>
      <c r="E303" s="1"/>
      <c r="F303" s="1"/>
      <c r="G303" s="1"/>
      <c r="H303" s="1"/>
      <c r="I303" s="21">
        <v>0.65341780549903927</v>
      </c>
      <c r="J303" s="21">
        <v>1.3494810303268833E-2</v>
      </c>
      <c r="K303" s="13">
        <f t="shared" si="266"/>
        <v>1639.073791663877</v>
      </c>
      <c r="L303" s="1">
        <f t="shared" si="272"/>
        <v>84914.501969787365</v>
      </c>
      <c r="M303">
        <f t="shared" si="273"/>
        <v>291.40092993981227</v>
      </c>
      <c r="N303" s="1">
        <f t="shared" si="274"/>
        <v>571.14582268203208</v>
      </c>
      <c r="O303" s="24">
        <f t="shared" si="265"/>
        <v>568.07379166387705</v>
      </c>
      <c r="P303" s="1">
        <f t="shared" si="267"/>
        <v>84914.501969787365</v>
      </c>
      <c r="Q303">
        <f t="shared" si="268"/>
        <v>291.40092993981227</v>
      </c>
      <c r="R303" s="1">
        <f t="shared" si="269"/>
        <v>571.14582268203208</v>
      </c>
    </row>
    <row r="304" spans="1:20" x14ac:dyDescent="0.25">
      <c r="A304" t="s">
        <v>151</v>
      </c>
      <c r="B304">
        <v>2000</v>
      </c>
      <c r="C304" t="s">
        <v>41</v>
      </c>
      <c r="D304" s="13">
        <v>2883</v>
      </c>
      <c r="E304" s="1"/>
      <c r="F304" s="1"/>
      <c r="G304" s="1"/>
      <c r="H304" s="1"/>
      <c r="I304" s="21">
        <v>0.65341780549903927</v>
      </c>
      <c r="J304" s="21">
        <v>1.3494810303268833E-2</v>
      </c>
      <c r="K304" s="13">
        <f t="shared" si="266"/>
        <v>4412.1846324621447</v>
      </c>
      <c r="L304" s="1">
        <f t="shared" si="272"/>
        <v>615307.50161743129</v>
      </c>
      <c r="M304">
        <f t="shared" si="273"/>
        <v>784.41538843742183</v>
      </c>
      <c r="N304" s="1">
        <f t="shared" si="274"/>
        <v>1537.4541613373467</v>
      </c>
      <c r="O304" s="24">
        <f t="shared" si="265"/>
        <v>1529.1846324621447</v>
      </c>
      <c r="P304" s="1">
        <f t="shared" si="267"/>
        <v>615307.50161743129</v>
      </c>
      <c r="Q304">
        <f t="shared" si="268"/>
        <v>784.41538843742183</v>
      </c>
      <c r="R304" s="1">
        <f t="shared" si="269"/>
        <v>1537.4541613373467</v>
      </c>
    </row>
    <row r="305" spans="1:20" x14ac:dyDescent="0.25">
      <c r="A305" t="s">
        <v>151</v>
      </c>
      <c r="B305">
        <v>2001</v>
      </c>
      <c r="C305" t="s">
        <v>41</v>
      </c>
      <c r="D305" s="13">
        <v>2839</v>
      </c>
      <c r="E305" s="1"/>
      <c r="F305" s="1"/>
      <c r="G305" s="1"/>
      <c r="H305" s="1"/>
      <c r="I305" s="21">
        <v>0.65341780549903927</v>
      </c>
      <c r="J305" s="21">
        <v>1.3494810303268833E-2</v>
      </c>
      <c r="K305" s="13">
        <f t="shared" si="266"/>
        <v>4344.8464001248803</v>
      </c>
      <c r="L305" s="1">
        <f t="shared" si="272"/>
        <v>596669.32361688081</v>
      </c>
      <c r="M305">
        <f t="shared" si="273"/>
        <v>772.4437349198198</v>
      </c>
      <c r="N305" s="1">
        <f t="shared" si="274"/>
        <v>1513.9897204428469</v>
      </c>
      <c r="O305" s="24">
        <f t="shared" si="265"/>
        <v>1505.8464001248803</v>
      </c>
      <c r="P305" s="1">
        <f t="shared" si="267"/>
        <v>596669.32361688081</v>
      </c>
      <c r="Q305">
        <f t="shared" si="268"/>
        <v>772.4437349198198</v>
      </c>
      <c r="R305" s="1">
        <f t="shared" si="269"/>
        <v>1513.9897204428469</v>
      </c>
    </row>
    <row r="306" spans="1:20" x14ac:dyDescent="0.25">
      <c r="A306" t="s">
        <v>151</v>
      </c>
      <c r="B306">
        <v>2002</v>
      </c>
      <c r="C306" t="s">
        <v>41</v>
      </c>
      <c r="D306" s="13">
        <v>2029</v>
      </c>
      <c r="E306" s="1"/>
      <c r="F306" s="1"/>
      <c r="G306" s="1"/>
      <c r="H306" s="1"/>
      <c r="I306" s="21">
        <v>0.65341780549903927</v>
      </c>
      <c r="J306" s="21">
        <v>1.3494810303268833E-2</v>
      </c>
      <c r="K306" s="13">
        <f t="shared" si="266"/>
        <v>3105.2107593706878</v>
      </c>
      <c r="L306" s="1">
        <f t="shared" si="272"/>
        <v>304766.3537779394</v>
      </c>
      <c r="M306">
        <f t="shared" si="273"/>
        <v>552.05647698214659</v>
      </c>
      <c r="N306" s="1">
        <f t="shared" si="274"/>
        <v>1082.0306948850073</v>
      </c>
      <c r="O306" s="24">
        <f t="shared" si="265"/>
        <v>1076.2107593706878</v>
      </c>
      <c r="P306" s="1">
        <f t="shared" si="267"/>
        <v>304766.3537779394</v>
      </c>
      <c r="Q306">
        <f t="shared" si="268"/>
        <v>552.05647698214659</v>
      </c>
      <c r="R306" s="1">
        <f t="shared" si="269"/>
        <v>1082.0306948850073</v>
      </c>
    </row>
    <row r="307" spans="1:20" x14ac:dyDescent="0.25">
      <c r="A307" t="s">
        <v>151</v>
      </c>
      <c r="B307">
        <v>2003</v>
      </c>
      <c r="C307" t="s">
        <v>41</v>
      </c>
      <c r="D307" s="13">
        <v>3083</v>
      </c>
      <c r="E307" s="1"/>
      <c r="F307" s="1"/>
      <c r="G307" s="1"/>
      <c r="H307" s="1"/>
      <c r="I307" s="21">
        <v>0.65341780549903927</v>
      </c>
      <c r="J307" s="21">
        <v>1.3494810303268833E-2</v>
      </c>
      <c r="K307" s="13">
        <f t="shared" si="266"/>
        <v>4718.26750672244</v>
      </c>
      <c r="L307" s="1">
        <f t="shared" si="272"/>
        <v>703639.11639872531</v>
      </c>
      <c r="M307">
        <f t="shared" si="273"/>
        <v>838.83199533561265</v>
      </c>
      <c r="N307" s="1">
        <f t="shared" si="274"/>
        <v>1644.1107108578008</v>
      </c>
      <c r="O307" s="24">
        <f t="shared" si="265"/>
        <v>1635.26750672244</v>
      </c>
      <c r="P307" s="1">
        <f t="shared" si="267"/>
        <v>703639.11639872531</v>
      </c>
      <c r="Q307">
        <f t="shared" si="268"/>
        <v>838.83199533561265</v>
      </c>
      <c r="R307" s="1">
        <f t="shared" si="269"/>
        <v>1644.1107108578008</v>
      </c>
    </row>
    <row r="308" spans="1:20" x14ac:dyDescent="0.25">
      <c r="A308" t="s">
        <v>151</v>
      </c>
      <c r="B308">
        <v>2004</v>
      </c>
      <c r="C308" t="s">
        <v>41</v>
      </c>
      <c r="D308" s="13">
        <v>2923</v>
      </c>
      <c r="E308" s="1"/>
      <c r="F308" s="1"/>
      <c r="G308" s="1"/>
      <c r="H308" s="1"/>
      <c r="I308" s="21">
        <v>0.65341780549903927</v>
      </c>
      <c r="J308" s="21">
        <v>1.3494810303268833E-2</v>
      </c>
      <c r="K308" s="13">
        <f t="shared" si="266"/>
        <v>4473.4012073142039</v>
      </c>
      <c r="L308" s="1">
        <f t="shared" si="272"/>
        <v>632500.03783668019</v>
      </c>
      <c r="M308">
        <f t="shared" si="273"/>
        <v>795.29870981705994</v>
      </c>
      <c r="N308" s="1">
        <f t="shared" si="274"/>
        <v>1558.7854712414376</v>
      </c>
      <c r="O308" s="24">
        <f t="shared" si="265"/>
        <v>1550.4012073142039</v>
      </c>
      <c r="P308" s="1">
        <f t="shared" si="267"/>
        <v>632500.03783668019</v>
      </c>
      <c r="Q308">
        <f t="shared" si="268"/>
        <v>795.29870981705994</v>
      </c>
      <c r="R308" s="1">
        <f t="shared" si="269"/>
        <v>1558.7854712414376</v>
      </c>
    </row>
    <row r="309" spans="1:20" x14ac:dyDescent="0.25">
      <c r="A309" t="s">
        <v>151</v>
      </c>
      <c r="B309">
        <v>2005</v>
      </c>
      <c r="C309" t="s">
        <v>41</v>
      </c>
      <c r="D309" s="13">
        <v>2796</v>
      </c>
      <c r="E309" s="1"/>
      <c r="F309" s="1"/>
      <c r="G309" s="1"/>
      <c r="H309" s="1"/>
      <c r="I309" s="21">
        <v>0.65341780549903927</v>
      </c>
      <c r="J309" s="21">
        <v>1.3494810303268833E-2</v>
      </c>
      <c r="K309" s="13">
        <f t="shared" si="266"/>
        <v>4279.0385821589171</v>
      </c>
      <c r="L309" s="1">
        <f t="shared" si="272"/>
        <v>578731.68372450606</v>
      </c>
      <c r="M309">
        <f t="shared" si="273"/>
        <v>760.74416443670873</v>
      </c>
      <c r="N309" s="1">
        <f t="shared" si="274"/>
        <v>1491.0585622959491</v>
      </c>
      <c r="O309" s="24">
        <f t="shared" si="265"/>
        <v>1483.0385821589171</v>
      </c>
      <c r="P309" s="1">
        <f t="shared" si="267"/>
        <v>578731.68372450606</v>
      </c>
      <c r="Q309">
        <f t="shared" si="268"/>
        <v>760.74416443670873</v>
      </c>
      <c r="R309" s="1">
        <f t="shared" si="269"/>
        <v>1491.0585622959491</v>
      </c>
    </row>
    <row r="310" spans="1:20" x14ac:dyDescent="0.25">
      <c r="A310" t="s">
        <v>151</v>
      </c>
      <c r="B310">
        <v>2006</v>
      </c>
      <c r="C310" t="s">
        <v>41</v>
      </c>
      <c r="D310" s="13">
        <v>3058</v>
      </c>
      <c r="E310" s="1"/>
      <c r="F310" s="1"/>
      <c r="G310" s="1"/>
      <c r="H310" s="1"/>
      <c r="I310" s="21">
        <v>0.65341780549903927</v>
      </c>
      <c r="J310" s="21">
        <v>1.3494810303268833E-2</v>
      </c>
      <c r="K310" s="13">
        <f t="shared" si="266"/>
        <v>4680.0071474399028</v>
      </c>
      <c r="L310" s="1">
        <f t="shared" si="272"/>
        <v>692273.78689881065</v>
      </c>
      <c r="M310">
        <f t="shared" si="273"/>
        <v>832.02991947333885</v>
      </c>
      <c r="N310" s="1">
        <f t="shared" si="274"/>
        <v>1630.778642167744</v>
      </c>
      <c r="O310" s="24">
        <f t="shared" si="265"/>
        <v>1622.0071474399028</v>
      </c>
      <c r="P310" s="1">
        <f t="shared" si="267"/>
        <v>692273.78689881065</v>
      </c>
      <c r="Q310">
        <f t="shared" si="268"/>
        <v>832.02991947333885</v>
      </c>
      <c r="R310" s="1">
        <f t="shared" si="269"/>
        <v>1630.778642167744</v>
      </c>
    </row>
    <row r="311" spans="1:20" x14ac:dyDescent="0.25">
      <c r="A311" t="s">
        <v>151</v>
      </c>
      <c r="B311">
        <v>2007</v>
      </c>
      <c r="C311" t="s">
        <v>41</v>
      </c>
      <c r="D311" s="13">
        <v>4266</v>
      </c>
      <c r="E311" s="1"/>
      <c r="F311" s="1"/>
      <c r="G311" s="1"/>
      <c r="H311" s="1"/>
      <c r="I311" s="21">
        <v>0.65341780549903927</v>
      </c>
      <c r="J311" s="21">
        <v>1.3494810303268833E-2</v>
      </c>
      <c r="K311" s="13">
        <f t="shared" si="266"/>
        <v>6528.7477079720811</v>
      </c>
      <c r="L311" s="1">
        <f t="shared" si="272"/>
        <v>1347238.9410750614</v>
      </c>
      <c r="M311">
        <f t="shared" si="273"/>
        <v>1160.7062251384118</v>
      </c>
      <c r="N311" s="1">
        <f t="shared" si="274"/>
        <v>2274.984201271287</v>
      </c>
      <c r="O311" s="24">
        <f t="shared" si="265"/>
        <v>2262.7477079720811</v>
      </c>
      <c r="P311" s="1">
        <f t="shared" si="267"/>
        <v>1347238.9410750614</v>
      </c>
      <c r="Q311">
        <f t="shared" si="268"/>
        <v>1160.7062251384118</v>
      </c>
      <c r="R311" s="1">
        <f t="shared" si="269"/>
        <v>2274.984201271287</v>
      </c>
    </row>
    <row r="312" spans="1:20" x14ac:dyDescent="0.25">
      <c r="A312" t="s">
        <v>151</v>
      </c>
      <c r="B312">
        <v>2008</v>
      </c>
      <c r="C312" t="s">
        <v>41</v>
      </c>
      <c r="D312" s="13">
        <v>5010</v>
      </c>
      <c r="E312" s="1"/>
      <c r="F312" s="1"/>
      <c r="G312" s="1"/>
      <c r="H312" s="1"/>
      <c r="I312" s="21">
        <v>0.65341780549903927</v>
      </c>
      <c r="J312" s="21">
        <v>1.3494810303268833E-2</v>
      </c>
      <c r="K312" s="13">
        <f t="shared" si="266"/>
        <v>7667.3760002203771</v>
      </c>
      <c r="L312" s="1">
        <f t="shared" si="272"/>
        <v>1858139.7621286947</v>
      </c>
      <c r="M312">
        <f t="shared" si="273"/>
        <v>1363.136002799682</v>
      </c>
      <c r="N312" s="1">
        <f t="shared" si="274"/>
        <v>2671.7465654873768</v>
      </c>
      <c r="O312" s="24">
        <f t="shared" si="265"/>
        <v>2657.3760002203771</v>
      </c>
      <c r="P312" s="1">
        <f t="shared" si="267"/>
        <v>1858139.7621286947</v>
      </c>
      <c r="Q312">
        <f t="shared" si="268"/>
        <v>1363.136002799682</v>
      </c>
      <c r="R312" s="1">
        <f t="shared" si="269"/>
        <v>2671.7465654873768</v>
      </c>
    </row>
    <row r="313" spans="1:20" x14ac:dyDescent="0.25">
      <c r="A313" t="s">
        <v>151</v>
      </c>
      <c r="B313">
        <v>2009</v>
      </c>
      <c r="C313" t="s">
        <v>41</v>
      </c>
      <c r="D313" s="13">
        <v>2818</v>
      </c>
      <c r="E313" s="1"/>
      <c r="F313" s="1"/>
      <c r="G313" s="1"/>
      <c r="H313" s="1"/>
      <c r="I313" s="21">
        <v>0.65341780549903927</v>
      </c>
      <c r="J313" s="21">
        <v>1.3494810303268833E-2</v>
      </c>
      <c r="K313" s="13">
        <f t="shared" si="266"/>
        <v>4312.7076983275492</v>
      </c>
      <c r="L313" s="1">
        <f t="shared" si="272"/>
        <v>587874.87939866644</v>
      </c>
      <c r="M313">
        <f t="shared" si="273"/>
        <v>766.72999119550968</v>
      </c>
      <c r="N313" s="1">
        <f t="shared" si="274"/>
        <v>1502.7907827431989</v>
      </c>
      <c r="O313" s="24">
        <f t="shared" si="265"/>
        <v>1494.7076983275492</v>
      </c>
      <c r="P313" s="1">
        <f t="shared" si="267"/>
        <v>587874.87939866644</v>
      </c>
      <c r="Q313">
        <f t="shared" si="268"/>
        <v>766.72999119550968</v>
      </c>
      <c r="R313" s="1">
        <f t="shared" si="269"/>
        <v>1502.7907827431989</v>
      </c>
    </row>
    <row r="314" spans="1:20" x14ac:dyDescent="0.25">
      <c r="A314" t="s">
        <v>151</v>
      </c>
      <c r="B314">
        <v>2010</v>
      </c>
      <c r="C314" t="s">
        <v>41</v>
      </c>
      <c r="D314" s="13">
        <v>4613</v>
      </c>
      <c r="E314" s="1"/>
      <c r="F314" s="1"/>
      <c r="G314" s="1"/>
      <c r="H314" s="1"/>
      <c r="I314" s="21">
        <v>0.65341780549903927</v>
      </c>
      <c r="J314" s="21">
        <v>1.3494810303268833E-2</v>
      </c>
      <c r="K314" s="13">
        <f t="shared" si="266"/>
        <v>7059.8014948136924</v>
      </c>
      <c r="L314" s="1">
        <f t="shared" si="272"/>
        <v>1575323.7998180711</v>
      </c>
      <c r="M314">
        <f t="shared" si="273"/>
        <v>1255.1190381067729</v>
      </c>
      <c r="N314" s="1">
        <f t="shared" si="274"/>
        <v>2460.0333146892749</v>
      </c>
      <c r="O314" s="24">
        <f t="shared" si="265"/>
        <v>2446.8014948136924</v>
      </c>
      <c r="P314" s="1">
        <f t="shared" si="267"/>
        <v>1575323.7998180711</v>
      </c>
      <c r="Q314">
        <f t="shared" si="268"/>
        <v>1255.1190381067729</v>
      </c>
      <c r="R314" s="1">
        <f t="shared" si="269"/>
        <v>2460.0333146892749</v>
      </c>
    </row>
    <row r="315" spans="1:20" x14ac:dyDescent="0.25">
      <c r="A315" t="s">
        <v>151</v>
      </c>
      <c r="B315">
        <v>2011</v>
      </c>
      <c r="C315" t="s">
        <v>41</v>
      </c>
      <c r="D315" s="13">
        <v>8950</v>
      </c>
      <c r="E315" s="1">
        <v>4628</v>
      </c>
      <c r="F315" s="1">
        <v>1123011.175286294</v>
      </c>
      <c r="G315" s="11">
        <v>1091</v>
      </c>
      <c r="H315" s="1">
        <v>134615.45217117149</v>
      </c>
      <c r="I315">
        <f t="shared" ref="I315:I323" si="294">E315/(E315+G315)</f>
        <v>0.80923238328379088</v>
      </c>
      <c r="J315">
        <f t="shared" ref="J315:J323" si="295">((((E315)^2*H315)+((G315)^2*F315))/(E315+G315)^4)</f>
        <v>3.9448122091551106E-3</v>
      </c>
      <c r="K315" s="13">
        <f t="shared" si="266"/>
        <v>11059.863872082973</v>
      </c>
      <c r="L315" s="1">
        <f t="shared" si="272"/>
        <v>736850.51155388099</v>
      </c>
      <c r="M315">
        <f t="shared" si="273"/>
        <v>858.39997178115107</v>
      </c>
      <c r="N315" s="1">
        <f t="shared" si="274"/>
        <v>1682.463944691056</v>
      </c>
      <c r="O315" s="24">
        <f t="shared" si="265"/>
        <v>2109.8638720829731</v>
      </c>
      <c r="P315" s="1">
        <f t="shared" si="267"/>
        <v>736850.51155388099</v>
      </c>
      <c r="Q315">
        <f t="shared" si="268"/>
        <v>858.39997178115107</v>
      </c>
      <c r="R315" s="1">
        <f t="shared" si="269"/>
        <v>1682.463944691056</v>
      </c>
      <c r="T315" s="2"/>
    </row>
    <row r="316" spans="1:20" x14ac:dyDescent="0.25">
      <c r="A316" t="s">
        <v>151</v>
      </c>
      <c r="B316">
        <v>2012</v>
      </c>
      <c r="C316" t="s">
        <v>41</v>
      </c>
      <c r="D316" s="13">
        <v>8600</v>
      </c>
      <c r="E316" s="1">
        <v>4902</v>
      </c>
      <c r="F316" s="1">
        <v>817154.10041942052</v>
      </c>
      <c r="G316" s="11">
        <v>2312</v>
      </c>
      <c r="H316" s="1">
        <v>606300.08666266291</v>
      </c>
      <c r="I316">
        <f t="shared" si="294"/>
        <v>0.67951205988355978</v>
      </c>
      <c r="J316">
        <f t="shared" si="295"/>
        <v>6.9921284278318613E-3</v>
      </c>
      <c r="K316" s="13">
        <f t="shared" si="266"/>
        <v>12656.140350877193</v>
      </c>
      <c r="L316" s="1">
        <f t="shared" ref="L316:L339" si="296">(D316^2)*J316*(1/(I316^4))</f>
        <v>2425591.2838210762</v>
      </c>
      <c r="M316">
        <f t="shared" si="273"/>
        <v>1557.4309884617926</v>
      </c>
      <c r="N316" s="1">
        <f t="shared" si="274"/>
        <v>3052.5647373851134</v>
      </c>
      <c r="O316" s="24">
        <f t="shared" si="265"/>
        <v>4056.1403508771928</v>
      </c>
      <c r="P316" s="1">
        <f t="shared" si="267"/>
        <v>2425591.2838210762</v>
      </c>
      <c r="Q316">
        <f t="shared" si="268"/>
        <v>1557.4309884617926</v>
      </c>
      <c r="R316" s="1">
        <f t="shared" si="269"/>
        <v>3052.5647373851134</v>
      </c>
      <c r="T316" s="2"/>
    </row>
    <row r="317" spans="1:20" x14ac:dyDescent="0.25">
      <c r="A317" t="s">
        <v>151</v>
      </c>
      <c r="B317">
        <v>2013</v>
      </c>
      <c r="C317" t="s">
        <v>41</v>
      </c>
      <c r="D317" s="13">
        <v>6970</v>
      </c>
      <c r="E317" s="1">
        <v>5774</v>
      </c>
      <c r="F317" s="1">
        <v>1485966.2791901822</v>
      </c>
      <c r="G317" s="11">
        <v>2952</v>
      </c>
      <c r="H317" s="1">
        <v>973096.92602602462</v>
      </c>
      <c r="I317">
        <f t="shared" si="294"/>
        <v>0.66170066468026589</v>
      </c>
      <c r="J317">
        <f t="shared" si="295"/>
        <v>7.8291014895236332E-3</v>
      </c>
      <c r="K317" s="13">
        <f t="shared" si="266"/>
        <v>10533.463803255974</v>
      </c>
      <c r="L317" s="1">
        <f t="shared" si="296"/>
        <v>1983952.159720307</v>
      </c>
      <c r="M317">
        <f t="shared" si="273"/>
        <v>1408.5283666722182</v>
      </c>
      <c r="N317" s="1">
        <f t="shared" si="274"/>
        <v>2760.7155986775479</v>
      </c>
      <c r="O317" s="24">
        <f t="shared" si="265"/>
        <v>3563.4638032559742</v>
      </c>
      <c r="P317" s="1">
        <f t="shared" si="267"/>
        <v>1983952.159720307</v>
      </c>
      <c r="Q317">
        <f t="shared" si="268"/>
        <v>1408.5283666722182</v>
      </c>
      <c r="R317" s="1">
        <f t="shared" si="269"/>
        <v>2760.7155986775479</v>
      </c>
      <c r="T317" s="2"/>
    </row>
    <row r="318" spans="1:20" x14ac:dyDescent="0.25">
      <c r="A318" t="s">
        <v>151</v>
      </c>
      <c r="B318">
        <v>2014</v>
      </c>
      <c r="C318" t="s">
        <v>41</v>
      </c>
      <c r="D318" s="13">
        <v>8688</v>
      </c>
      <c r="E318" s="1">
        <v>5939</v>
      </c>
      <c r="F318" s="1">
        <v>1847984.6003753652</v>
      </c>
      <c r="G318" s="11">
        <v>6646</v>
      </c>
      <c r="H318" s="1">
        <v>2212538.992823815</v>
      </c>
      <c r="I318">
        <f t="shared" si="294"/>
        <v>0.47191100516487883</v>
      </c>
      <c r="J318">
        <f t="shared" si="295"/>
        <v>6.3649481561777691E-3</v>
      </c>
      <c r="K318" s="13">
        <f t="shared" si="266"/>
        <v>18410.250883987203</v>
      </c>
      <c r="L318" s="1">
        <f t="shared" si="296"/>
        <v>9687106.4801495951</v>
      </c>
      <c r="M318">
        <f t="shared" si="273"/>
        <v>3112.4116823051536</v>
      </c>
      <c r="N318" s="1">
        <f t="shared" si="274"/>
        <v>6100.3268973181011</v>
      </c>
      <c r="O318" s="24">
        <f t="shared" si="265"/>
        <v>9722.2508839872025</v>
      </c>
      <c r="P318" s="1">
        <f t="shared" si="267"/>
        <v>9687106.4801495951</v>
      </c>
      <c r="Q318">
        <f t="shared" si="268"/>
        <v>3112.4116823051536</v>
      </c>
      <c r="R318" s="1">
        <f t="shared" si="269"/>
        <v>6100.3268973181011</v>
      </c>
      <c r="T318" s="2"/>
    </row>
    <row r="319" spans="1:20" x14ac:dyDescent="0.25">
      <c r="A319" t="s">
        <v>151</v>
      </c>
      <c r="B319">
        <v>2015</v>
      </c>
      <c r="C319" t="s">
        <v>41</v>
      </c>
      <c r="D319" s="13">
        <v>9156</v>
      </c>
      <c r="E319" s="1">
        <v>9341</v>
      </c>
      <c r="F319" s="1">
        <v>2302346.3975565527</v>
      </c>
      <c r="G319" s="11">
        <v>4621</v>
      </c>
      <c r="H319" s="1">
        <v>3296851.4949189224</v>
      </c>
      <c r="I319">
        <f t="shared" si="294"/>
        <v>0.66903022489614672</v>
      </c>
      <c r="J319">
        <f t="shared" si="295"/>
        <v>8.8637501115362213E-3</v>
      </c>
      <c r="K319" s="13">
        <f t="shared" si="266"/>
        <v>13685.480355422331</v>
      </c>
      <c r="L319" s="1">
        <f t="shared" si="296"/>
        <v>3708908.4909766819</v>
      </c>
      <c r="M319">
        <f t="shared" si="273"/>
        <v>1925.8526659577783</v>
      </c>
      <c r="N319" s="1">
        <f t="shared" si="274"/>
        <v>3774.6712252772454</v>
      </c>
      <c r="O319" s="24">
        <f t="shared" si="265"/>
        <v>4529.4803554223308</v>
      </c>
      <c r="P319" s="1">
        <f t="shared" si="267"/>
        <v>3708908.4909766819</v>
      </c>
      <c r="Q319">
        <f t="shared" si="268"/>
        <v>1925.8526659577783</v>
      </c>
      <c r="R319" s="1">
        <f t="shared" si="269"/>
        <v>3774.6712252772454</v>
      </c>
      <c r="T319" s="2"/>
    </row>
    <row r="320" spans="1:20" x14ac:dyDescent="0.25">
      <c r="A320" t="s">
        <v>151</v>
      </c>
      <c r="B320">
        <v>2016</v>
      </c>
      <c r="C320" t="s">
        <v>41</v>
      </c>
      <c r="D320" s="13">
        <v>5839</v>
      </c>
      <c r="E320" s="1">
        <v>10348</v>
      </c>
      <c r="F320" s="1">
        <v>2978473.6189940036</v>
      </c>
      <c r="G320" s="11">
        <v>2943</v>
      </c>
      <c r="H320" s="1">
        <v>1031430.9678868863</v>
      </c>
      <c r="I320">
        <f t="shared" si="294"/>
        <v>0.77857196599202472</v>
      </c>
      <c r="J320">
        <f t="shared" si="295"/>
        <v>4.3660325747550922E-3</v>
      </c>
      <c r="K320" s="13">
        <f t="shared" si="266"/>
        <v>7499.6278507924235</v>
      </c>
      <c r="L320" s="1">
        <f t="shared" si="296"/>
        <v>405106.18509878113</v>
      </c>
      <c r="M320">
        <f t="shared" si="273"/>
        <v>636.47952449295735</v>
      </c>
      <c r="N320" s="1">
        <f t="shared" si="274"/>
        <v>1247.4998680061965</v>
      </c>
      <c r="O320" s="24">
        <f t="shared" si="265"/>
        <v>1660.6278507924235</v>
      </c>
      <c r="P320" s="1">
        <f t="shared" si="267"/>
        <v>405106.18509878113</v>
      </c>
      <c r="Q320">
        <f t="shared" si="268"/>
        <v>636.47952449295735</v>
      </c>
      <c r="R320" s="1">
        <f t="shared" si="269"/>
        <v>1247.4998680061965</v>
      </c>
      <c r="T320" s="2"/>
    </row>
    <row r="321" spans="1:20" x14ac:dyDescent="0.25">
      <c r="A321" t="s">
        <v>151</v>
      </c>
      <c r="B321">
        <v>2017</v>
      </c>
      <c r="C321" t="s">
        <v>41</v>
      </c>
      <c r="D321" s="13">
        <v>9211</v>
      </c>
      <c r="E321" s="1">
        <v>6590</v>
      </c>
      <c r="F321" s="1">
        <v>2037305.5895645493</v>
      </c>
      <c r="G321" s="11">
        <v>4913</v>
      </c>
      <c r="H321" s="1">
        <v>1254238.2343303345</v>
      </c>
      <c r="I321">
        <f t="shared" si="294"/>
        <v>0.57289402764496222</v>
      </c>
      <c r="J321">
        <f t="shared" si="295"/>
        <v>5.9197448334006057E-3</v>
      </c>
      <c r="K321" s="13">
        <f t="shared" si="266"/>
        <v>16078.017147192715</v>
      </c>
      <c r="L321" s="1">
        <f t="shared" si="296"/>
        <v>4662505.6656814301</v>
      </c>
      <c r="M321">
        <f t="shared" si="273"/>
        <v>2159.2836001047731</v>
      </c>
      <c r="N321" s="1">
        <f t="shared" si="274"/>
        <v>4232.1958562053551</v>
      </c>
      <c r="O321" s="24">
        <f t="shared" si="265"/>
        <v>6867.0171471927151</v>
      </c>
      <c r="P321" s="1">
        <f t="shared" si="267"/>
        <v>4662505.6656814301</v>
      </c>
      <c r="Q321">
        <f t="shared" si="268"/>
        <v>2159.2836001047731</v>
      </c>
      <c r="R321" s="1">
        <f t="shared" si="269"/>
        <v>4232.1958562053551</v>
      </c>
      <c r="T321" s="2"/>
    </row>
    <row r="322" spans="1:20" x14ac:dyDescent="0.25">
      <c r="A322" t="s">
        <v>151</v>
      </c>
      <c r="B322">
        <v>2018</v>
      </c>
      <c r="C322" t="s">
        <v>41</v>
      </c>
      <c r="D322" s="13">
        <v>11024</v>
      </c>
      <c r="E322" s="1">
        <v>7537</v>
      </c>
      <c r="F322" s="1">
        <v>2243253.1891891891</v>
      </c>
      <c r="G322" s="11">
        <v>5358</v>
      </c>
      <c r="H322" s="1">
        <v>2335681.1072262316</v>
      </c>
      <c r="I322">
        <f t="shared" si="294"/>
        <v>0.58449011244668481</v>
      </c>
      <c r="J322">
        <f t="shared" si="295"/>
        <v>7.1278722510065206E-3</v>
      </c>
      <c r="K322" s="13">
        <f t="shared" si="266"/>
        <v>18860.883640705848</v>
      </c>
      <c r="L322" s="1">
        <f t="shared" si="296"/>
        <v>7422148.5356027149</v>
      </c>
      <c r="M322">
        <f t="shared" si="273"/>
        <v>2724.3620419471995</v>
      </c>
      <c r="N322" s="1">
        <f t="shared" si="274"/>
        <v>5339.7496022165105</v>
      </c>
      <c r="O322" s="24">
        <f t="shared" si="265"/>
        <v>7836.8836407058479</v>
      </c>
      <c r="P322" s="1">
        <f t="shared" si="267"/>
        <v>7422148.5356027149</v>
      </c>
      <c r="Q322">
        <f t="shared" si="268"/>
        <v>2724.3620419471995</v>
      </c>
      <c r="R322" s="1">
        <f t="shared" si="269"/>
        <v>5339.7496022165105</v>
      </c>
      <c r="T322" s="2"/>
    </row>
    <row r="323" spans="1:20" x14ac:dyDescent="0.25">
      <c r="A323" t="s">
        <v>151</v>
      </c>
      <c r="B323">
        <v>2019</v>
      </c>
      <c r="C323" t="s">
        <v>41</v>
      </c>
      <c r="D323" s="13">
        <v>11553</v>
      </c>
      <c r="E323" s="1">
        <v>9746</v>
      </c>
      <c r="F323" s="1">
        <v>2494165.4075986105</v>
      </c>
      <c r="G323" s="54">
        <v>5602</v>
      </c>
      <c r="H323" s="1">
        <v>2657397.6015055124</v>
      </c>
      <c r="I323">
        <f t="shared" si="294"/>
        <v>0.63500130310138125</v>
      </c>
      <c r="J323">
        <f t="shared" si="295"/>
        <v>5.9594573793627066E-3</v>
      </c>
      <c r="K323" s="13">
        <f t="shared" si="266"/>
        <v>18193.663451672481</v>
      </c>
      <c r="L323" s="1">
        <f>(D323^2)*J323*(1/(I323^4))</f>
        <v>4892127.8553123055</v>
      </c>
      <c r="M323">
        <f>SQRT(L323)</f>
        <v>2211.8155111383739</v>
      </c>
      <c r="N323" s="1">
        <f>(1.96*M323)</f>
        <v>4335.1584018312133</v>
      </c>
      <c r="O323" s="24">
        <f t="shared" si="265"/>
        <v>6640.6634516724807</v>
      </c>
      <c r="P323" s="1">
        <f>L323</f>
        <v>4892127.8553123055</v>
      </c>
      <c r="Q323">
        <f>SQRT(P323)</f>
        <v>2211.8155111383739</v>
      </c>
      <c r="R323" s="1">
        <f>(1.96*Q323)</f>
        <v>4335.1584018312133</v>
      </c>
      <c r="T323" s="2"/>
    </row>
    <row r="324" spans="1:20" x14ac:dyDescent="0.25">
      <c r="A324" t="s">
        <v>151</v>
      </c>
      <c r="B324">
        <v>2020</v>
      </c>
      <c r="C324" t="s">
        <v>41</v>
      </c>
      <c r="D324" s="13">
        <v>3314</v>
      </c>
      <c r="E324" s="1">
        <v>4686</v>
      </c>
      <c r="F324" s="1">
        <v>538862.57535035186</v>
      </c>
      <c r="G324" s="54">
        <v>1535</v>
      </c>
      <c r="H324" s="1">
        <v>162515.03881381385</v>
      </c>
      <c r="I324">
        <f t="shared" ref="I324:I326" si="297">E324/(E324+G324)</f>
        <v>0.75325510368108017</v>
      </c>
      <c r="J324">
        <f t="shared" ref="J324:J325" si="298">((((E324)^2*H324)+((G324)^2*F324))/(E324+G324)^4)</f>
        <v>3.2303569334381343E-3</v>
      </c>
      <c r="K324" s="13">
        <f t="shared" ref="K324:K325" si="299">D324/I324</f>
        <v>4399.5719163465646</v>
      </c>
      <c r="L324" s="1">
        <f t="shared" ref="L324:L325" si="300">(D324^2)*J324*(1/(I324^4))</f>
        <v>110201.41937596143</v>
      </c>
      <c r="M324">
        <f t="shared" ref="M324:M325" si="301">SQRT(L324)</f>
        <v>331.96599129423095</v>
      </c>
      <c r="N324" s="1">
        <f t="shared" ref="N324:N325" si="302">(1.96*M324)</f>
        <v>650.65334293669264</v>
      </c>
      <c r="O324" s="24">
        <f t="shared" ref="O324:O325" si="303">K324-D324</f>
        <v>1085.5719163465646</v>
      </c>
      <c r="P324" s="1">
        <f t="shared" ref="P324:P325" si="304">L324</f>
        <v>110201.41937596143</v>
      </c>
      <c r="Q324">
        <f t="shared" ref="Q324:Q325" si="305">SQRT(P324)</f>
        <v>331.96599129423095</v>
      </c>
      <c r="R324" s="1">
        <f t="shared" ref="R324:R325" si="306">(1.96*Q324)</f>
        <v>650.65334293669264</v>
      </c>
      <c r="T324" s="2"/>
    </row>
    <row r="325" spans="1:20" x14ac:dyDescent="0.25">
      <c r="A325" t="s">
        <v>151</v>
      </c>
      <c r="B325">
        <v>2021</v>
      </c>
      <c r="C325" t="s">
        <v>41</v>
      </c>
      <c r="D325" s="13">
        <v>9732</v>
      </c>
      <c r="E325" s="1">
        <v>8099</v>
      </c>
      <c r="F325" s="1">
        <v>1939914.5337327269</v>
      </c>
      <c r="G325" s="54">
        <v>5212</v>
      </c>
      <c r="H325" s="1">
        <v>1681876.8238598593</v>
      </c>
      <c r="I325">
        <f t="shared" si="297"/>
        <v>0.60844414394110136</v>
      </c>
      <c r="J325">
        <f t="shared" si="298"/>
        <v>5.192706723215825E-3</v>
      </c>
      <c r="K325" s="13">
        <f t="shared" si="299"/>
        <v>15994.894678355353</v>
      </c>
      <c r="L325" s="1">
        <f t="shared" si="300"/>
        <v>3588518.0359388059</v>
      </c>
      <c r="M325">
        <f t="shared" si="301"/>
        <v>1894.3384164237407</v>
      </c>
      <c r="N325" s="1">
        <f t="shared" si="302"/>
        <v>3712.9032961905318</v>
      </c>
      <c r="O325" s="24">
        <f t="shared" si="303"/>
        <v>6262.8946783553529</v>
      </c>
      <c r="P325" s="1">
        <f t="shared" si="304"/>
        <v>3588518.0359388059</v>
      </c>
      <c r="Q325">
        <f t="shared" si="305"/>
        <v>1894.3384164237407</v>
      </c>
      <c r="R325" s="1">
        <f t="shared" si="306"/>
        <v>3712.9032961905318</v>
      </c>
      <c r="T325" s="2"/>
    </row>
    <row r="326" spans="1:20" s="51" customFormat="1" x14ac:dyDescent="0.25">
      <c r="A326" s="51" t="s">
        <v>151</v>
      </c>
      <c r="B326" s="51">
        <v>2022</v>
      </c>
      <c r="C326" s="51" t="s">
        <v>41</v>
      </c>
      <c r="D326" s="71">
        <v>10558</v>
      </c>
      <c r="E326" s="72">
        <v>9109</v>
      </c>
      <c r="F326" s="72">
        <f>1685^2</f>
        <v>2839225</v>
      </c>
      <c r="G326" s="75">
        <v>4300</v>
      </c>
      <c r="H326" s="72">
        <f>1299^2</f>
        <v>1687401</v>
      </c>
      <c r="I326" s="51">
        <f t="shared" si="297"/>
        <v>0.67931985979565968</v>
      </c>
      <c r="J326">
        <f t="shared" ref="J326" si="307">((((E326)^2*H326)+((G326)^2*F326))/(E326+G326)^4)</f>
        <v>5.9547296087732694E-3</v>
      </c>
      <c r="K326" s="13">
        <f t="shared" ref="K326" si="308">D326/I326</f>
        <v>15542.015808541002</v>
      </c>
      <c r="L326" s="1">
        <f t="shared" ref="L326" si="309">(D326^2)*J326*(1/(I326^4))</f>
        <v>3116937.6581412847</v>
      </c>
      <c r="M326">
        <f t="shared" ref="M326" si="310">SQRT(L326)</f>
        <v>1765.4851056129828</v>
      </c>
      <c r="N326" s="1">
        <f t="shared" ref="N326" si="311">(1.96*M326)</f>
        <v>3460.3508070014464</v>
      </c>
      <c r="O326" s="24">
        <f t="shared" ref="O326" si="312">K326-D326</f>
        <v>4984.0158085410021</v>
      </c>
      <c r="P326" s="1">
        <f t="shared" ref="P326" si="313">L326</f>
        <v>3116937.6581412847</v>
      </c>
      <c r="Q326">
        <f t="shared" ref="Q326" si="314">SQRT(P326)</f>
        <v>1765.4851056129828</v>
      </c>
      <c r="R326" s="1">
        <f t="shared" ref="R326" si="315">(1.96*Q326)</f>
        <v>3460.3508070014464</v>
      </c>
      <c r="T326" s="76"/>
    </row>
    <row r="327" spans="1:20" x14ac:dyDescent="0.25">
      <c r="A327" t="s">
        <v>151</v>
      </c>
      <c r="B327">
        <v>1998</v>
      </c>
      <c r="C327" t="s">
        <v>39</v>
      </c>
      <c r="D327" s="13">
        <v>6261</v>
      </c>
      <c r="E327" s="1"/>
      <c r="F327" s="1"/>
      <c r="G327" s="1"/>
      <c r="H327" s="1"/>
      <c r="I327" s="21">
        <f>AVERAGE(I340:I347)</f>
        <v>0.45755915022815741</v>
      </c>
      <c r="J327" s="21">
        <v>2.827008813506969E-3</v>
      </c>
      <c r="K327" s="13">
        <f t="shared" si="266"/>
        <v>13683.476763338715</v>
      </c>
      <c r="L327" s="1">
        <f t="shared" si="296"/>
        <v>2528282.455604976</v>
      </c>
      <c r="M327">
        <f t="shared" si="273"/>
        <v>1590.057374941224</v>
      </c>
      <c r="N327" s="1">
        <f t="shared" si="274"/>
        <v>3116.5124548847989</v>
      </c>
      <c r="O327" s="24">
        <f t="shared" si="265"/>
        <v>7422.4767633387146</v>
      </c>
      <c r="P327" s="1">
        <f t="shared" si="267"/>
        <v>2528282.455604976</v>
      </c>
      <c r="Q327">
        <f t="shared" si="268"/>
        <v>1590.057374941224</v>
      </c>
      <c r="R327" s="1">
        <f t="shared" si="269"/>
        <v>3116.5124548847989</v>
      </c>
    </row>
    <row r="328" spans="1:20" x14ac:dyDescent="0.25">
      <c r="A328" t="s">
        <v>151</v>
      </c>
      <c r="B328">
        <v>1999</v>
      </c>
      <c r="C328" t="s">
        <v>39</v>
      </c>
      <c r="D328" s="13">
        <v>7370</v>
      </c>
      <c r="E328" s="1"/>
      <c r="F328" s="1"/>
      <c r="G328" s="1"/>
      <c r="H328" s="1"/>
      <c r="I328" s="21">
        <v>0.45755915022815741</v>
      </c>
      <c r="J328" s="21">
        <v>2.827008813506969E-3</v>
      </c>
      <c r="K328" s="13">
        <f t="shared" si="266"/>
        <v>16107.207114806952</v>
      </c>
      <c r="L328" s="1">
        <f t="shared" si="296"/>
        <v>3503266.3626943887</v>
      </c>
      <c r="M328">
        <f t="shared" si="273"/>
        <v>1871.7014619576457</v>
      </c>
      <c r="N328" s="1">
        <f t="shared" si="274"/>
        <v>3668.5348654369855</v>
      </c>
      <c r="O328" s="24">
        <f t="shared" si="265"/>
        <v>8737.2071148069517</v>
      </c>
      <c r="P328" s="1">
        <f t="shared" si="267"/>
        <v>3503266.3626943887</v>
      </c>
      <c r="Q328">
        <f t="shared" si="268"/>
        <v>1871.7014619576457</v>
      </c>
      <c r="R328" s="1">
        <f t="shared" si="269"/>
        <v>3668.5348654369855</v>
      </c>
    </row>
    <row r="329" spans="1:20" x14ac:dyDescent="0.25">
      <c r="A329" t="s">
        <v>151</v>
      </c>
      <c r="B329">
        <v>2000</v>
      </c>
      <c r="C329" t="s">
        <v>39</v>
      </c>
      <c r="D329" s="13">
        <v>11989</v>
      </c>
      <c r="E329" s="1"/>
      <c r="F329" s="1"/>
      <c r="G329" s="1"/>
      <c r="H329" s="1"/>
      <c r="I329" s="21">
        <v>0.45755915022815741</v>
      </c>
      <c r="J329" s="21">
        <v>2.827008813506969E-3</v>
      </c>
      <c r="K329" s="13">
        <f t="shared" si="266"/>
        <v>26202.076811318933</v>
      </c>
      <c r="L329" s="1">
        <f t="shared" si="296"/>
        <v>9270520.1843895838</v>
      </c>
      <c r="M329">
        <f t="shared" si="273"/>
        <v>3044.7528938141409</v>
      </c>
      <c r="N329" s="1">
        <f t="shared" si="274"/>
        <v>5967.715671875716</v>
      </c>
      <c r="O329" s="24">
        <f t="shared" si="265"/>
        <v>14213.076811318933</v>
      </c>
      <c r="P329" s="1">
        <f t="shared" si="267"/>
        <v>9270520.1843895838</v>
      </c>
      <c r="Q329">
        <f t="shared" si="268"/>
        <v>3044.7528938141409</v>
      </c>
      <c r="R329" s="1">
        <f t="shared" si="269"/>
        <v>5967.715671875716</v>
      </c>
    </row>
    <row r="330" spans="1:20" x14ac:dyDescent="0.25">
      <c r="A330" t="s">
        <v>151</v>
      </c>
      <c r="B330">
        <v>2001</v>
      </c>
      <c r="C330" t="s">
        <v>39</v>
      </c>
      <c r="D330" s="13">
        <v>9348</v>
      </c>
      <c r="E330" s="1"/>
      <c r="F330" s="1"/>
      <c r="G330" s="1"/>
      <c r="H330" s="1"/>
      <c r="I330" s="21">
        <v>0.45755915022815741</v>
      </c>
      <c r="J330" s="21">
        <v>2.827008813506969E-3</v>
      </c>
      <c r="K330" s="13">
        <f t="shared" si="266"/>
        <v>20430.145469364368</v>
      </c>
      <c r="L330" s="1">
        <f t="shared" si="296"/>
        <v>5636059.7796220118</v>
      </c>
      <c r="M330">
        <f t="shared" si="273"/>
        <v>2374.0387064287752</v>
      </c>
      <c r="N330" s="1">
        <f t="shared" si="274"/>
        <v>4653.1158646003996</v>
      </c>
      <c r="O330" s="24">
        <f t="shared" si="265"/>
        <v>11082.145469364368</v>
      </c>
      <c r="P330" s="1">
        <f t="shared" si="267"/>
        <v>5636059.7796220118</v>
      </c>
      <c r="Q330">
        <f t="shared" si="268"/>
        <v>2374.0387064287752</v>
      </c>
      <c r="R330" s="1">
        <f t="shared" si="269"/>
        <v>4653.1158646003996</v>
      </c>
    </row>
    <row r="331" spans="1:20" x14ac:dyDescent="0.25">
      <c r="A331" t="s">
        <v>151</v>
      </c>
      <c r="B331">
        <v>2002</v>
      </c>
      <c r="C331" t="s">
        <v>39</v>
      </c>
      <c r="D331" s="13">
        <v>8033</v>
      </c>
      <c r="E331" s="1"/>
      <c r="F331" s="1"/>
      <c r="G331" s="1"/>
      <c r="H331" s="1"/>
      <c r="I331" s="21">
        <v>0.45755915022815741</v>
      </c>
      <c r="J331" s="21">
        <v>2.827008813506969E-3</v>
      </c>
      <c r="K331" s="13">
        <f t="shared" si="266"/>
        <v>17556.200102204104</v>
      </c>
      <c r="L331" s="1">
        <f t="shared" si="296"/>
        <v>4161919.8980246014</v>
      </c>
      <c r="M331">
        <f t="shared" si="273"/>
        <v>2040.0784048718817</v>
      </c>
      <c r="N331" s="1">
        <f t="shared" si="274"/>
        <v>3998.5536735488881</v>
      </c>
      <c r="O331" s="24">
        <f t="shared" si="265"/>
        <v>9523.200102204104</v>
      </c>
      <c r="P331" s="1">
        <f t="shared" si="267"/>
        <v>4161919.8980246014</v>
      </c>
      <c r="Q331">
        <f t="shared" si="268"/>
        <v>2040.0784048718817</v>
      </c>
      <c r="R331" s="1">
        <f t="shared" si="269"/>
        <v>3998.5536735488881</v>
      </c>
    </row>
    <row r="332" spans="1:20" x14ac:dyDescent="0.25">
      <c r="A332" t="s">
        <v>151</v>
      </c>
      <c r="B332">
        <v>2003</v>
      </c>
      <c r="C332" t="s">
        <v>39</v>
      </c>
      <c r="D332" s="13">
        <v>11263</v>
      </c>
      <c r="E332" s="1"/>
      <c r="F332" s="1"/>
      <c r="G332" s="1"/>
      <c r="H332" s="1"/>
      <c r="I332" s="21">
        <v>0.45755915022815741</v>
      </c>
      <c r="J332" s="21">
        <v>2.827008813506969E-3</v>
      </c>
      <c r="K332" s="13">
        <f t="shared" si="266"/>
        <v>24615.396707472279</v>
      </c>
      <c r="L332" s="1">
        <f t="shared" si="296"/>
        <v>8181752.760036231</v>
      </c>
      <c r="M332">
        <f t="shared" si="273"/>
        <v>2860.3763318899546</v>
      </c>
      <c r="N332" s="1">
        <f t="shared" si="274"/>
        <v>5606.3376105043108</v>
      </c>
      <c r="O332" s="24">
        <f t="shared" si="265"/>
        <v>13352.396707472279</v>
      </c>
      <c r="P332" s="1">
        <f t="shared" si="267"/>
        <v>8181752.760036231</v>
      </c>
      <c r="Q332">
        <f t="shared" si="268"/>
        <v>2860.3763318899546</v>
      </c>
      <c r="R332" s="1">
        <f t="shared" si="269"/>
        <v>5606.3376105043108</v>
      </c>
    </row>
    <row r="333" spans="1:20" x14ac:dyDescent="0.25">
      <c r="A333" t="s">
        <v>151</v>
      </c>
      <c r="B333">
        <v>2004</v>
      </c>
      <c r="C333" t="s">
        <v>39</v>
      </c>
      <c r="D333" s="13">
        <v>13195</v>
      </c>
      <c r="E333" s="1"/>
      <c r="F333" s="1"/>
      <c r="G333" s="1"/>
      <c r="H333" s="1"/>
      <c r="I333" s="21">
        <v>0.45755915022815741</v>
      </c>
      <c r="J333" s="21">
        <v>2.827008813506969E-3</v>
      </c>
      <c r="K333" s="13">
        <f t="shared" si="266"/>
        <v>28837.801611923707</v>
      </c>
      <c r="L333" s="1">
        <f t="shared" si="296"/>
        <v>11229410.873184105</v>
      </c>
      <c r="M333">
        <f t="shared" si="273"/>
        <v>3351.0313148617556</v>
      </c>
      <c r="N333" s="1">
        <f t="shared" si="274"/>
        <v>6568.021377129041</v>
      </c>
      <c r="O333" s="24">
        <f t="shared" si="265"/>
        <v>15642.801611923707</v>
      </c>
      <c r="P333" s="1">
        <f t="shared" si="267"/>
        <v>11229410.873184105</v>
      </c>
      <c r="Q333">
        <f t="shared" si="268"/>
        <v>3351.0313148617556</v>
      </c>
      <c r="R333" s="1">
        <f t="shared" si="269"/>
        <v>6568.021377129041</v>
      </c>
    </row>
    <row r="334" spans="1:20" x14ac:dyDescent="0.25">
      <c r="A334" t="s">
        <v>151</v>
      </c>
      <c r="B334">
        <v>2005</v>
      </c>
      <c r="C334" t="s">
        <v>39</v>
      </c>
      <c r="D334" s="13">
        <v>15329</v>
      </c>
      <c r="E334" s="1"/>
      <c r="F334" s="1"/>
      <c r="G334" s="1"/>
      <c r="H334" s="1"/>
      <c r="I334" s="21">
        <v>0.45755915022815741</v>
      </c>
      <c r="J334" s="21">
        <v>2.827008813506969E-3</v>
      </c>
      <c r="K334" s="13">
        <f t="shared" si="266"/>
        <v>33501.679492927513</v>
      </c>
      <c r="L334" s="1">
        <f t="shared" si="296"/>
        <v>15155345.162562583</v>
      </c>
      <c r="M334">
        <f t="shared" si="273"/>
        <v>3892.9866635479993</v>
      </c>
      <c r="N334" s="1">
        <f t="shared" si="274"/>
        <v>7630.2538605540785</v>
      </c>
      <c r="O334" s="24">
        <f t="shared" si="265"/>
        <v>18172.679492927513</v>
      </c>
      <c r="P334" s="1">
        <f t="shared" si="267"/>
        <v>15155345.162562583</v>
      </c>
      <c r="Q334">
        <f t="shared" si="268"/>
        <v>3892.9866635479993</v>
      </c>
      <c r="R334" s="1">
        <f t="shared" si="269"/>
        <v>7630.2538605540785</v>
      </c>
    </row>
    <row r="335" spans="1:20" x14ac:dyDescent="0.25">
      <c r="A335" t="s">
        <v>151</v>
      </c>
      <c r="B335">
        <v>2006</v>
      </c>
      <c r="C335" t="s">
        <v>39</v>
      </c>
      <c r="D335" s="13">
        <v>17714</v>
      </c>
      <c r="E335" s="1"/>
      <c r="F335" s="1"/>
      <c r="G335" s="1"/>
      <c r="H335" s="1"/>
      <c r="I335" s="21">
        <v>0.45755915022815741</v>
      </c>
      <c r="J335" s="21">
        <v>2.827008813506969E-3</v>
      </c>
      <c r="K335" s="13">
        <f t="shared" si="266"/>
        <v>38714.120329944417</v>
      </c>
      <c r="L335" s="1">
        <f t="shared" si="296"/>
        <v>20238180.459821593</v>
      </c>
      <c r="M335">
        <f t="shared" si="273"/>
        <v>4498.6865260675359</v>
      </c>
      <c r="N335" s="1">
        <f t="shared" si="274"/>
        <v>8817.4255910923694</v>
      </c>
      <c r="O335" s="24">
        <f t="shared" si="265"/>
        <v>21000.120329944417</v>
      </c>
      <c r="P335" s="1">
        <f t="shared" si="267"/>
        <v>20238180.459821593</v>
      </c>
      <c r="Q335">
        <f t="shared" si="268"/>
        <v>4498.6865260675359</v>
      </c>
      <c r="R335" s="1">
        <f t="shared" si="269"/>
        <v>8817.4255910923694</v>
      </c>
    </row>
    <row r="336" spans="1:20" x14ac:dyDescent="0.25">
      <c r="A336" t="s">
        <v>151</v>
      </c>
      <c r="B336">
        <v>2007</v>
      </c>
      <c r="C336" t="s">
        <v>39</v>
      </c>
      <c r="D336" s="13">
        <v>20368</v>
      </c>
      <c r="E336" s="1"/>
      <c r="F336" s="1"/>
      <c r="G336" s="1"/>
      <c r="H336" s="1"/>
      <c r="I336" s="21">
        <v>0.45755915022815741</v>
      </c>
      <c r="J336" s="21">
        <v>2.827008813506969E-3</v>
      </c>
      <c r="K336" s="13">
        <f t="shared" si="266"/>
        <v>44514.463299102848</v>
      </c>
      <c r="L336" s="1">
        <f t="shared" si="296"/>
        <v>26756848.278906163</v>
      </c>
      <c r="M336">
        <f t="shared" si="273"/>
        <v>5172.7022221374937</v>
      </c>
      <c r="N336" s="1">
        <f t="shared" si="274"/>
        <v>10138.496355389487</v>
      </c>
      <c r="O336" s="24">
        <f t="shared" si="265"/>
        <v>24146.463299102848</v>
      </c>
      <c r="P336" s="1">
        <f t="shared" si="267"/>
        <v>26756848.278906163</v>
      </c>
      <c r="Q336">
        <f t="shared" si="268"/>
        <v>5172.7022221374937</v>
      </c>
      <c r="R336" s="1">
        <f t="shared" si="269"/>
        <v>10138.496355389487</v>
      </c>
    </row>
    <row r="337" spans="1:20" x14ac:dyDescent="0.25">
      <c r="A337" t="s">
        <v>151</v>
      </c>
      <c r="B337">
        <v>2008</v>
      </c>
      <c r="C337" t="s">
        <v>39</v>
      </c>
      <c r="D337" s="13">
        <v>18756</v>
      </c>
      <c r="E337" s="1"/>
      <c r="F337" s="1"/>
      <c r="G337" s="1"/>
      <c r="H337" s="1"/>
      <c r="I337" s="21">
        <v>0.45755915022815741</v>
      </c>
      <c r="J337" s="21">
        <v>2.827008813506969E-3</v>
      </c>
      <c r="K337" s="13">
        <f t="shared" si="266"/>
        <v>40991.421525823498</v>
      </c>
      <c r="L337" s="1">
        <f t="shared" si="296"/>
        <v>22689171.172948774</v>
      </c>
      <c r="M337">
        <f t="shared" si="273"/>
        <v>4763.3151452479788</v>
      </c>
      <c r="N337" s="1">
        <f t="shared" si="274"/>
        <v>9336.0976846860376</v>
      </c>
      <c r="O337" s="24">
        <f t="shared" si="265"/>
        <v>22235.421525823498</v>
      </c>
      <c r="P337" s="1">
        <f t="shared" si="267"/>
        <v>22689171.172948774</v>
      </c>
      <c r="Q337">
        <f t="shared" si="268"/>
        <v>4763.3151452479788</v>
      </c>
      <c r="R337" s="1">
        <f t="shared" si="269"/>
        <v>9336.0976846860376</v>
      </c>
    </row>
    <row r="338" spans="1:20" x14ac:dyDescent="0.25">
      <c r="A338" t="s">
        <v>151</v>
      </c>
      <c r="B338">
        <v>2009</v>
      </c>
      <c r="C338" t="s">
        <v>39</v>
      </c>
      <c r="D338" s="13">
        <v>14837</v>
      </c>
      <c r="E338" s="1"/>
      <c r="F338" s="1"/>
      <c r="G338" s="1"/>
      <c r="H338" s="1"/>
      <c r="I338" s="21">
        <v>0.45755915022815741</v>
      </c>
      <c r="J338" s="21">
        <v>2.827008813506969E-3</v>
      </c>
      <c r="K338" s="13">
        <f t="shared" si="266"/>
        <v>32426.408678750442</v>
      </c>
      <c r="L338" s="1">
        <f t="shared" si="296"/>
        <v>14198104.777272861</v>
      </c>
      <c r="M338">
        <f t="shared" si="273"/>
        <v>3768.0372579464843</v>
      </c>
      <c r="N338" s="1">
        <f t="shared" si="274"/>
        <v>7385.3530255751093</v>
      </c>
      <c r="O338" s="24">
        <f t="shared" si="265"/>
        <v>17589.408678750442</v>
      </c>
      <c r="P338" s="1">
        <f t="shared" si="267"/>
        <v>14198104.777272861</v>
      </c>
      <c r="Q338">
        <f t="shared" si="268"/>
        <v>3768.0372579464843</v>
      </c>
      <c r="R338" s="1">
        <f t="shared" si="269"/>
        <v>7385.3530255751093</v>
      </c>
    </row>
    <row r="339" spans="1:20" x14ac:dyDescent="0.25">
      <c r="A339" t="s">
        <v>151</v>
      </c>
      <c r="B339">
        <v>2010</v>
      </c>
      <c r="C339" t="s">
        <v>39</v>
      </c>
      <c r="D339" s="13">
        <v>20015</v>
      </c>
      <c r="E339" s="1"/>
      <c r="F339" s="1"/>
      <c r="G339" s="1"/>
      <c r="H339" s="1"/>
      <c r="I339" s="21">
        <v>0.45755915022815741</v>
      </c>
      <c r="J339" s="21">
        <v>2.827008813506969E-3</v>
      </c>
      <c r="K339" s="13">
        <f t="shared" si="266"/>
        <v>43742.978345028649</v>
      </c>
      <c r="L339" s="1">
        <f t="shared" si="296"/>
        <v>25837433.526771665</v>
      </c>
      <c r="M339">
        <f t="shared" si="273"/>
        <v>5083.0535632404726</v>
      </c>
      <c r="N339" s="1">
        <f t="shared" si="274"/>
        <v>9962.7849839513256</v>
      </c>
      <c r="O339" s="24">
        <f t="shared" si="265"/>
        <v>23727.978345028649</v>
      </c>
      <c r="P339" s="1">
        <f t="shared" si="267"/>
        <v>25837433.526771665</v>
      </c>
      <c r="Q339">
        <f t="shared" si="268"/>
        <v>5083.0535632404726</v>
      </c>
      <c r="R339" s="1">
        <f t="shared" si="269"/>
        <v>9962.7849839513256</v>
      </c>
    </row>
    <row r="340" spans="1:20" x14ac:dyDescent="0.25">
      <c r="A340" t="s">
        <v>151</v>
      </c>
      <c r="B340">
        <v>2011</v>
      </c>
      <c r="C340" t="s">
        <v>39</v>
      </c>
      <c r="D340" s="13">
        <v>17328</v>
      </c>
      <c r="E340" s="1">
        <v>9897</v>
      </c>
      <c r="F340" s="1">
        <v>1560762.9575815795</v>
      </c>
      <c r="G340" s="11">
        <v>14883</v>
      </c>
      <c r="H340" s="1">
        <v>3882875.7395145181</v>
      </c>
      <c r="I340">
        <f t="shared" ref="I340:I348" si="316">E340/(E340+G340)</f>
        <v>0.3993946731234867</v>
      </c>
      <c r="J340">
        <f t="shared" ref="J340:J348" si="317">((((E340)^2*H340)+((G340)^2*F340))/(E340+G340)^4)</f>
        <v>1.9255651127791805E-3</v>
      </c>
      <c r="K340" s="13">
        <f t="shared" si="266"/>
        <v>43385.656259472569</v>
      </c>
      <c r="L340" s="1">
        <f t="shared" ref="L340:L364" si="318">(D340^2)*J340*(1/(I340^4))</f>
        <v>22721971.694568597</v>
      </c>
      <c r="M340">
        <f t="shared" si="273"/>
        <v>4766.7569368039522</v>
      </c>
      <c r="N340" s="1">
        <f t="shared" si="274"/>
        <v>9342.8435961357463</v>
      </c>
      <c r="O340" s="24">
        <f t="shared" si="265"/>
        <v>26057.656259472569</v>
      </c>
      <c r="P340" s="1">
        <f t="shared" si="267"/>
        <v>22721971.694568597</v>
      </c>
      <c r="Q340">
        <f t="shared" si="268"/>
        <v>4766.7569368039522</v>
      </c>
      <c r="R340" s="1">
        <f t="shared" si="269"/>
        <v>9342.8435961357463</v>
      </c>
      <c r="T340" s="2"/>
    </row>
    <row r="341" spans="1:20" x14ac:dyDescent="0.25">
      <c r="A341" t="s">
        <v>151</v>
      </c>
      <c r="B341">
        <v>2012</v>
      </c>
      <c r="C341" t="s">
        <v>39</v>
      </c>
      <c r="D341" s="13">
        <v>20908</v>
      </c>
      <c r="E341" s="1">
        <v>10764</v>
      </c>
      <c r="F341" s="1">
        <v>1295199.6134174168</v>
      </c>
      <c r="G341" s="11">
        <v>15621</v>
      </c>
      <c r="H341" s="1">
        <v>3391371.2606046209</v>
      </c>
      <c r="I341">
        <f t="shared" si="316"/>
        <v>0.40795906765207507</v>
      </c>
      <c r="J341">
        <f t="shared" si="317"/>
        <v>1.4628814272862126E-3</v>
      </c>
      <c r="K341" s="13">
        <f t="shared" si="266"/>
        <v>51250.239687848378</v>
      </c>
      <c r="L341" s="1">
        <f t="shared" si="318"/>
        <v>23087012.957423236</v>
      </c>
      <c r="M341">
        <f t="shared" si="273"/>
        <v>4804.8946874435487</v>
      </c>
      <c r="N341" s="1">
        <f t="shared" si="274"/>
        <v>9417.5935873893559</v>
      </c>
      <c r="O341" s="24">
        <f t="shared" si="265"/>
        <v>30342.239687848378</v>
      </c>
      <c r="P341" s="1">
        <f t="shared" si="267"/>
        <v>23087012.957423236</v>
      </c>
      <c r="Q341">
        <f t="shared" si="268"/>
        <v>4804.8946874435487</v>
      </c>
      <c r="R341" s="1">
        <f t="shared" si="269"/>
        <v>9417.5935873893559</v>
      </c>
      <c r="T341" s="2"/>
    </row>
    <row r="342" spans="1:20" x14ac:dyDescent="0.25">
      <c r="A342" t="s">
        <v>151</v>
      </c>
      <c r="B342">
        <v>2013</v>
      </c>
      <c r="C342" t="s">
        <v>39</v>
      </c>
      <c r="D342" s="13">
        <v>24779</v>
      </c>
      <c r="E342" s="1">
        <v>16013</v>
      </c>
      <c r="F342" s="1">
        <v>3283614.9748748839</v>
      </c>
      <c r="G342" s="11">
        <v>22145</v>
      </c>
      <c r="H342" s="1">
        <v>9420732.2242402155</v>
      </c>
      <c r="I342">
        <f t="shared" si="316"/>
        <v>0.41964987682792598</v>
      </c>
      <c r="J342">
        <f t="shared" si="317"/>
        <v>1.8989884257439953E-3</v>
      </c>
      <c r="K342" s="13">
        <f t="shared" si="266"/>
        <v>59046.842065821518</v>
      </c>
      <c r="L342" s="1">
        <f t="shared" si="318"/>
        <v>37595985.131994449</v>
      </c>
      <c r="M342">
        <f t="shared" si="273"/>
        <v>6131.5565015740049</v>
      </c>
      <c r="N342" s="1">
        <f t="shared" si="274"/>
        <v>12017.85074308505</v>
      </c>
      <c r="O342" s="24">
        <f t="shared" si="265"/>
        <v>34267.842065821518</v>
      </c>
      <c r="P342" s="1">
        <f t="shared" si="267"/>
        <v>37595985.131994449</v>
      </c>
      <c r="Q342">
        <f t="shared" si="268"/>
        <v>6131.5565015740049</v>
      </c>
      <c r="R342" s="1">
        <f t="shared" si="269"/>
        <v>12017.85074308505</v>
      </c>
      <c r="T342" s="2"/>
    </row>
    <row r="343" spans="1:20" x14ac:dyDescent="0.25">
      <c r="A343" t="s">
        <v>151</v>
      </c>
      <c r="B343">
        <v>2014</v>
      </c>
      <c r="C343" t="s">
        <v>39</v>
      </c>
      <c r="D343" s="13">
        <v>25686</v>
      </c>
      <c r="E343" s="1">
        <v>22008</v>
      </c>
      <c r="F343" s="1">
        <v>3750598.6105295285</v>
      </c>
      <c r="G343" s="11">
        <v>28405</v>
      </c>
      <c r="H343" s="1">
        <v>8116058.5979739912</v>
      </c>
      <c r="I343">
        <f t="shared" si="316"/>
        <v>0.43655406343601849</v>
      </c>
      <c r="J343">
        <f t="shared" si="317"/>
        <v>1.0771171321661756E-3</v>
      </c>
      <c r="K343" s="13">
        <f t="shared" si="266"/>
        <v>58838.073336968373</v>
      </c>
      <c r="L343" s="1">
        <f t="shared" si="318"/>
        <v>19566076.633357268</v>
      </c>
      <c r="M343">
        <f t="shared" si="273"/>
        <v>4423.3558112995233</v>
      </c>
      <c r="N343" s="1">
        <f t="shared" si="274"/>
        <v>8669.7773901470664</v>
      </c>
      <c r="O343" s="24">
        <f t="shared" si="265"/>
        <v>33152.073336968373</v>
      </c>
      <c r="P343" s="1">
        <f t="shared" si="267"/>
        <v>19566076.633357268</v>
      </c>
      <c r="Q343">
        <f t="shared" si="268"/>
        <v>4423.3558112995233</v>
      </c>
      <c r="R343" s="1">
        <f t="shared" si="269"/>
        <v>8669.7773901470664</v>
      </c>
      <c r="T343" s="2"/>
    </row>
    <row r="344" spans="1:20" x14ac:dyDescent="0.25">
      <c r="A344" t="s">
        <v>151</v>
      </c>
      <c r="B344">
        <v>2015</v>
      </c>
      <c r="C344" t="s">
        <v>39</v>
      </c>
      <c r="D344" s="13">
        <v>29160</v>
      </c>
      <c r="E344" s="1">
        <v>24718</v>
      </c>
      <c r="F344" s="1">
        <v>4807157.7314104065</v>
      </c>
      <c r="G344" s="11">
        <v>26953</v>
      </c>
      <c r="H344" s="1">
        <v>7542534.9209209476</v>
      </c>
      <c r="I344">
        <f t="shared" si="316"/>
        <v>0.47837278163766911</v>
      </c>
      <c r="J344">
        <f t="shared" si="317"/>
        <v>1.1363907949700075E-3</v>
      </c>
      <c r="K344" s="13">
        <f t="shared" si="266"/>
        <v>60956.645359656926</v>
      </c>
      <c r="L344" s="1">
        <f t="shared" si="318"/>
        <v>18451721.940392502</v>
      </c>
      <c r="M344">
        <f t="shared" si="273"/>
        <v>4295.5467568625654</v>
      </c>
      <c r="N344" s="1">
        <f t="shared" si="274"/>
        <v>8419.2716434506274</v>
      </c>
      <c r="O344" s="24">
        <f t="shared" si="265"/>
        <v>31796.645359656926</v>
      </c>
      <c r="P344" s="1">
        <f t="shared" si="267"/>
        <v>18451721.940392502</v>
      </c>
      <c r="Q344">
        <f t="shared" si="268"/>
        <v>4295.5467568625654</v>
      </c>
      <c r="R344" s="1">
        <f t="shared" si="269"/>
        <v>8419.2716434506274</v>
      </c>
      <c r="T344" s="2"/>
    </row>
    <row r="345" spans="1:20" x14ac:dyDescent="0.25">
      <c r="A345" t="s">
        <v>151</v>
      </c>
      <c r="B345">
        <v>2016</v>
      </c>
      <c r="C345" t="s">
        <v>39</v>
      </c>
      <c r="D345" s="13">
        <v>32540</v>
      </c>
      <c r="E345" s="1">
        <v>23223</v>
      </c>
      <c r="F345" s="1">
        <v>6399944.0870460356</v>
      </c>
      <c r="G345" s="11">
        <v>24169</v>
      </c>
      <c r="H345" s="1">
        <v>5252819.9974974981</v>
      </c>
      <c r="I345">
        <f t="shared" si="316"/>
        <v>0.49001941255908171</v>
      </c>
      <c r="J345">
        <f t="shared" si="317"/>
        <v>1.3026707846720235E-3</v>
      </c>
      <c r="K345" s="13">
        <f t="shared" si="266"/>
        <v>66405.532446281708</v>
      </c>
      <c r="L345" s="1">
        <f t="shared" si="318"/>
        <v>23923054.468410891</v>
      </c>
      <c r="M345">
        <f t="shared" si="273"/>
        <v>4891.1199605418478</v>
      </c>
      <c r="N345" s="1">
        <f t="shared" si="274"/>
        <v>9586.5951226620218</v>
      </c>
      <c r="O345" s="24">
        <f t="shared" si="265"/>
        <v>33865.532446281708</v>
      </c>
      <c r="P345" s="1">
        <f t="shared" si="267"/>
        <v>23923054.468410891</v>
      </c>
      <c r="Q345">
        <f t="shared" si="268"/>
        <v>4891.1199605418478</v>
      </c>
      <c r="R345" s="1">
        <f t="shared" si="269"/>
        <v>9586.5951226620218</v>
      </c>
      <c r="T345" s="2"/>
    </row>
    <row r="346" spans="1:20" x14ac:dyDescent="0.25">
      <c r="A346" t="s">
        <v>151</v>
      </c>
      <c r="B346">
        <v>2017</v>
      </c>
      <c r="C346" t="s">
        <v>39</v>
      </c>
      <c r="D346" s="13">
        <v>30249</v>
      </c>
      <c r="E346" s="1">
        <v>17659</v>
      </c>
      <c r="F346" s="1">
        <v>2770446.5813773801</v>
      </c>
      <c r="G346" s="11">
        <v>19067</v>
      </c>
      <c r="H346" s="1">
        <v>4002396.5453203283</v>
      </c>
      <c r="I346">
        <f t="shared" si="316"/>
        <v>0.48083101889669444</v>
      </c>
      <c r="J346">
        <f t="shared" si="317"/>
        <v>1.2396837052661175E-3</v>
      </c>
      <c r="K346" s="13">
        <f t="shared" si="266"/>
        <v>62909.834871736792</v>
      </c>
      <c r="L346" s="1">
        <f t="shared" si="318"/>
        <v>21220862.426665116</v>
      </c>
      <c r="M346">
        <f t="shared" si="273"/>
        <v>4606.6107309675208</v>
      </c>
      <c r="N346" s="1">
        <f t="shared" si="274"/>
        <v>9028.9570326963403</v>
      </c>
      <c r="O346" s="24">
        <f t="shared" si="265"/>
        <v>32660.834871736792</v>
      </c>
      <c r="P346" s="1">
        <f t="shared" si="267"/>
        <v>21220862.426665116</v>
      </c>
      <c r="Q346">
        <f t="shared" si="268"/>
        <v>4606.6107309675208</v>
      </c>
      <c r="R346" s="1">
        <f t="shared" si="269"/>
        <v>9028.9570326963403</v>
      </c>
      <c r="T346" s="2"/>
    </row>
    <row r="347" spans="1:20" x14ac:dyDescent="0.25">
      <c r="A347" t="s">
        <v>151</v>
      </c>
      <c r="B347">
        <v>2018</v>
      </c>
      <c r="C347" t="s">
        <v>39</v>
      </c>
      <c r="D347" s="13">
        <v>42049</v>
      </c>
      <c r="E347" s="1">
        <v>25988</v>
      </c>
      <c r="F347" s="1">
        <v>4402089.9050961118</v>
      </c>
      <c r="G347" s="11">
        <v>21462</v>
      </c>
      <c r="H347" s="1">
        <v>4078653.5267427284</v>
      </c>
      <c r="I347">
        <f t="shared" si="316"/>
        <v>0.5476923076923077</v>
      </c>
      <c r="J347">
        <f t="shared" si="317"/>
        <v>9.4339240500434412E-4</v>
      </c>
      <c r="K347" s="13">
        <f t="shared" si="266"/>
        <v>76774.8595505618</v>
      </c>
      <c r="L347" s="1">
        <f>(D347^2)*J347*(1/(I347^4))</f>
        <v>18537755.684375577</v>
      </c>
      <c r="M347">
        <f t="shared" si="273"/>
        <v>4305.5494056363559</v>
      </c>
      <c r="N347" s="1">
        <f t="shared" si="274"/>
        <v>8438.8768350472583</v>
      </c>
      <c r="O347" s="24">
        <f t="shared" si="265"/>
        <v>34725.8595505618</v>
      </c>
      <c r="P347" s="1">
        <f t="shared" si="267"/>
        <v>18537755.684375577</v>
      </c>
      <c r="Q347">
        <f t="shared" si="268"/>
        <v>4305.5494056363559</v>
      </c>
      <c r="R347" s="1">
        <f t="shared" si="269"/>
        <v>8438.8768350472583</v>
      </c>
      <c r="T347" s="2"/>
    </row>
    <row r="348" spans="1:20" x14ac:dyDescent="0.25">
      <c r="A348" t="s">
        <v>151</v>
      </c>
      <c r="B348">
        <v>2019</v>
      </c>
      <c r="C348" t="s">
        <v>39</v>
      </c>
      <c r="D348" s="13">
        <v>35867</v>
      </c>
      <c r="E348" s="1">
        <v>16087</v>
      </c>
      <c r="F348" s="1">
        <v>2683845.0087837777</v>
      </c>
      <c r="G348" s="54">
        <v>31374</v>
      </c>
      <c r="H348" s="1">
        <v>12152655.732811814</v>
      </c>
      <c r="I348">
        <f t="shared" si="316"/>
        <v>0.33895198162702006</v>
      </c>
      <c r="J348">
        <f t="shared" si="317"/>
        <v>1.1404862579561391E-3</v>
      </c>
      <c r="K348" s="13">
        <f t="shared" si="266"/>
        <v>105817.34860446323</v>
      </c>
      <c r="L348" s="1">
        <f>(D348^2)*J348*(1/(I348^4))</f>
        <v>111154603.32156514</v>
      </c>
      <c r="M348">
        <f>SQRT(L348)</f>
        <v>10542.988348735151</v>
      </c>
      <c r="N348" s="1">
        <f>(1.96*M348)</f>
        <v>20664.257163520895</v>
      </c>
      <c r="O348" s="24">
        <f t="shared" si="265"/>
        <v>69950.34860446323</v>
      </c>
      <c r="P348" s="1">
        <f>L348</f>
        <v>111154603.32156514</v>
      </c>
      <c r="Q348">
        <f>SQRT(P348)</f>
        <v>10542.988348735151</v>
      </c>
      <c r="R348" s="1">
        <f>(1.96*Q348)</f>
        <v>20664.257163520895</v>
      </c>
      <c r="T348" s="2"/>
    </row>
    <row r="349" spans="1:20" x14ac:dyDescent="0.25">
      <c r="A349" t="s">
        <v>151</v>
      </c>
      <c r="B349">
        <v>2020</v>
      </c>
      <c r="C349" t="s">
        <v>39</v>
      </c>
      <c r="D349" s="13">
        <v>11107</v>
      </c>
      <c r="E349" s="1">
        <v>8756</v>
      </c>
      <c r="F349" s="1">
        <v>896354.9672382368</v>
      </c>
      <c r="G349" s="54">
        <v>11980</v>
      </c>
      <c r="H349" s="1">
        <v>2448955.6968478397</v>
      </c>
      <c r="I349">
        <f t="shared" ref="I349:I351" si="319">E349/(E349+G349)</f>
        <v>0.42226080246913578</v>
      </c>
      <c r="J349">
        <f t="shared" ref="J349:J350" si="320">((((E349)^2*H349)+((G349)^2*F349))/(E349+G349)^4)</f>
        <v>1.7113442993009714E-3</v>
      </c>
      <c r="K349" s="13">
        <f t="shared" ref="K349:K350" si="321">D349/I349</f>
        <v>26303.649154865238</v>
      </c>
      <c r="L349" s="1">
        <f t="shared" ref="L349:L350" si="322">(D349^2)*J349*(1/(I349^4))</f>
        <v>6640608.2621304234</v>
      </c>
      <c r="M349">
        <f t="shared" ref="M349:M350" si="323">SQRT(L349)</f>
        <v>2576.937768385264</v>
      </c>
      <c r="N349" s="1">
        <f t="shared" ref="N349:N350" si="324">(1.96*M349)</f>
        <v>5050.7980260351178</v>
      </c>
      <c r="O349" s="24">
        <f t="shared" ref="O349:O350" si="325">K349-D349</f>
        <v>15196.649154865238</v>
      </c>
      <c r="P349" s="1">
        <f t="shared" ref="P349:P350" si="326">L349</f>
        <v>6640608.2621304234</v>
      </c>
      <c r="Q349">
        <f t="shared" ref="Q349:Q350" si="327">SQRT(P349)</f>
        <v>2576.937768385264</v>
      </c>
      <c r="R349" s="1">
        <f t="shared" ref="R349:R350" si="328">(1.96*Q349)</f>
        <v>5050.7980260351178</v>
      </c>
      <c r="T349" s="2"/>
    </row>
    <row r="350" spans="1:20" x14ac:dyDescent="0.25">
      <c r="A350" t="s">
        <v>151</v>
      </c>
      <c r="B350">
        <v>2021</v>
      </c>
      <c r="C350" t="s">
        <v>39</v>
      </c>
      <c r="D350" s="13">
        <v>28388</v>
      </c>
      <c r="E350" s="1">
        <v>25059</v>
      </c>
      <c r="F350" s="1">
        <v>7645726.3204644928</v>
      </c>
      <c r="G350" s="54">
        <v>12523</v>
      </c>
      <c r="H350" s="1">
        <v>3100097.4084794726</v>
      </c>
      <c r="I350">
        <f t="shared" si="319"/>
        <v>0.6667819700920653</v>
      </c>
      <c r="J350">
        <f t="shared" si="320"/>
        <v>1.5769078450866842E-3</v>
      </c>
      <c r="K350" s="13">
        <f t="shared" si="321"/>
        <v>42574.636497865038</v>
      </c>
      <c r="L350" s="1">
        <f t="shared" si="322"/>
        <v>6428956.9149598647</v>
      </c>
      <c r="M350">
        <f t="shared" si="323"/>
        <v>2535.5387819869497</v>
      </c>
      <c r="N350" s="1">
        <f t="shared" si="324"/>
        <v>4969.6560126944214</v>
      </c>
      <c r="O350" s="24">
        <f t="shared" si="325"/>
        <v>14186.636497865038</v>
      </c>
      <c r="P350" s="1">
        <f t="shared" si="326"/>
        <v>6428956.9149598647</v>
      </c>
      <c r="Q350">
        <f t="shared" si="327"/>
        <v>2535.5387819869497</v>
      </c>
      <c r="R350" s="1">
        <f t="shared" si="328"/>
        <v>4969.6560126944214</v>
      </c>
      <c r="T350" s="2"/>
    </row>
    <row r="351" spans="1:20" s="51" customFormat="1" x14ac:dyDescent="0.25">
      <c r="A351" s="51" t="s">
        <v>151</v>
      </c>
      <c r="B351" s="51">
        <v>2022</v>
      </c>
      <c r="C351" s="51" t="s">
        <v>39</v>
      </c>
      <c r="D351" s="71">
        <v>33837</v>
      </c>
      <c r="E351" s="72">
        <v>28204</v>
      </c>
      <c r="F351" s="72">
        <f>2611^2</f>
        <v>6817321</v>
      </c>
      <c r="G351" s="75">
        <v>21093</v>
      </c>
      <c r="H351" s="72">
        <f>2888^2</f>
        <v>8340544</v>
      </c>
      <c r="I351" s="51">
        <f t="shared" si="319"/>
        <v>0.57212406434468632</v>
      </c>
      <c r="J351">
        <f t="shared" ref="J351" si="329">((((E351)^2*H351)+((G351)^2*F351))/(E351+G351)^4)</f>
        <v>1.6369789186742581E-3</v>
      </c>
      <c r="K351" s="13">
        <f t="shared" ref="K351" si="330">D351/I351</f>
        <v>59142.766593391003</v>
      </c>
      <c r="L351" s="1">
        <f t="shared" ref="L351" si="331">(D351^2)*J351*(1/(I351^4))</f>
        <v>17493065.751002964</v>
      </c>
      <c r="M351">
        <f t="shared" ref="M351" si="332">SQRT(L351)</f>
        <v>4182.4712492739218</v>
      </c>
      <c r="N351" s="1">
        <f t="shared" ref="N351" si="333">(1.96*M351)</f>
        <v>8197.6436485768863</v>
      </c>
      <c r="O351" s="24">
        <f t="shared" ref="O351" si="334">K351-D351</f>
        <v>25305.766593391003</v>
      </c>
      <c r="P351" s="1">
        <f t="shared" ref="P351" si="335">L351</f>
        <v>17493065.751002964</v>
      </c>
      <c r="Q351">
        <f t="shared" ref="Q351" si="336">SQRT(P351)</f>
        <v>4182.4712492739218</v>
      </c>
      <c r="R351" s="1">
        <f t="shared" ref="R351" si="337">(1.96*Q351)</f>
        <v>8197.6436485768863</v>
      </c>
      <c r="T351" s="76"/>
    </row>
    <row r="352" spans="1:20" x14ac:dyDescent="0.25">
      <c r="A352" t="s">
        <v>151</v>
      </c>
      <c r="B352">
        <v>1998</v>
      </c>
      <c r="C352" t="s">
        <v>40</v>
      </c>
      <c r="D352" s="13">
        <v>3185</v>
      </c>
      <c r="E352" s="1"/>
      <c r="F352" s="1"/>
      <c r="G352" s="1"/>
      <c r="H352" s="1"/>
      <c r="I352" s="21">
        <f>AVERAGE(I365:I372)</f>
        <v>0.67358630125865415</v>
      </c>
      <c r="J352" s="21">
        <v>5.6341272569567459E-3</v>
      </c>
      <c r="K352" s="13">
        <f t="shared" si="266"/>
        <v>4728.4215757484271</v>
      </c>
      <c r="L352" s="1">
        <f t="shared" si="318"/>
        <v>277633.92962977174</v>
      </c>
      <c r="M352">
        <f t="shared" si="273"/>
        <v>526.90979268729836</v>
      </c>
      <c r="N352" s="1">
        <f t="shared" si="274"/>
        <v>1032.7431936671048</v>
      </c>
      <c r="O352" s="24">
        <f t="shared" si="265"/>
        <v>1543.4215757484271</v>
      </c>
      <c r="P352" s="1">
        <f t="shared" si="267"/>
        <v>277633.92962977174</v>
      </c>
      <c r="Q352">
        <f t="shared" si="268"/>
        <v>526.90979268729836</v>
      </c>
      <c r="R352" s="1">
        <f t="shared" si="269"/>
        <v>1032.7431936671048</v>
      </c>
      <c r="T352" s="2"/>
    </row>
    <row r="353" spans="1:24" x14ac:dyDescent="0.25">
      <c r="A353" t="s">
        <v>151</v>
      </c>
      <c r="B353">
        <v>1999</v>
      </c>
      <c r="C353" t="s">
        <v>40</v>
      </c>
      <c r="D353" s="13">
        <v>4616</v>
      </c>
      <c r="E353" s="1"/>
      <c r="F353" s="1"/>
      <c r="G353" s="1"/>
      <c r="H353" s="1"/>
      <c r="I353" s="21">
        <v>0.67358630125865415</v>
      </c>
      <c r="J353" s="21">
        <v>5.6341272569567459E-3</v>
      </c>
      <c r="K353" s="13">
        <f t="shared" si="266"/>
        <v>6852.8709556215817</v>
      </c>
      <c r="L353" s="1">
        <f t="shared" si="318"/>
        <v>583156.69651387446</v>
      </c>
      <c r="M353">
        <f t="shared" si="273"/>
        <v>763.64697112859324</v>
      </c>
      <c r="N353" s="1">
        <f t="shared" si="274"/>
        <v>1496.7480634120427</v>
      </c>
      <c r="O353" s="24">
        <f t="shared" si="265"/>
        <v>2236.8709556215817</v>
      </c>
      <c r="P353" s="1">
        <f t="shared" si="267"/>
        <v>583156.69651387446</v>
      </c>
      <c r="Q353">
        <f t="shared" si="268"/>
        <v>763.64697112859324</v>
      </c>
      <c r="R353" s="1">
        <f t="shared" si="269"/>
        <v>1496.7480634120427</v>
      </c>
      <c r="T353" s="2"/>
    </row>
    <row r="354" spans="1:24" x14ac:dyDescent="0.25">
      <c r="A354" t="s">
        <v>151</v>
      </c>
      <c r="B354">
        <v>2000</v>
      </c>
      <c r="C354" t="s">
        <v>40</v>
      </c>
      <c r="D354" s="13">
        <v>6910</v>
      </c>
      <c r="E354" s="1"/>
      <c r="F354" s="1"/>
      <c r="G354" s="1"/>
      <c r="H354" s="1"/>
      <c r="I354" s="21">
        <v>0.67358630125865415</v>
      </c>
      <c r="J354" s="21">
        <v>5.6341272569567459E-3</v>
      </c>
      <c r="K354" s="13">
        <f t="shared" si="266"/>
        <v>10258.522162769743</v>
      </c>
      <c r="L354" s="1">
        <f t="shared" si="318"/>
        <v>1306801.9129460659</v>
      </c>
      <c r="M354">
        <f t="shared" si="273"/>
        <v>1143.1543696920664</v>
      </c>
      <c r="N354" s="1">
        <f t="shared" si="274"/>
        <v>2240.5825645964501</v>
      </c>
      <c r="O354" s="24">
        <f t="shared" si="265"/>
        <v>3348.5221627697429</v>
      </c>
      <c r="P354" s="1">
        <f t="shared" si="267"/>
        <v>1306801.9129460659</v>
      </c>
      <c r="Q354">
        <f t="shared" si="268"/>
        <v>1143.1543696920664</v>
      </c>
      <c r="R354" s="1">
        <f t="shared" si="269"/>
        <v>2240.5825645964501</v>
      </c>
      <c r="T354" s="2"/>
    </row>
    <row r="355" spans="1:24" x14ac:dyDescent="0.25">
      <c r="A355" t="s">
        <v>151</v>
      </c>
      <c r="B355">
        <v>2001</v>
      </c>
      <c r="C355" t="s">
        <v>40</v>
      </c>
      <c r="D355" s="13">
        <v>5756</v>
      </c>
      <c r="E355" s="1"/>
      <c r="F355" s="1"/>
      <c r="G355" s="1"/>
      <c r="H355" s="1"/>
      <c r="I355" s="21">
        <v>0.67358630125865415</v>
      </c>
      <c r="J355" s="21">
        <v>5.6341272569567459E-3</v>
      </c>
      <c r="K355" s="13">
        <f t="shared" si="266"/>
        <v>8545.304423864347</v>
      </c>
      <c r="L355" s="1">
        <f t="shared" si="318"/>
        <v>906766.02050430153</v>
      </c>
      <c r="M355">
        <f t="shared" si="273"/>
        <v>952.24262690991816</v>
      </c>
      <c r="N355" s="1">
        <f t="shared" si="274"/>
        <v>1866.3955487434396</v>
      </c>
      <c r="O355" s="24">
        <f t="shared" si="265"/>
        <v>2789.304423864347</v>
      </c>
      <c r="P355" s="1">
        <f t="shared" si="267"/>
        <v>906766.02050430153</v>
      </c>
      <c r="Q355">
        <f t="shared" si="268"/>
        <v>952.24262690991816</v>
      </c>
      <c r="R355" s="1">
        <f t="shared" si="269"/>
        <v>1866.3955487434396</v>
      </c>
      <c r="T355" s="2"/>
    </row>
    <row r="356" spans="1:24" x14ac:dyDescent="0.25">
      <c r="A356" t="s">
        <v>151</v>
      </c>
      <c r="B356">
        <v>2002</v>
      </c>
      <c r="C356" t="s">
        <v>40</v>
      </c>
      <c r="D356" s="13">
        <v>7617</v>
      </c>
      <c r="E356" s="1"/>
      <c r="F356" s="1"/>
      <c r="G356" s="1"/>
      <c r="H356" s="1"/>
      <c r="I356" s="21">
        <v>0.67358630125865415</v>
      </c>
      <c r="J356" s="21">
        <v>5.6341272569567459E-3</v>
      </c>
      <c r="K356" s="13">
        <f t="shared" si="266"/>
        <v>11308.127831232579</v>
      </c>
      <c r="L356" s="1">
        <f t="shared" si="318"/>
        <v>1587894.256982432</v>
      </c>
      <c r="M356">
        <f t="shared" si="273"/>
        <v>1260.1167632336426</v>
      </c>
      <c r="N356" s="1">
        <f t="shared" si="274"/>
        <v>2469.8288559379394</v>
      </c>
      <c r="O356" s="24">
        <f t="shared" si="265"/>
        <v>3691.1278312325794</v>
      </c>
      <c r="P356" s="1">
        <f t="shared" si="267"/>
        <v>1587894.256982432</v>
      </c>
      <c r="Q356">
        <f t="shared" si="268"/>
        <v>1260.1167632336426</v>
      </c>
      <c r="R356" s="1">
        <f t="shared" si="269"/>
        <v>2469.8288559379394</v>
      </c>
      <c r="T356" s="2"/>
    </row>
    <row r="357" spans="1:24" x14ac:dyDescent="0.25">
      <c r="A357" t="s">
        <v>151</v>
      </c>
      <c r="B357">
        <v>2003</v>
      </c>
      <c r="C357" t="s">
        <v>40</v>
      </c>
      <c r="D357" s="13">
        <v>6896</v>
      </c>
      <c r="E357" s="1"/>
      <c r="F357" s="1"/>
      <c r="G357" s="1"/>
      <c r="H357" s="1"/>
      <c r="I357" s="21">
        <v>0.67358630125865415</v>
      </c>
      <c r="J357" s="21">
        <v>5.6341272569567459E-3</v>
      </c>
      <c r="K357" s="13">
        <f t="shared" si="266"/>
        <v>10237.737892107112</v>
      </c>
      <c r="L357" s="1">
        <f t="shared" si="318"/>
        <v>1301511.9872539048</v>
      </c>
      <c r="M357">
        <f t="shared" si="273"/>
        <v>1140.8382826912432</v>
      </c>
      <c r="N357" s="1">
        <f t="shared" si="274"/>
        <v>2236.0430340748367</v>
      </c>
      <c r="O357" s="24">
        <f t="shared" ref="O357:O372" si="338">K357-D357</f>
        <v>3341.7378921071122</v>
      </c>
      <c r="P357" s="1">
        <f t="shared" si="267"/>
        <v>1301511.9872539048</v>
      </c>
      <c r="Q357">
        <f t="shared" si="268"/>
        <v>1140.8382826912432</v>
      </c>
      <c r="R357" s="1">
        <f t="shared" si="269"/>
        <v>2236.0430340748367</v>
      </c>
      <c r="T357" s="2"/>
    </row>
    <row r="358" spans="1:24" x14ac:dyDescent="0.25">
      <c r="A358" t="s">
        <v>151</v>
      </c>
      <c r="B358">
        <v>2004</v>
      </c>
      <c r="C358" t="s">
        <v>40</v>
      </c>
      <c r="D358" s="13">
        <v>10061</v>
      </c>
      <c r="E358" s="1"/>
      <c r="F358" s="1"/>
      <c r="G358" s="1"/>
      <c r="H358" s="1"/>
      <c r="I358" s="21">
        <v>0.67358630125865415</v>
      </c>
      <c r="J358" s="21">
        <v>5.6341272569567459E-3</v>
      </c>
      <c r="K358" s="13">
        <f t="shared" si="266"/>
        <v>14936.467652623209</v>
      </c>
      <c r="L358" s="1">
        <f t="shared" si="318"/>
        <v>2770358.4485732173</v>
      </c>
      <c r="M358">
        <f t="shared" si="273"/>
        <v>1664.4393796630795</v>
      </c>
      <c r="N358" s="1">
        <f t="shared" si="274"/>
        <v>3262.301184139636</v>
      </c>
      <c r="O358" s="24">
        <f t="shared" si="338"/>
        <v>4875.4676526232088</v>
      </c>
      <c r="P358" s="1">
        <f t="shared" si="267"/>
        <v>2770358.4485732173</v>
      </c>
      <c r="Q358">
        <f t="shared" si="268"/>
        <v>1664.4393796630795</v>
      </c>
      <c r="R358" s="1">
        <f t="shared" si="269"/>
        <v>3262.301184139636</v>
      </c>
      <c r="T358" s="2"/>
    </row>
    <row r="359" spans="1:24" x14ac:dyDescent="0.25">
      <c r="A359" t="s">
        <v>151</v>
      </c>
      <c r="B359">
        <v>2005</v>
      </c>
      <c r="C359" t="s">
        <v>40</v>
      </c>
      <c r="D359" s="13">
        <v>12666</v>
      </c>
      <c r="E359" s="1"/>
      <c r="F359" s="1"/>
      <c r="G359" s="1"/>
      <c r="H359" s="1"/>
      <c r="I359" s="21">
        <v>0.67358630125865415</v>
      </c>
      <c r="J359" s="21">
        <v>5.6341272569567459E-3</v>
      </c>
      <c r="K359" s="13">
        <f t="shared" si="266"/>
        <v>18803.826586634088</v>
      </c>
      <c r="L359" s="1">
        <f t="shared" si="318"/>
        <v>4390688.5733686173</v>
      </c>
      <c r="M359">
        <f t="shared" si="273"/>
        <v>2095.3969966019845</v>
      </c>
      <c r="N359" s="1">
        <f t="shared" si="274"/>
        <v>4106.9781133398892</v>
      </c>
      <c r="O359" s="24">
        <f t="shared" si="338"/>
        <v>6137.826586634088</v>
      </c>
      <c r="P359" s="1">
        <f t="shared" si="267"/>
        <v>4390688.5733686173</v>
      </c>
      <c r="Q359">
        <f t="shared" si="268"/>
        <v>2095.3969966019845</v>
      </c>
      <c r="R359" s="1">
        <f t="shared" si="269"/>
        <v>4106.9781133398892</v>
      </c>
      <c r="T359" s="2"/>
    </row>
    <row r="360" spans="1:24" x14ac:dyDescent="0.25">
      <c r="A360" t="s">
        <v>151</v>
      </c>
      <c r="B360">
        <v>2006</v>
      </c>
      <c r="C360" t="s">
        <v>40</v>
      </c>
      <c r="D360" s="13">
        <v>12007</v>
      </c>
      <c r="E360" s="1"/>
      <c r="F360" s="1"/>
      <c r="G360" s="1"/>
      <c r="H360" s="1"/>
      <c r="I360" s="21">
        <v>0.67358630125865415</v>
      </c>
      <c r="J360" s="21">
        <v>5.6341272569567459E-3</v>
      </c>
      <c r="K360" s="13">
        <f t="shared" ref="K360:K372" si="339">D360/I360</f>
        <v>17825.481274728842</v>
      </c>
      <c r="L360" s="1">
        <f t="shared" si="318"/>
        <v>3945687.5188521035</v>
      </c>
      <c r="M360">
        <f>SQRT(L360)</f>
        <v>1986.3754727775167</v>
      </c>
      <c r="N360" s="1">
        <f>(1.96*M360)</f>
        <v>3893.2959266439329</v>
      </c>
      <c r="O360" s="24">
        <f t="shared" si="338"/>
        <v>5818.4812747288415</v>
      </c>
      <c r="P360" s="1">
        <f t="shared" ref="P360:P372" si="340">L360</f>
        <v>3945687.5188521035</v>
      </c>
      <c r="Q360">
        <f t="shared" ref="Q360:Q372" si="341">SQRT(P360)</f>
        <v>1986.3754727775167</v>
      </c>
      <c r="R360" s="1">
        <f t="shared" ref="R360:R372" si="342">(1.96*Q360)</f>
        <v>3893.2959266439329</v>
      </c>
      <c r="T360" s="2"/>
      <c r="U360" s="14"/>
    </row>
    <row r="361" spans="1:24" x14ac:dyDescent="0.25">
      <c r="A361" t="s">
        <v>151</v>
      </c>
      <c r="B361">
        <v>2007</v>
      </c>
      <c r="C361" t="s">
        <v>40</v>
      </c>
      <c r="D361" s="13">
        <v>12018</v>
      </c>
      <c r="E361" s="1"/>
      <c r="F361" s="1"/>
      <c r="G361" s="1"/>
      <c r="H361" s="1"/>
      <c r="I361" s="21">
        <v>0.67358630125865415</v>
      </c>
      <c r="J361" s="21">
        <v>5.6341272569567459E-3</v>
      </c>
      <c r="K361" s="13">
        <f t="shared" si="339"/>
        <v>17841.811773106623</v>
      </c>
      <c r="L361" s="1">
        <f t="shared" si="318"/>
        <v>3952920.3736786586</v>
      </c>
      <c r="M361">
        <f>SQRT(L361)</f>
        <v>1988.1952554210209</v>
      </c>
      <c r="N361" s="1">
        <f>(1.96*M361)</f>
        <v>3896.8627006252009</v>
      </c>
      <c r="O361" s="24">
        <f t="shared" si="338"/>
        <v>5823.8117731066231</v>
      </c>
      <c r="P361" s="1">
        <f t="shared" si="340"/>
        <v>3952920.3736786586</v>
      </c>
      <c r="Q361">
        <f t="shared" si="341"/>
        <v>1988.1952554210209</v>
      </c>
      <c r="R361" s="1">
        <f t="shared" si="342"/>
        <v>3896.8627006252009</v>
      </c>
      <c r="T361" s="2"/>
      <c r="U361" s="14"/>
    </row>
    <row r="362" spans="1:24" x14ac:dyDescent="0.25">
      <c r="A362" t="s">
        <v>151</v>
      </c>
      <c r="B362">
        <v>2008</v>
      </c>
      <c r="C362" t="s">
        <v>40</v>
      </c>
      <c r="D362" s="13">
        <v>17754</v>
      </c>
      <c r="E362" s="1"/>
      <c r="F362" s="1"/>
      <c r="G362" s="1"/>
      <c r="H362" s="1"/>
      <c r="I362" s="21">
        <v>0.67358630125865415</v>
      </c>
      <c r="J362" s="21">
        <v>5.6341272569567459E-3</v>
      </c>
      <c r="K362" s="13">
        <f t="shared" si="339"/>
        <v>26357.424381738641</v>
      </c>
      <c r="L362" s="1">
        <f t="shared" si="318"/>
        <v>8626727.8588684946</v>
      </c>
      <c r="M362">
        <f>SQRT(L362)</f>
        <v>2937.129186615477</v>
      </c>
      <c r="N362" s="1">
        <f>(1.96*M362)</f>
        <v>5756.7732057663352</v>
      </c>
      <c r="O362" s="24">
        <f t="shared" si="338"/>
        <v>8603.4243817386414</v>
      </c>
      <c r="P362" s="1">
        <f t="shared" si="340"/>
        <v>8626727.8588684946</v>
      </c>
      <c r="Q362">
        <f t="shared" si="341"/>
        <v>2937.129186615477</v>
      </c>
      <c r="R362" s="1">
        <f t="shared" si="342"/>
        <v>5756.7732057663352</v>
      </c>
      <c r="T362" s="2"/>
      <c r="U362" s="14"/>
    </row>
    <row r="363" spans="1:24" x14ac:dyDescent="0.25">
      <c r="A363" t="s">
        <v>151</v>
      </c>
      <c r="B363">
        <v>2009</v>
      </c>
      <c r="C363" t="s">
        <v>40</v>
      </c>
      <c r="D363" s="13">
        <v>9645</v>
      </c>
      <c r="E363" s="1"/>
      <c r="F363" s="1"/>
      <c r="G363" s="1"/>
      <c r="H363" s="1"/>
      <c r="I363" s="21">
        <v>0.67358630125865415</v>
      </c>
      <c r="J363" s="21">
        <v>5.6341272569567459E-3</v>
      </c>
      <c r="K363" s="13">
        <f t="shared" si="339"/>
        <v>14318.877895790762</v>
      </c>
      <c r="L363" s="1">
        <f t="shared" si="318"/>
        <v>2545998.4255660125</v>
      </c>
      <c r="M363">
        <f>SQRT(L363)</f>
        <v>1595.6185087814733</v>
      </c>
      <c r="N363" s="1">
        <f>(1.96*M363)</f>
        <v>3127.4122772116875</v>
      </c>
      <c r="O363" s="24">
        <f t="shared" si="338"/>
        <v>4673.8778957907616</v>
      </c>
      <c r="P363" s="1">
        <f t="shared" si="340"/>
        <v>2545998.4255660125</v>
      </c>
      <c r="Q363">
        <f t="shared" si="341"/>
        <v>1595.6185087814733</v>
      </c>
      <c r="R363" s="1">
        <f t="shared" si="342"/>
        <v>3127.4122772116875</v>
      </c>
      <c r="T363" s="2"/>
      <c r="U363" s="14"/>
    </row>
    <row r="364" spans="1:24" x14ac:dyDescent="0.25">
      <c r="A364" t="s">
        <v>151</v>
      </c>
      <c r="B364">
        <v>2010</v>
      </c>
      <c r="C364" t="s">
        <v>40</v>
      </c>
      <c r="D364" s="13">
        <v>12415</v>
      </c>
      <c r="E364" s="1"/>
      <c r="F364" s="1"/>
      <c r="G364" s="1"/>
      <c r="H364" s="1"/>
      <c r="I364" s="21">
        <v>0.67358630125865415</v>
      </c>
      <c r="J364" s="21">
        <v>5.6341272569567459E-3</v>
      </c>
      <c r="K364" s="13">
        <f t="shared" si="339"/>
        <v>18431.194305468358</v>
      </c>
      <c r="L364" s="1">
        <f t="shared" si="318"/>
        <v>4218393.7471152442</v>
      </c>
      <c r="M364">
        <f>SQRT(L364)</f>
        <v>2053.8728653729386</v>
      </c>
      <c r="N364" s="1">
        <f>(1.96*M364)</f>
        <v>4025.5908161309594</v>
      </c>
      <c r="O364" s="24">
        <f t="shared" si="338"/>
        <v>6016.1943054683579</v>
      </c>
      <c r="P364" s="1">
        <f t="shared" si="340"/>
        <v>4218393.7471152442</v>
      </c>
      <c r="Q364">
        <f t="shared" si="341"/>
        <v>2053.8728653729386</v>
      </c>
      <c r="R364" s="1">
        <f t="shared" si="342"/>
        <v>4025.5908161309594</v>
      </c>
      <c r="T364" s="2"/>
      <c r="U364" s="14"/>
    </row>
    <row r="365" spans="1:24" x14ac:dyDescent="0.25">
      <c r="A365" t="s">
        <v>151</v>
      </c>
      <c r="B365">
        <v>2011</v>
      </c>
      <c r="C365" t="s">
        <v>40</v>
      </c>
      <c r="D365" s="13">
        <v>11926</v>
      </c>
      <c r="E365" s="1">
        <v>10660</v>
      </c>
      <c r="F365" s="1">
        <v>3867387.9387297141</v>
      </c>
      <c r="G365" s="67">
        <v>4916</v>
      </c>
      <c r="H365" s="1">
        <v>1921853.0486126088</v>
      </c>
      <c r="I365">
        <f t="shared" ref="I365:I372" si="343">E365/(E365+G365)</f>
        <v>0.68438623523369291</v>
      </c>
      <c r="J365">
        <f t="shared" ref="J365:J372" si="344">((((E365)^2*H365)+((G365)^2*F365))/(E365+G365)^4)</f>
        <v>5.2981956270710933E-3</v>
      </c>
      <c r="K365" s="13">
        <f t="shared" si="339"/>
        <v>17425.832645403378</v>
      </c>
      <c r="L365" s="1">
        <f t="shared" ref="L365:L372" si="345">(D365^2)*J365*(1/(I365^4))</f>
        <v>3434887.6393615259</v>
      </c>
      <c r="M365">
        <f t="shared" ref="M365:M372" si="346">SQRT(L365)</f>
        <v>1853.3449866016649</v>
      </c>
      <c r="N365" s="1">
        <f t="shared" ref="N365:N372" si="347">(1.96*M365)</f>
        <v>3632.5561737392632</v>
      </c>
      <c r="O365" s="24">
        <f t="shared" si="338"/>
        <v>5499.8326454033777</v>
      </c>
      <c r="P365" s="1">
        <f t="shared" si="340"/>
        <v>3434887.6393615259</v>
      </c>
      <c r="Q365">
        <f t="shared" si="341"/>
        <v>1853.3449866016649</v>
      </c>
      <c r="R365" s="1">
        <f t="shared" si="342"/>
        <v>3632.5561737392632</v>
      </c>
      <c r="T365" s="2"/>
      <c r="U365" s="14"/>
      <c r="V365" s="2"/>
      <c r="W365" s="17"/>
      <c r="X365" s="17"/>
    </row>
    <row r="366" spans="1:24" x14ac:dyDescent="0.25">
      <c r="A366" t="s">
        <v>151</v>
      </c>
      <c r="B366">
        <v>2012</v>
      </c>
      <c r="C366" t="s">
        <v>40</v>
      </c>
      <c r="D366" s="13">
        <v>14290</v>
      </c>
      <c r="E366" s="1">
        <v>10532</v>
      </c>
      <c r="F366" s="1">
        <v>1809865.8409519477</v>
      </c>
      <c r="G366" s="67">
        <v>5315</v>
      </c>
      <c r="H366" s="1">
        <v>1446858.9784894967</v>
      </c>
      <c r="I366">
        <f t="shared" si="343"/>
        <v>0.66460528806714203</v>
      </c>
      <c r="J366">
        <f t="shared" si="344"/>
        <v>3.3555436866087454E-3</v>
      </c>
      <c r="K366" s="13">
        <f t="shared" si="339"/>
        <v>21501.484048613747</v>
      </c>
      <c r="L366" s="1">
        <f t="shared" si="345"/>
        <v>3512142.9566568048</v>
      </c>
      <c r="M366">
        <f t="shared" si="346"/>
        <v>1874.0712250757185</v>
      </c>
      <c r="N366" s="1">
        <f t="shared" si="347"/>
        <v>3673.1796011484084</v>
      </c>
      <c r="O366" s="24">
        <f t="shared" si="338"/>
        <v>7211.4840486137473</v>
      </c>
      <c r="P366" s="1">
        <f t="shared" si="340"/>
        <v>3512142.9566568048</v>
      </c>
      <c r="Q366">
        <f t="shared" si="341"/>
        <v>1874.0712250757185</v>
      </c>
      <c r="R366" s="1">
        <f t="shared" si="342"/>
        <v>3673.1796011484084</v>
      </c>
      <c r="T366" s="2"/>
      <c r="U366" s="14"/>
      <c r="V366" s="2"/>
      <c r="W366" s="17"/>
      <c r="X366" s="17"/>
    </row>
    <row r="367" spans="1:24" x14ac:dyDescent="0.25">
      <c r="A367" t="s">
        <v>151</v>
      </c>
      <c r="B367">
        <v>2013</v>
      </c>
      <c r="C367" t="s">
        <v>40</v>
      </c>
      <c r="D367" s="13">
        <v>15619</v>
      </c>
      <c r="E367" s="1">
        <v>6679</v>
      </c>
      <c r="F367" s="1">
        <v>1120758.7991991951</v>
      </c>
      <c r="G367" s="67">
        <v>3021</v>
      </c>
      <c r="H367" s="1">
        <v>397753.71081081062</v>
      </c>
      <c r="I367">
        <f t="shared" si="343"/>
        <v>0.68855670103092781</v>
      </c>
      <c r="J367">
        <f t="shared" si="344"/>
        <v>3.1596269995216491E-3</v>
      </c>
      <c r="K367" s="13">
        <f t="shared" si="339"/>
        <v>22683.680191645457</v>
      </c>
      <c r="L367" s="1">
        <f t="shared" si="345"/>
        <v>3429125.8906986257</v>
      </c>
      <c r="M367">
        <f t="shared" si="346"/>
        <v>1851.7899153788007</v>
      </c>
      <c r="N367" s="1">
        <f t="shared" si="347"/>
        <v>3629.5082341424495</v>
      </c>
      <c r="O367" s="24">
        <f t="shared" si="338"/>
        <v>7064.6801916454569</v>
      </c>
      <c r="P367" s="1">
        <f t="shared" si="340"/>
        <v>3429125.8906986257</v>
      </c>
      <c r="Q367">
        <f t="shared" si="341"/>
        <v>1851.7899153788007</v>
      </c>
      <c r="R367" s="1">
        <f t="shared" si="342"/>
        <v>3629.5082341424495</v>
      </c>
      <c r="T367" s="2"/>
      <c r="U367" s="14"/>
      <c r="V367" s="2"/>
      <c r="W367" s="17"/>
      <c r="X367" s="17"/>
    </row>
    <row r="368" spans="1:24" x14ac:dyDescent="0.25">
      <c r="A368" t="s">
        <v>151</v>
      </c>
      <c r="B368">
        <v>2014</v>
      </c>
      <c r="C368" t="s">
        <v>40</v>
      </c>
      <c r="D368" s="13">
        <v>18453</v>
      </c>
      <c r="E368" s="1">
        <v>7370</v>
      </c>
      <c r="F368" s="1">
        <v>1795956.444219216</v>
      </c>
      <c r="G368" s="67">
        <v>2384</v>
      </c>
      <c r="H368" s="1">
        <v>713052.28782382398</v>
      </c>
      <c r="I368">
        <f t="shared" si="343"/>
        <v>0.75558745130202998</v>
      </c>
      <c r="J368">
        <f t="shared" si="344"/>
        <v>5.4064908346572026E-3</v>
      </c>
      <c r="K368" s="13">
        <f t="shared" si="339"/>
        <v>24422.057259158752</v>
      </c>
      <c r="L368" s="1">
        <f t="shared" si="345"/>
        <v>5648205.4842977012</v>
      </c>
      <c r="M368">
        <f t="shared" si="346"/>
        <v>2376.595355608039</v>
      </c>
      <c r="N368" s="1">
        <f t="shared" si="347"/>
        <v>4658.1268969917564</v>
      </c>
      <c r="O368" s="24">
        <f t="shared" si="338"/>
        <v>5969.0572591587515</v>
      </c>
      <c r="P368" s="1">
        <f t="shared" si="340"/>
        <v>5648205.4842977012</v>
      </c>
      <c r="Q368">
        <f t="shared" si="341"/>
        <v>2376.595355608039</v>
      </c>
      <c r="R368" s="1">
        <f t="shared" si="342"/>
        <v>4658.1268969917564</v>
      </c>
      <c r="T368" s="2"/>
      <c r="U368" s="14"/>
      <c r="V368" s="2"/>
      <c r="W368" s="17"/>
      <c r="X368" s="17"/>
    </row>
    <row r="369" spans="1:24" x14ac:dyDescent="0.25">
      <c r="A369" t="s">
        <v>151</v>
      </c>
      <c r="B369">
        <v>2015</v>
      </c>
      <c r="C369" t="s">
        <v>40</v>
      </c>
      <c r="D369" s="13">
        <v>17669</v>
      </c>
      <c r="E369" s="1">
        <v>5794</v>
      </c>
      <c r="F369" s="1">
        <v>1165829.0123683619</v>
      </c>
      <c r="G369" s="67">
        <v>5098</v>
      </c>
      <c r="H369" s="1">
        <v>1634303.3824824786</v>
      </c>
      <c r="I369">
        <f t="shared" si="343"/>
        <v>0.53195005508630189</v>
      </c>
      <c r="J369">
        <f t="shared" si="344"/>
        <v>6.0509567565608874E-3</v>
      </c>
      <c r="K369" s="13">
        <f t="shared" si="339"/>
        <v>33215.524335519505</v>
      </c>
      <c r="L369" s="1">
        <f t="shared" si="345"/>
        <v>23591989.047447968</v>
      </c>
      <c r="M369">
        <f t="shared" si="346"/>
        <v>4857.1585363716476</v>
      </c>
      <c r="N369" s="1">
        <f t="shared" si="347"/>
        <v>9520.0307312884288</v>
      </c>
      <c r="O369" s="24">
        <f t="shared" si="338"/>
        <v>15546.524335519505</v>
      </c>
      <c r="P369" s="1">
        <f t="shared" si="340"/>
        <v>23591989.047447968</v>
      </c>
      <c r="Q369">
        <f t="shared" si="341"/>
        <v>4857.1585363716476</v>
      </c>
      <c r="R369" s="1">
        <f t="shared" si="342"/>
        <v>9520.0307312884288</v>
      </c>
      <c r="T369" s="2"/>
      <c r="U369" s="14"/>
      <c r="V369" s="2"/>
      <c r="W369" s="17"/>
      <c r="X369" s="17"/>
    </row>
    <row r="370" spans="1:24" x14ac:dyDescent="0.25">
      <c r="A370" t="s">
        <v>151</v>
      </c>
      <c r="B370">
        <v>2016</v>
      </c>
      <c r="C370" t="s">
        <v>40</v>
      </c>
      <c r="D370" s="13">
        <v>17707</v>
      </c>
      <c r="E370" s="1">
        <v>6131</v>
      </c>
      <c r="F370" s="1">
        <v>1340603.0809649625</v>
      </c>
      <c r="G370" s="67">
        <v>3300</v>
      </c>
      <c r="H370" s="1">
        <v>1032163.6266256294</v>
      </c>
      <c r="I370">
        <f t="shared" si="343"/>
        <v>0.65009012830028634</v>
      </c>
      <c r="J370">
        <f t="shared" si="344"/>
        <v>6.749763885598687E-3</v>
      </c>
      <c r="K370" s="13">
        <f t="shared" si="339"/>
        <v>27237.761702821725</v>
      </c>
      <c r="L370" s="1">
        <f t="shared" si="345"/>
        <v>11849070.145310419</v>
      </c>
      <c r="M370">
        <f t="shared" si="346"/>
        <v>3442.2478332203827</v>
      </c>
      <c r="N370" s="1">
        <f t="shared" si="347"/>
        <v>6746.8057531119503</v>
      </c>
      <c r="O370" s="24">
        <f t="shared" si="338"/>
        <v>9530.7617028217246</v>
      </c>
      <c r="P370" s="1">
        <f t="shared" si="340"/>
        <v>11849070.145310419</v>
      </c>
      <c r="Q370">
        <f t="shared" si="341"/>
        <v>3442.2478332203827</v>
      </c>
      <c r="R370" s="1">
        <f t="shared" si="342"/>
        <v>6746.8057531119503</v>
      </c>
      <c r="T370" s="2"/>
      <c r="U370" s="14"/>
      <c r="V370" s="2"/>
      <c r="W370" s="17"/>
      <c r="X370" s="17"/>
    </row>
    <row r="371" spans="1:24" x14ac:dyDescent="0.25">
      <c r="A371" t="s">
        <v>151</v>
      </c>
      <c r="B371">
        <v>2017</v>
      </c>
      <c r="C371" t="s">
        <v>40</v>
      </c>
      <c r="D371" s="13">
        <v>20760</v>
      </c>
      <c r="E371" s="1">
        <v>8494</v>
      </c>
      <c r="F371" s="1">
        <v>2665750.1723964033</v>
      </c>
      <c r="G371" s="67">
        <v>3036</v>
      </c>
      <c r="H371" s="1">
        <v>1244052.9679429431</v>
      </c>
      <c r="I371">
        <f t="shared" si="343"/>
        <v>0.7366869037294016</v>
      </c>
      <c r="J371">
        <f t="shared" si="344"/>
        <v>6.4689162399247553E-3</v>
      </c>
      <c r="K371" s="13">
        <f t="shared" si="339"/>
        <v>28180.221332705438</v>
      </c>
      <c r="L371" s="1">
        <f t="shared" si="345"/>
        <v>9465736.8938175309</v>
      </c>
      <c r="M371">
        <f t="shared" si="346"/>
        <v>3076.6437710299729</v>
      </c>
      <c r="N371" s="1">
        <f t="shared" si="347"/>
        <v>6030.2217912187471</v>
      </c>
      <c r="O371" s="24">
        <f t="shared" si="338"/>
        <v>7420.2213327054378</v>
      </c>
      <c r="P371" s="1">
        <f t="shared" si="340"/>
        <v>9465736.8938175309</v>
      </c>
      <c r="Q371">
        <f t="shared" si="341"/>
        <v>3076.6437710299729</v>
      </c>
      <c r="R371" s="1">
        <f t="shared" si="342"/>
        <v>6030.2217912187471</v>
      </c>
      <c r="T371" s="2"/>
      <c r="U371" s="14"/>
      <c r="V371" s="2"/>
      <c r="W371" s="17"/>
      <c r="X371" s="17"/>
    </row>
    <row r="372" spans="1:24" x14ac:dyDescent="0.25">
      <c r="A372" t="s">
        <v>151</v>
      </c>
      <c r="B372">
        <v>2018</v>
      </c>
      <c r="C372" t="s">
        <v>40</v>
      </c>
      <c r="D372" s="13">
        <v>26949</v>
      </c>
      <c r="E372" s="1">
        <v>7638</v>
      </c>
      <c r="F372" s="1">
        <v>1429079.7715305276</v>
      </c>
      <c r="G372" s="67">
        <v>3647</v>
      </c>
      <c r="H372" s="1">
        <v>697142.61438938964</v>
      </c>
      <c r="I372">
        <f t="shared" si="343"/>
        <v>0.67682764731945055</v>
      </c>
      <c r="J372">
        <f t="shared" si="344"/>
        <v>3.6796790011301784E-3</v>
      </c>
      <c r="K372" s="13">
        <f t="shared" si="339"/>
        <v>39816.635899450121</v>
      </c>
      <c r="L372" s="1">
        <f t="shared" si="345"/>
        <v>12734528.822682161</v>
      </c>
      <c r="M372">
        <f t="shared" si="346"/>
        <v>3568.5471585341506</v>
      </c>
      <c r="N372" s="1">
        <f t="shared" si="347"/>
        <v>6994.3524307269354</v>
      </c>
      <c r="O372" s="24">
        <f t="shared" si="338"/>
        <v>12867.635899450121</v>
      </c>
      <c r="P372" s="1">
        <f t="shared" si="340"/>
        <v>12734528.822682161</v>
      </c>
      <c r="Q372">
        <f t="shared" si="341"/>
        <v>3568.5471585341506</v>
      </c>
      <c r="R372" s="1">
        <f t="shared" si="342"/>
        <v>6994.3524307269354</v>
      </c>
      <c r="T372" s="2"/>
      <c r="U372" s="14"/>
      <c r="V372" s="2"/>
      <c r="W372" s="17"/>
      <c r="X372" s="17"/>
    </row>
    <row r="373" spans="1:24" x14ac:dyDescent="0.25">
      <c r="A373" t="s">
        <v>151</v>
      </c>
      <c r="B373">
        <v>2019</v>
      </c>
      <c r="C373" t="s">
        <v>40</v>
      </c>
      <c r="D373" s="13">
        <v>22912</v>
      </c>
      <c r="E373" s="1">
        <v>5714</v>
      </c>
      <c r="F373" s="1">
        <v>1122352.6726686719</v>
      </c>
      <c r="G373" s="67">
        <v>4080</v>
      </c>
      <c r="H373" s="1">
        <v>1180985.3076436392</v>
      </c>
      <c r="I373">
        <f>E373/(E373+G373)</f>
        <v>0.58341841944047379</v>
      </c>
      <c r="J373">
        <f>((((E373)^2*H373)+((G373)^2*F373))/(E373+G373)^4)</f>
        <v>6.2212100181521365E-3</v>
      </c>
      <c r="K373" s="13">
        <f>D373/I373</f>
        <v>39271.985999299963</v>
      </c>
      <c r="L373" s="1">
        <f>(D373^2)*J373*(1/(I373^4))</f>
        <v>28189042.115738388</v>
      </c>
      <c r="M373">
        <f>SQRT(L373)</f>
        <v>5309.335374200653</v>
      </c>
      <c r="N373" s="1">
        <f>(1.96*M373)</f>
        <v>10406.29733343328</v>
      </c>
      <c r="O373" s="24">
        <f>K373-D373</f>
        <v>16359.985999299963</v>
      </c>
      <c r="P373" s="1">
        <f>L373</f>
        <v>28189042.115738388</v>
      </c>
      <c r="Q373">
        <f>SQRT(P373)</f>
        <v>5309.335374200653</v>
      </c>
      <c r="R373" s="1">
        <f>(1.96*Q373)</f>
        <v>10406.29733343328</v>
      </c>
    </row>
    <row r="374" spans="1:24" x14ac:dyDescent="0.25">
      <c r="A374" t="s">
        <v>151</v>
      </c>
      <c r="B374">
        <v>2020</v>
      </c>
      <c r="C374" t="s">
        <v>40</v>
      </c>
      <c r="D374" s="13">
        <v>12619</v>
      </c>
      <c r="E374" s="56">
        <v>7659</v>
      </c>
      <c r="F374" s="56">
        <v>955013.16630230402</v>
      </c>
      <c r="G374" s="56">
        <v>1681</v>
      </c>
      <c r="H374" s="56">
        <v>425319.48908908927</v>
      </c>
      <c r="I374">
        <f t="shared" ref="I374:I376" si="348">E374/(E374+G374)</f>
        <v>0.82002141327623124</v>
      </c>
      <c r="J374">
        <f t="shared" ref="J374:J375" si="349">((((E374)^2*H374)+((G374)^2*F374))/(E374+G374)^4)</f>
        <v>3.633090458161967E-3</v>
      </c>
      <c r="K374" s="13">
        <f t="shared" ref="K374:K375" si="350">D374/I374</f>
        <v>15388.622535579058</v>
      </c>
      <c r="L374" s="1">
        <f t="shared" ref="L374:L375" si="351">(D374^2)*J374*(1/(I374^4))</f>
        <v>1279455.8924929332</v>
      </c>
      <c r="M374">
        <f t="shared" ref="M374:M375" si="352">SQRT(L374)</f>
        <v>1131.1303605212502</v>
      </c>
      <c r="N374" s="1">
        <f t="shared" ref="N374:N375" si="353">(1.96*M374)</f>
        <v>2217.0155066216503</v>
      </c>
      <c r="O374" s="24">
        <f t="shared" ref="O374:O375" si="354">K374-D374</f>
        <v>2769.6225355790575</v>
      </c>
      <c r="P374" s="1">
        <f t="shared" ref="P374:P375" si="355">L374</f>
        <v>1279455.8924929332</v>
      </c>
      <c r="Q374">
        <f t="shared" ref="Q374:Q375" si="356">SQRT(P374)</f>
        <v>1131.1303605212502</v>
      </c>
      <c r="R374" s="1">
        <f t="shared" ref="R374:R375" si="357">(1.96*Q374)</f>
        <v>2217.0155066216503</v>
      </c>
    </row>
    <row r="375" spans="1:24" x14ac:dyDescent="0.25">
      <c r="A375" t="s">
        <v>151</v>
      </c>
      <c r="B375">
        <v>2021</v>
      </c>
      <c r="C375" t="s">
        <v>40</v>
      </c>
      <c r="D375" s="13">
        <v>29399</v>
      </c>
      <c r="E375" s="1">
        <v>13977</v>
      </c>
      <c r="F375" s="1">
        <v>3885561.0306306407</v>
      </c>
      <c r="G375" s="1">
        <v>794</v>
      </c>
      <c r="H375" s="1">
        <v>98814.45841741738</v>
      </c>
      <c r="I375">
        <f t="shared" si="348"/>
        <v>0.94624602261187463</v>
      </c>
      <c r="J375">
        <f t="shared" si="349"/>
        <v>4.5697504851607682E-4</v>
      </c>
      <c r="K375" s="13">
        <f t="shared" si="350"/>
        <v>31069.087000071548</v>
      </c>
      <c r="L375" s="1">
        <f t="shared" si="351"/>
        <v>492653.23167840909</v>
      </c>
      <c r="M375">
        <f t="shared" si="352"/>
        <v>701.89260694098289</v>
      </c>
      <c r="N375" s="1">
        <f t="shared" si="353"/>
        <v>1375.7095096043265</v>
      </c>
      <c r="O375" s="24">
        <f t="shared" si="354"/>
        <v>1670.0870000715477</v>
      </c>
      <c r="P375" s="1">
        <f t="shared" si="355"/>
        <v>492653.23167840909</v>
      </c>
      <c r="Q375">
        <f t="shared" si="356"/>
        <v>701.89260694098289</v>
      </c>
      <c r="R375" s="1">
        <f t="shared" si="357"/>
        <v>1375.7095096043265</v>
      </c>
    </row>
    <row r="376" spans="1:24" s="51" customFormat="1" x14ac:dyDescent="0.25">
      <c r="A376" s="51" t="s">
        <v>151</v>
      </c>
      <c r="B376" s="51">
        <v>2022</v>
      </c>
      <c r="C376" s="51" t="s">
        <v>40</v>
      </c>
      <c r="D376" s="85">
        <v>38456</v>
      </c>
      <c r="E376" s="85">
        <v>16856</v>
      </c>
      <c r="F376" s="85">
        <f>2333^2</f>
        <v>5442889</v>
      </c>
      <c r="G376" s="85">
        <v>2656</v>
      </c>
      <c r="H376" s="85">
        <f>1102^2</f>
        <v>1214404</v>
      </c>
      <c r="I376" s="51">
        <f t="shared" si="348"/>
        <v>0.86387863878638782</v>
      </c>
      <c r="J376">
        <f t="shared" ref="J376" si="358">((((E376)^2*H376)+((G376)^2*F376))/(E376+G376)^4)</f>
        <v>2.6453808757815828E-3</v>
      </c>
      <c r="K376" s="13">
        <f t="shared" ref="K376" si="359">D376/I376</f>
        <v>44515.512102515429</v>
      </c>
      <c r="L376" s="1">
        <f t="shared" ref="L376" si="360">(D376^2)*J376*(1/(I376^4))</f>
        <v>7024339.3858510992</v>
      </c>
      <c r="M376">
        <f t="shared" ref="M376" si="361">SQRT(L376)</f>
        <v>2650.3470312114032</v>
      </c>
      <c r="N376" s="1">
        <f t="shared" ref="N376" si="362">(1.96*M376)</f>
        <v>5194.6801811743499</v>
      </c>
      <c r="O376" s="24">
        <f t="shared" ref="O376" si="363">K376-D376</f>
        <v>6059.5121025154294</v>
      </c>
      <c r="P376" s="1">
        <f t="shared" ref="P376" si="364">L376</f>
        <v>7024339.3858510992</v>
      </c>
      <c r="Q376">
        <f t="shared" ref="Q376" si="365">SQRT(P376)</f>
        <v>2650.3470312114032</v>
      </c>
      <c r="R376" s="1">
        <f t="shared" ref="R376" si="366">(1.96*Q376)</f>
        <v>5194.6801811743499</v>
      </c>
    </row>
  </sheetData>
  <autoFilter ref="A1:Y376" xr:uid="{AB616BBE-BEA9-4A2C-A98C-67B806577655}">
    <filterColumn colId="0">
      <filters>
        <filter val="SE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87E4-43BA-466A-BCCA-7389D939CDB2}">
  <dimension ref="A1:AN93"/>
  <sheetViews>
    <sheetView topLeftCell="A13" zoomScale="80" zoomScaleNormal="80" workbookViewId="0">
      <selection activeCell="AH29" sqref="AH29"/>
    </sheetView>
  </sheetViews>
  <sheetFormatPr defaultRowHeight="15" x14ac:dyDescent="0.25"/>
  <sheetData>
    <row r="1" spans="1:32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1:32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 spans="1:32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spans="1:40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40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7" spans="1:40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0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</row>
    <row r="50" spans="1:40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</row>
    <row r="51" spans="1:40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</row>
    <row r="52" spans="1:40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</row>
    <row r="53" spans="1:40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</row>
    <row r="54" spans="1:40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</row>
    <row r="59" spans="1:40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40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40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40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40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40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  <row r="76" spans="1:32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</row>
    <row r="77" spans="1:32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</row>
    <row r="78" spans="1:32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</row>
    <row r="79" spans="1:32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</row>
    <row r="80" spans="1:32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</row>
    <row r="81" spans="1:32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</row>
    <row r="82" spans="1:32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</row>
    <row r="83" spans="1:32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</row>
    <row r="84" spans="1:32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</row>
    <row r="85" spans="1:32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</row>
    <row r="86" spans="1:32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</row>
    <row r="87" spans="1:32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</row>
    <row r="88" spans="1:32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</row>
    <row r="89" spans="1:32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</row>
    <row r="90" spans="1:32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</row>
    <row r="91" spans="1:32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</row>
    <row r="92" spans="1:32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</row>
    <row r="93" spans="1:32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5AE8-B819-413D-BA91-2953E76628D4}">
  <sheetPr>
    <tabColor theme="9"/>
  </sheetPr>
  <dimension ref="A1:AC377"/>
  <sheetViews>
    <sheetView zoomScale="80" zoomScaleNormal="80" workbookViewId="0">
      <pane ySplit="2" topLeftCell="A215" activePane="bottomLeft" state="frozen"/>
      <selection pane="bottomLeft" activeCell="J390" sqref="J390"/>
    </sheetView>
  </sheetViews>
  <sheetFormatPr defaultRowHeight="15" x14ac:dyDescent="0.25"/>
  <cols>
    <col min="3" max="3" width="14.85546875" customWidth="1"/>
    <col min="4" max="4" width="14" customWidth="1"/>
    <col min="6" max="6" width="9.140625" customWidth="1"/>
    <col min="7" max="7" width="12" bestFit="1" customWidth="1"/>
    <col min="8" max="8" width="9.5703125" style="4" bestFit="1" customWidth="1"/>
    <col min="9" max="9" width="11.5703125" customWidth="1"/>
    <col min="10" max="10" width="9.140625" customWidth="1"/>
    <col min="11" max="11" width="4.42578125" customWidth="1"/>
    <col min="12" max="12" width="6.42578125" customWidth="1"/>
    <col min="16" max="16" width="12.28515625" bestFit="1" customWidth="1"/>
    <col min="17" max="17" width="10.5703125" style="13" bestFit="1" customWidth="1"/>
    <col min="18" max="18" width="11.42578125" customWidth="1"/>
    <col min="19" max="19" width="8.140625" style="4" customWidth="1"/>
    <col min="20" max="20" width="6.42578125" style="4" customWidth="1"/>
    <col min="21" max="21" width="14.5703125" customWidth="1"/>
    <col min="22" max="22" width="13.5703125" style="13" customWidth="1"/>
    <col min="23" max="23" width="12.85546875" bestFit="1" customWidth="1"/>
    <col min="24" max="24" width="12.28515625" bestFit="1" customWidth="1"/>
    <col min="25" max="25" width="8.5703125" bestFit="1" customWidth="1"/>
  </cols>
  <sheetData>
    <row r="1" spans="1:29" x14ac:dyDescent="0.25">
      <c r="A1" s="110" t="str">
        <f>'rockfish harvests'!A1</f>
        <v>Region</v>
      </c>
      <c r="B1" s="110" t="str">
        <f>'rockfish harvests'!B1</f>
        <v>year</v>
      </c>
      <c r="C1" s="110" t="str">
        <f>'rockfish harvests'!C1</f>
        <v>RptArea</v>
      </c>
      <c r="D1" s="109" t="s">
        <v>16</v>
      </c>
      <c r="E1" s="109"/>
      <c r="F1" s="109"/>
      <c r="G1" s="109"/>
      <c r="H1" s="109"/>
      <c r="I1" s="109"/>
      <c r="J1" s="109"/>
      <c r="K1" s="109"/>
      <c r="M1" s="109" t="s">
        <v>17</v>
      </c>
      <c r="N1" s="109"/>
      <c r="O1" s="109"/>
      <c r="P1" s="109"/>
      <c r="Q1" s="109"/>
      <c r="R1" s="109"/>
      <c r="S1" s="9"/>
      <c r="T1" s="9"/>
      <c r="V1" s="109" t="s">
        <v>29</v>
      </c>
      <c r="W1" s="109"/>
      <c r="X1" s="109"/>
      <c r="Y1" s="109"/>
    </row>
    <row r="2" spans="1:29" s="3" customFormat="1" ht="65.25" customHeight="1" x14ac:dyDescent="0.35">
      <c r="A2" s="110"/>
      <c r="B2" s="110"/>
      <c r="C2" s="110"/>
      <c r="D2" s="3" t="s">
        <v>58</v>
      </c>
      <c r="E2" s="3" t="s">
        <v>69</v>
      </c>
      <c r="F2" s="3" t="s">
        <v>73</v>
      </c>
      <c r="G2" s="3" t="s">
        <v>72</v>
      </c>
      <c r="H2" s="8" t="s">
        <v>70</v>
      </c>
      <c r="I2" s="3" t="s">
        <v>71</v>
      </c>
      <c r="J2" s="3" t="s">
        <v>15</v>
      </c>
      <c r="K2" s="3" t="s">
        <v>20</v>
      </c>
      <c r="M2" s="3" t="s">
        <v>65</v>
      </c>
      <c r="N2" s="3" t="s">
        <v>66</v>
      </c>
      <c r="O2" s="3" t="s">
        <v>74</v>
      </c>
      <c r="P2" s="3" t="s">
        <v>75</v>
      </c>
      <c r="Q2" s="3" t="s">
        <v>76</v>
      </c>
      <c r="R2" s="3" t="s">
        <v>110</v>
      </c>
      <c r="S2" s="3" t="s">
        <v>19</v>
      </c>
      <c r="T2" s="3" t="s">
        <v>21</v>
      </c>
      <c r="V2" s="12" t="s">
        <v>133</v>
      </c>
      <c r="W2" s="3" t="s">
        <v>134</v>
      </c>
      <c r="X2" s="3" t="s">
        <v>22</v>
      </c>
      <c r="Y2" s="3" t="s">
        <v>23</v>
      </c>
      <c r="AB2" s="26" t="s">
        <v>80</v>
      </c>
    </row>
    <row r="3" spans="1:29" x14ac:dyDescent="0.25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v>329</v>
      </c>
      <c r="F3" s="27">
        <f>F153</f>
        <v>0.80412371100000002</v>
      </c>
      <c r="G3" s="27">
        <f>G153</f>
        <v>1.640716E-3</v>
      </c>
      <c r="H3" s="7">
        <f>E3*F3</f>
        <v>264.55670091899998</v>
      </c>
      <c r="I3">
        <f>(E3^2)*G3</f>
        <v>177.592740556</v>
      </c>
      <c r="J3">
        <f>SQRT(I3)</f>
        <v>13.326392631016091</v>
      </c>
      <c r="K3" s="6">
        <f>(1.96*J3)</f>
        <v>26.119729556791537</v>
      </c>
      <c r="M3" s="2">
        <f>'rockfish harvests'!O2</f>
        <v>113.5015960846614</v>
      </c>
      <c r="N3">
        <f>'rockfish harvests'!P2</f>
        <v>3943.5752117924521</v>
      </c>
      <c r="O3" s="27">
        <f t="shared" ref="O3:P26" si="0">O153</f>
        <v>0.83333333300000001</v>
      </c>
      <c r="P3" s="27">
        <f t="shared" si="0"/>
        <v>1.5605490000000001E-3</v>
      </c>
      <c r="Q3" s="13">
        <f t="shared" ref="Q3:Q53" si="1">M3*O3</f>
        <v>94.584663366050634</v>
      </c>
      <c r="R3" s="2">
        <f>(M3^2)*P3+(O3^2)*N3-(P3*N3)</f>
        <v>2752.5437002976637</v>
      </c>
      <c r="S3">
        <f>SQRT(R3)</f>
        <v>52.464690033370672</v>
      </c>
      <c r="T3" s="6">
        <f>(1.96*S3)</f>
        <v>102.83079246540652</v>
      </c>
      <c r="V3" s="13">
        <f>Q3+H3</f>
        <v>359.1413642850506</v>
      </c>
      <c r="W3">
        <f t="shared" ref="W3:W53" si="2">R3+I3</f>
        <v>2930.1364408536638</v>
      </c>
      <c r="X3">
        <f>SQRT(W3)</f>
        <v>54.130734715627717</v>
      </c>
      <c r="Y3" s="6">
        <f>(1.96*X3)</f>
        <v>106.09624004263033</v>
      </c>
      <c r="Z3" s="14">
        <f>X3/V3</f>
        <v>0.1507226404382207</v>
      </c>
      <c r="AB3" s="32"/>
      <c r="AC3" t="s">
        <v>84</v>
      </c>
    </row>
    <row r="4" spans="1:29" x14ac:dyDescent="0.25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v>419</v>
      </c>
      <c r="F4" s="27">
        <f t="shared" ref="F4:G27" si="3">F154</f>
        <v>0.876190476</v>
      </c>
      <c r="G4" s="27">
        <f t="shared" si="3"/>
        <v>1.0430839999999999E-3</v>
      </c>
      <c r="H4" s="7">
        <f>E4*F4</f>
        <v>367.12380944400002</v>
      </c>
      <c r="I4">
        <f>(E4^2)*G4</f>
        <v>183.12487012399998</v>
      </c>
      <c r="J4">
        <f t="shared" ref="J4:J54" si="4">SQRT(I4)</f>
        <v>13.532363804007044</v>
      </c>
      <c r="K4" s="6">
        <f t="shared" ref="K4:K54" si="5">(1.96*J4)</f>
        <v>26.523433055853808</v>
      </c>
      <c r="M4" s="2">
        <f>'rockfish harvests'!O3</f>
        <v>138.05722985297768</v>
      </c>
      <c r="N4">
        <f>'rockfish harvests'!P3</f>
        <v>5834.5115045216135</v>
      </c>
      <c r="O4" s="27">
        <f t="shared" si="0"/>
        <v>0.71300448400000005</v>
      </c>
      <c r="P4" s="27">
        <f t="shared" si="0"/>
        <v>9.2175299999999998E-4</v>
      </c>
      <c r="Q4" s="13">
        <f>M4*O4</f>
        <v>98.435423933791753</v>
      </c>
      <c r="R4" s="2">
        <f t="shared" ref="R4:R79" si="6">(M4^2)*P4+(O4^2)*N4-(P4*N4)</f>
        <v>2978.3125342613921</v>
      </c>
      <c r="S4">
        <f t="shared" ref="S4:S54" si="7">SQRT(R4)</f>
        <v>54.573918076874342</v>
      </c>
      <c r="T4" s="6">
        <f t="shared" ref="T4:T54" si="8">(1.96*S4)</f>
        <v>106.9648794306737</v>
      </c>
      <c r="V4" s="13">
        <f t="shared" ref="V4:V53" si="9">Q4+H4</f>
        <v>465.55923337779177</v>
      </c>
      <c r="W4">
        <f t="shared" si="2"/>
        <v>3161.4374043853923</v>
      </c>
      <c r="X4">
        <f t="shared" ref="X4:X54" si="10">SQRT(W4)</f>
        <v>56.226660974891551</v>
      </c>
      <c r="Y4" s="6">
        <f t="shared" ref="Y4:Y54" si="11">(1.96*X4)</f>
        <v>110.20425551078743</v>
      </c>
      <c r="Z4" s="14">
        <f t="shared" ref="Z4:Z49" si="12">X4/V4</f>
        <v>0.12077230338006156</v>
      </c>
    </row>
    <row r="5" spans="1:29" x14ac:dyDescent="0.25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v>1224</v>
      </c>
      <c r="F5" s="27">
        <f t="shared" si="3"/>
        <v>0.91176470600000004</v>
      </c>
      <c r="G5" s="27">
        <f t="shared" si="3"/>
        <v>7.9653299999999998E-4</v>
      </c>
      <c r="H5" s="7">
        <f>E5*F5</f>
        <v>1116.0000001440001</v>
      </c>
      <c r="I5">
        <f t="shared" ref="I5:I55" si="13">(E5^2)*G5</f>
        <v>1193.346623808</v>
      </c>
      <c r="J5">
        <f t="shared" si="4"/>
        <v>34.544849454122676</v>
      </c>
      <c r="K5" s="6">
        <f t="shared" si="5"/>
        <v>67.707904930080446</v>
      </c>
      <c r="M5" s="2">
        <f>'rockfish harvests'!O4</f>
        <v>385.25060978736042</v>
      </c>
      <c r="N5">
        <f>'rockfish harvests'!P4</f>
        <v>45433.151217293431</v>
      </c>
      <c r="O5" s="27">
        <f t="shared" si="0"/>
        <v>0.743589744</v>
      </c>
      <c r="P5" s="27">
        <f t="shared" si="0"/>
        <v>9.828040000000001E-4</v>
      </c>
      <c r="Q5" s="13">
        <f t="shared" si="1"/>
        <v>286.46840230762723</v>
      </c>
      <c r="R5" s="2">
        <f t="shared" si="6"/>
        <v>25222.371228523116</v>
      </c>
      <c r="S5">
        <f t="shared" si="7"/>
        <v>158.81552577919803</v>
      </c>
      <c r="T5" s="6">
        <f t="shared" si="8"/>
        <v>311.27843052722812</v>
      </c>
      <c r="V5" s="13">
        <f t="shared" si="9"/>
        <v>1402.4684024516273</v>
      </c>
      <c r="W5">
        <f t="shared" si="2"/>
        <v>26415.717852331116</v>
      </c>
      <c r="X5">
        <f t="shared" si="10"/>
        <v>162.529129242518</v>
      </c>
      <c r="Y5" s="6">
        <f t="shared" si="11"/>
        <v>318.55709331533529</v>
      </c>
      <c r="Z5" s="14">
        <f t="shared" si="12"/>
        <v>0.11588790803301097</v>
      </c>
    </row>
    <row r="6" spans="1:29" x14ac:dyDescent="0.25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v>477</v>
      </c>
      <c r="F6" s="27">
        <f t="shared" si="3"/>
        <v>0.95081967199999995</v>
      </c>
      <c r="G6" s="27">
        <f t="shared" si="3"/>
        <v>7.7935999999999999E-4</v>
      </c>
      <c r="H6" s="7">
        <f t="shared" ref="H6:H54" si="14">E6*F6</f>
        <v>453.54098354399997</v>
      </c>
      <c r="I6">
        <f t="shared" si="13"/>
        <v>177.32700144</v>
      </c>
      <c r="J6">
        <f t="shared" si="4"/>
        <v>13.316418491471346</v>
      </c>
      <c r="K6" s="6">
        <f t="shared" si="5"/>
        <v>26.100180243283837</v>
      </c>
      <c r="M6" s="2">
        <f>'rockfish harvests'!O5</f>
        <v>145.96960073387947</v>
      </c>
      <c r="N6">
        <f>'rockfish harvests'!P5</f>
        <v>6522.4540899783578</v>
      </c>
      <c r="O6" s="27">
        <f t="shared" si="0"/>
        <v>0.82022471900000005</v>
      </c>
      <c r="P6" s="27">
        <f t="shared" si="0"/>
        <v>1.6756379999999999E-3</v>
      </c>
      <c r="Q6" s="13">
        <f t="shared" si="1"/>
        <v>119.72787474448849</v>
      </c>
      <c r="R6" s="2">
        <f t="shared" si="6"/>
        <v>4412.8759945136353</v>
      </c>
      <c r="S6">
        <f t="shared" si="7"/>
        <v>66.429481365683074</v>
      </c>
      <c r="T6" s="6">
        <f t="shared" si="8"/>
        <v>130.20178347673883</v>
      </c>
      <c r="V6" s="13">
        <f t="shared" si="9"/>
        <v>573.26885828848845</v>
      </c>
      <c r="W6">
        <f t="shared" si="2"/>
        <v>4590.2029959536358</v>
      </c>
      <c r="X6">
        <f t="shared" si="10"/>
        <v>67.751036862572334</v>
      </c>
      <c r="Y6" s="6">
        <f t="shared" si="11"/>
        <v>132.79203225064177</v>
      </c>
      <c r="Z6" s="14">
        <f t="shared" si="12"/>
        <v>0.11818370365493969</v>
      </c>
    </row>
    <row r="7" spans="1:29" x14ac:dyDescent="0.25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v>291</v>
      </c>
      <c r="F7" s="27">
        <f t="shared" si="3"/>
        <v>0.87719298199999995</v>
      </c>
      <c r="G7" s="27">
        <f t="shared" si="3"/>
        <v>1.923669E-3</v>
      </c>
      <c r="H7" s="7">
        <f t="shared" si="14"/>
        <v>255.26315776199999</v>
      </c>
      <c r="I7">
        <f t="shared" si="13"/>
        <v>162.89821458899999</v>
      </c>
      <c r="J7">
        <f t="shared" si="4"/>
        <v>12.763158487968408</v>
      </c>
      <c r="K7" s="6">
        <f t="shared" si="5"/>
        <v>25.015790636418078</v>
      </c>
      <c r="M7" s="2">
        <f>'rockfish harvests'!O6</f>
        <v>94.129929445212042</v>
      </c>
      <c r="N7">
        <f>'rockfish harvests'!P6</f>
        <v>2712.3245630524034</v>
      </c>
      <c r="O7" s="27">
        <f t="shared" si="0"/>
        <v>0.60843373499999998</v>
      </c>
      <c r="P7" s="27">
        <f t="shared" si="0"/>
        <v>1.443892E-3</v>
      </c>
      <c r="Q7" s="13">
        <f t="shared" si="1"/>
        <v>57.271824547636839</v>
      </c>
      <c r="R7" s="2">
        <f t="shared" si="6"/>
        <v>1012.9570164474101</v>
      </c>
      <c r="S7">
        <f t="shared" si="7"/>
        <v>31.826985663857801</v>
      </c>
      <c r="T7" s="6">
        <f t="shared" si="8"/>
        <v>62.380891901161291</v>
      </c>
      <c r="V7" s="13">
        <f t="shared" si="9"/>
        <v>312.5349823096368</v>
      </c>
      <c r="W7">
        <f t="shared" si="2"/>
        <v>1175.85523103641</v>
      </c>
      <c r="X7">
        <f t="shared" si="10"/>
        <v>34.29074555964641</v>
      </c>
      <c r="Y7" s="6">
        <f t="shared" si="11"/>
        <v>67.209861296906965</v>
      </c>
      <c r="Z7" s="14">
        <f t="shared" si="12"/>
        <v>0.10971810357431812</v>
      </c>
    </row>
    <row r="8" spans="1:29" x14ac:dyDescent="0.25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v>484</v>
      </c>
      <c r="F8" s="27">
        <f t="shared" si="3"/>
        <v>0.85869565199999998</v>
      </c>
      <c r="G8" s="27">
        <f t="shared" si="3"/>
        <v>1.3333780000000001E-3</v>
      </c>
      <c r="H8" s="7">
        <f t="shared" si="14"/>
        <v>415.60869556799997</v>
      </c>
      <c r="I8">
        <f t="shared" si="13"/>
        <v>312.35179676800004</v>
      </c>
      <c r="J8">
        <f t="shared" si="4"/>
        <v>17.673477212139101</v>
      </c>
      <c r="K8" s="6">
        <f t="shared" si="5"/>
        <v>34.64001533579264</v>
      </c>
      <c r="M8" s="2">
        <f>'rockfish harvests'!O7</f>
        <v>154.70049274039195</v>
      </c>
      <c r="N8">
        <f>'rockfish harvests'!P7</f>
        <v>7326.0450447481962</v>
      </c>
      <c r="O8" s="27">
        <f t="shared" si="0"/>
        <v>0.73262032099999996</v>
      </c>
      <c r="P8" s="27">
        <f t="shared" si="0"/>
        <v>1.05316E-3</v>
      </c>
      <c r="Q8" s="13">
        <f t="shared" si="1"/>
        <v>113.33672465032411</v>
      </c>
      <c r="R8" s="2">
        <f t="shared" si="6"/>
        <v>3949.6157093664697</v>
      </c>
      <c r="S8">
        <f t="shared" si="7"/>
        <v>62.845968123392531</v>
      </c>
      <c r="T8" s="6">
        <f t="shared" si="8"/>
        <v>123.17809752184935</v>
      </c>
      <c r="V8" s="13">
        <f t="shared" si="9"/>
        <v>528.9454202183241</v>
      </c>
      <c r="W8">
        <f t="shared" si="2"/>
        <v>4261.9675061344697</v>
      </c>
      <c r="X8">
        <f t="shared" si="10"/>
        <v>65.283746109843221</v>
      </c>
      <c r="Y8" s="6">
        <f t="shared" si="11"/>
        <v>127.95614237529271</v>
      </c>
      <c r="Z8" s="14">
        <f t="shared" si="12"/>
        <v>0.12342246215667606</v>
      </c>
    </row>
    <row r="9" spans="1:29" x14ac:dyDescent="0.25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v>338</v>
      </c>
      <c r="F9" s="27">
        <f t="shared" si="3"/>
        <v>0.77564102599999996</v>
      </c>
      <c r="G9" s="27">
        <f t="shared" si="3"/>
        <v>1.122723E-3</v>
      </c>
      <c r="H9" s="7">
        <f t="shared" si="14"/>
        <v>262.16666678799999</v>
      </c>
      <c r="I9">
        <f t="shared" si="13"/>
        <v>128.26436641199999</v>
      </c>
      <c r="J9">
        <f t="shared" si="4"/>
        <v>11.325385927728908</v>
      </c>
      <c r="K9" s="6">
        <f t="shared" si="5"/>
        <v>22.197756418348657</v>
      </c>
      <c r="M9" s="2">
        <f>'rockfish harvests'!O8</f>
        <v>127.68929559524418</v>
      </c>
      <c r="N9">
        <f>'rockfish harvests'!P8</f>
        <v>4991.087377424823</v>
      </c>
      <c r="O9" s="27">
        <f t="shared" si="0"/>
        <v>0.77966101700000001</v>
      </c>
      <c r="P9" s="27">
        <f t="shared" si="0"/>
        <v>1.4682880000000001E-3</v>
      </c>
      <c r="Q9" s="13">
        <f t="shared" si="1"/>
        <v>99.554366063801695</v>
      </c>
      <c r="R9" s="2">
        <f t="shared" si="6"/>
        <v>3050.5502101881202</v>
      </c>
      <c r="S9">
        <f t="shared" si="7"/>
        <v>55.231786230286993</v>
      </c>
      <c r="T9" s="6">
        <f t="shared" si="8"/>
        <v>108.2543010113625</v>
      </c>
      <c r="V9" s="13">
        <f t="shared" si="9"/>
        <v>361.72103285180168</v>
      </c>
      <c r="W9">
        <f t="shared" si="2"/>
        <v>3178.8145766001203</v>
      </c>
      <c r="X9">
        <f t="shared" si="10"/>
        <v>56.380977080927927</v>
      </c>
      <c r="Y9" s="6">
        <f t="shared" si="11"/>
        <v>110.50671507861874</v>
      </c>
      <c r="Z9" s="14">
        <f t="shared" si="12"/>
        <v>0.15586867215439862</v>
      </c>
    </row>
    <row r="10" spans="1:29" x14ac:dyDescent="0.25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v>1179</v>
      </c>
      <c r="F10" s="27">
        <f t="shared" si="3"/>
        <v>0.93277310899999999</v>
      </c>
      <c r="G10" s="27">
        <f t="shared" si="3"/>
        <v>5.3141899999999999E-4</v>
      </c>
      <c r="H10" s="7">
        <f t="shared" si="14"/>
        <v>1099.7394955110001</v>
      </c>
      <c r="I10">
        <f t="shared" si="13"/>
        <v>738.69419817899995</v>
      </c>
      <c r="J10">
        <f t="shared" si="4"/>
        <v>27.178929305235702</v>
      </c>
      <c r="K10" s="6">
        <f t="shared" si="5"/>
        <v>53.270701438261973</v>
      </c>
      <c r="M10" s="2">
        <f>'rockfish harvests'!O9</f>
        <v>377.8839196568656</v>
      </c>
      <c r="N10">
        <f>'rockfish harvests'!P9</f>
        <v>43712.235118346529</v>
      </c>
      <c r="O10" s="27">
        <f t="shared" si="0"/>
        <v>0.82183908000000006</v>
      </c>
      <c r="P10" s="27">
        <f t="shared" si="0"/>
        <v>8.4635600000000004E-4</v>
      </c>
      <c r="Q10" s="13">
        <f t="shared" si="1"/>
        <v>310.55977287759237</v>
      </c>
      <c r="R10" s="2">
        <f t="shared" si="6"/>
        <v>29607.95518163664</v>
      </c>
      <c r="S10">
        <f t="shared" si="7"/>
        <v>172.06962306472528</v>
      </c>
      <c r="T10" s="6">
        <f t="shared" si="8"/>
        <v>337.25646120686156</v>
      </c>
      <c r="V10" s="13">
        <f t="shared" si="9"/>
        <v>1410.2992683885925</v>
      </c>
      <c r="W10">
        <f t="shared" si="2"/>
        <v>30346.649379815641</v>
      </c>
      <c r="X10">
        <f t="shared" si="10"/>
        <v>174.20289716252034</v>
      </c>
      <c r="Y10" s="6">
        <f t="shared" si="11"/>
        <v>341.43767843853988</v>
      </c>
      <c r="Z10" s="14">
        <f t="shared" si="12"/>
        <v>0.12352193684505312</v>
      </c>
    </row>
    <row r="11" spans="1:29" x14ac:dyDescent="0.25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v>766</v>
      </c>
      <c r="F11" s="27">
        <f t="shared" si="3"/>
        <v>0.866071429</v>
      </c>
      <c r="G11" s="27">
        <f t="shared" si="3"/>
        <v>1.0449700000000001E-3</v>
      </c>
      <c r="H11" s="7">
        <f t="shared" si="14"/>
        <v>663.41071461399997</v>
      </c>
      <c r="I11">
        <f t="shared" si="13"/>
        <v>613.14241732000005</v>
      </c>
      <c r="J11">
        <f t="shared" si="4"/>
        <v>24.761712729938534</v>
      </c>
      <c r="K11" s="6">
        <f t="shared" si="5"/>
        <v>48.532956950679527</v>
      </c>
      <c r="M11" s="2">
        <f>'rockfish harvests'!O10</f>
        <v>252.37734706324954</v>
      </c>
      <c r="N11">
        <f>'rockfish harvests'!P10</f>
        <v>19497.859309067106</v>
      </c>
      <c r="O11" s="27">
        <f t="shared" si="0"/>
        <v>0.79807692299999999</v>
      </c>
      <c r="P11" s="27">
        <f t="shared" si="0"/>
        <v>1.564565E-3</v>
      </c>
      <c r="Q11" s="13">
        <f t="shared" si="1"/>
        <v>201.41653657914128</v>
      </c>
      <c r="R11" s="2">
        <f t="shared" si="6"/>
        <v>12487.85689344799</v>
      </c>
      <c r="S11">
        <f t="shared" si="7"/>
        <v>111.74908005638342</v>
      </c>
      <c r="T11" s="6">
        <f t="shared" si="8"/>
        <v>219.0281969105115</v>
      </c>
      <c r="V11" s="13">
        <f t="shared" si="9"/>
        <v>864.82725119314125</v>
      </c>
      <c r="W11">
        <f t="shared" si="2"/>
        <v>13100.999310767989</v>
      </c>
      <c r="X11">
        <f t="shared" si="10"/>
        <v>114.45959684870461</v>
      </c>
      <c r="Y11" s="6">
        <f t="shared" si="11"/>
        <v>224.34080982346103</v>
      </c>
      <c r="Z11" s="14">
        <f t="shared" si="12"/>
        <v>0.13234966485016836</v>
      </c>
    </row>
    <row r="12" spans="1:29" x14ac:dyDescent="0.25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v>2184</v>
      </c>
      <c r="F12" s="27">
        <f t="shared" si="3"/>
        <v>0.62025316500000005</v>
      </c>
      <c r="G12" s="27">
        <f t="shared" si="3"/>
        <v>3.0197330000000001E-3</v>
      </c>
      <c r="H12" s="7">
        <f t="shared" si="14"/>
        <v>1354.6329123600001</v>
      </c>
      <c r="I12">
        <f t="shared" si="13"/>
        <v>14403.691568448001</v>
      </c>
      <c r="J12">
        <f t="shared" si="4"/>
        <v>120.0153805495279</v>
      </c>
      <c r="K12" s="6">
        <f t="shared" si="5"/>
        <v>235.23014587707468</v>
      </c>
      <c r="M12" s="2">
        <f>'rockfish harvests'!O11</f>
        <v>678.82685350634074</v>
      </c>
      <c r="N12">
        <f>'rockfish harvests'!P11</f>
        <v>141060.11022920778</v>
      </c>
      <c r="O12" s="27">
        <f t="shared" si="0"/>
        <v>0.89411764699999996</v>
      </c>
      <c r="P12" s="27">
        <f t="shared" si="0"/>
        <v>1.127039E-3</v>
      </c>
      <c r="Q12" s="13">
        <f t="shared" si="1"/>
        <v>606.95106897750304</v>
      </c>
      <c r="R12" s="2">
        <f t="shared" si="6"/>
        <v>113130.35857759434</v>
      </c>
      <c r="S12">
        <f t="shared" si="7"/>
        <v>336.34856708122652</v>
      </c>
      <c r="T12" s="6">
        <f t="shared" si="8"/>
        <v>659.24319147920392</v>
      </c>
      <c r="V12" s="13">
        <f t="shared" si="9"/>
        <v>1961.5839813375032</v>
      </c>
      <c r="W12">
        <f t="shared" si="2"/>
        <v>127534.05014604234</v>
      </c>
      <c r="X12">
        <f t="shared" si="10"/>
        <v>357.11909798559128</v>
      </c>
      <c r="Y12" s="6">
        <f t="shared" si="11"/>
        <v>699.95343205175891</v>
      </c>
      <c r="Z12" s="14">
        <f t="shared" si="12"/>
        <v>0.18205649178583225</v>
      </c>
    </row>
    <row r="13" spans="1:29" x14ac:dyDescent="0.25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v>2069</v>
      </c>
      <c r="F13" s="27">
        <f t="shared" si="3"/>
        <v>0.82677165399999997</v>
      </c>
      <c r="G13" s="27">
        <f t="shared" si="3"/>
        <v>1.1366690000000001E-3</v>
      </c>
      <c r="H13" s="7">
        <f t="shared" si="14"/>
        <v>1710.5905521259999</v>
      </c>
      <c r="I13">
        <f t="shared" si="13"/>
        <v>4865.8083251090002</v>
      </c>
      <c r="J13">
        <f t="shared" si="4"/>
        <v>69.755346211663237</v>
      </c>
      <c r="K13" s="6">
        <f t="shared" si="5"/>
        <v>136.72047857485995</v>
      </c>
      <c r="M13" s="2">
        <f>'rockfish harvests'!O12</f>
        <v>728.48380179337983</v>
      </c>
      <c r="N13">
        <f>'rockfish harvests'!P12</f>
        <v>162452.3467972634</v>
      </c>
      <c r="O13" s="27">
        <f t="shared" si="0"/>
        <v>0.693333333</v>
      </c>
      <c r="P13" s="27">
        <f t="shared" si="0"/>
        <v>2.873273E-3</v>
      </c>
      <c r="Q13" s="13">
        <f t="shared" si="1"/>
        <v>505.08210233391543</v>
      </c>
      <c r="R13" s="2">
        <f t="shared" si="6"/>
        <v>79150.691482535694</v>
      </c>
      <c r="S13">
        <f t="shared" si="7"/>
        <v>281.33732685609937</v>
      </c>
      <c r="T13" s="6">
        <f t="shared" si="8"/>
        <v>551.4211606379547</v>
      </c>
      <c r="V13" s="13">
        <f t="shared" si="9"/>
        <v>2215.6726544599155</v>
      </c>
      <c r="W13">
        <f t="shared" si="2"/>
        <v>84016.499807644694</v>
      </c>
      <c r="X13">
        <f t="shared" si="10"/>
        <v>289.85599839859219</v>
      </c>
      <c r="Y13" s="6">
        <f t="shared" si="11"/>
        <v>568.11775686124065</v>
      </c>
      <c r="Z13" s="14">
        <f t="shared" si="12"/>
        <v>0.13082076804763673</v>
      </c>
    </row>
    <row r="14" spans="1:29" x14ac:dyDescent="0.25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v>3206</v>
      </c>
      <c r="F14" s="27">
        <f t="shared" si="3"/>
        <v>0.73611111100000004</v>
      </c>
      <c r="G14" s="27">
        <f t="shared" si="3"/>
        <v>2.7359369999999999E-3</v>
      </c>
      <c r="H14" s="7">
        <f t="shared" si="14"/>
        <v>2359.9722218659999</v>
      </c>
      <c r="I14">
        <f t="shared" si="13"/>
        <v>28121.153354531998</v>
      </c>
      <c r="J14">
        <f t="shared" si="4"/>
        <v>167.69362943932009</v>
      </c>
      <c r="K14" s="6">
        <f t="shared" si="5"/>
        <v>328.67951370106738</v>
      </c>
      <c r="M14" s="2">
        <f>'rockfish harvests'!O13</f>
        <v>1026.6983318908196</v>
      </c>
      <c r="N14">
        <f>'rockfish harvests'!P13</f>
        <v>322679.89242321515</v>
      </c>
      <c r="O14" s="27">
        <f t="shared" si="0"/>
        <v>0.55882352899999999</v>
      </c>
      <c r="P14" s="27">
        <f t="shared" si="0"/>
        <v>3.6796979999999999E-3</v>
      </c>
      <c r="Q14" s="13">
        <f t="shared" si="1"/>
        <v>573.7431850456411</v>
      </c>
      <c r="R14" s="2">
        <f t="shared" si="6"/>
        <v>103459.12245427057</v>
      </c>
      <c r="S14">
        <f t="shared" si="7"/>
        <v>321.65062172218876</v>
      </c>
      <c r="T14" s="6">
        <f t="shared" si="8"/>
        <v>630.43521857549001</v>
      </c>
      <c r="V14" s="13">
        <f t="shared" si="9"/>
        <v>2933.7154069116409</v>
      </c>
      <c r="W14">
        <f t="shared" si="2"/>
        <v>131580.27580880257</v>
      </c>
      <c r="X14">
        <f t="shared" si="10"/>
        <v>362.73995617908236</v>
      </c>
      <c r="Y14" s="6">
        <f t="shared" si="11"/>
        <v>710.97031411100136</v>
      </c>
      <c r="Z14" s="14">
        <f t="shared" si="12"/>
        <v>0.12364524361309581</v>
      </c>
    </row>
    <row r="15" spans="1:29" x14ac:dyDescent="0.25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v>1971</v>
      </c>
      <c r="F15" s="27">
        <f>F165</f>
        <v>0.53535353500000005</v>
      </c>
      <c r="G15" s="27">
        <f t="shared" si="3"/>
        <v>2.5382669999999999E-3</v>
      </c>
      <c r="H15" s="7">
        <f t="shared" si="14"/>
        <v>1055.181817485</v>
      </c>
      <c r="I15">
        <f t="shared" si="13"/>
        <v>9860.7637105470003</v>
      </c>
      <c r="J15">
        <f t="shared" si="4"/>
        <v>99.301378190571953</v>
      </c>
      <c r="K15" s="6">
        <f t="shared" si="5"/>
        <v>194.63070125352101</v>
      </c>
      <c r="M15" s="2">
        <f>'rockfish harvests'!O14</f>
        <v>827.25201761705193</v>
      </c>
      <c r="N15">
        <f>'rockfish harvests'!P14</f>
        <v>209489.30732140518</v>
      </c>
      <c r="O15" s="27">
        <f t="shared" si="0"/>
        <v>0.74806438500000005</v>
      </c>
      <c r="P15" s="27">
        <f t="shared" si="0"/>
        <v>6.3493509999999996E-3</v>
      </c>
      <c r="Q15" s="13">
        <f t="shared" si="1"/>
        <v>618.83777179870913</v>
      </c>
      <c r="R15" s="2">
        <f t="shared" si="6"/>
        <v>120245.31545939694</v>
      </c>
      <c r="S15">
        <f t="shared" si="7"/>
        <v>346.76406310256107</v>
      </c>
      <c r="T15" s="6">
        <f t="shared" si="8"/>
        <v>679.65756368101972</v>
      </c>
      <c r="V15" s="13">
        <f t="shared" si="9"/>
        <v>1674.0195892837091</v>
      </c>
      <c r="W15">
        <f t="shared" si="2"/>
        <v>130106.07916994394</v>
      </c>
      <c r="X15">
        <f t="shared" si="10"/>
        <v>360.70220289033989</v>
      </c>
      <c r="Y15" s="6">
        <f t="shared" si="11"/>
        <v>706.97631766506618</v>
      </c>
      <c r="Z15" s="14">
        <f t="shared" si="12"/>
        <v>0.21547071802467951</v>
      </c>
    </row>
    <row r="16" spans="1:29" x14ac:dyDescent="0.25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v>2565</v>
      </c>
      <c r="F16" s="27">
        <f t="shared" si="3"/>
        <v>0.862318841</v>
      </c>
      <c r="G16" s="27">
        <f t="shared" si="3"/>
        <v>8.6660600000000002E-4</v>
      </c>
      <c r="H16" s="7">
        <f>E16*F16</f>
        <v>2211.8478271650001</v>
      </c>
      <c r="I16">
        <f t="shared" si="13"/>
        <v>5701.5958603500003</v>
      </c>
      <c r="J16">
        <f t="shared" si="4"/>
        <v>75.508912456411394</v>
      </c>
      <c r="K16" s="6">
        <f t="shared" si="5"/>
        <v>147.99746841456633</v>
      </c>
      <c r="M16" s="2">
        <f>'rockfish harvests'!O15</f>
        <v>852.74081958488568</v>
      </c>
      <c r="N16">
        <f>'rockfish harvests'!P15</f>
        <v>200039.3867927817</v>
      </c>
      <c r="O16" s="27">
        <f t="shared" si="0"/>
        <v>0.71830985899999999</v>
      </c>
      <c r="P16" s="27">
        <f t="shared" si="0"/>
        <v>2.890583E-3</v>
      </c>
      <c r="Q16" s="13">
        <f t="shared" si="1"/>
        <v>612.53213787956372</v>
      </c>
      <c r="R16" s="2">
        <f t="shared" si="6"/>
        <v>104737.838917592</v>
      </c>
      <c r="S16">
        <f t="shared" si="7"/>
        <v>323.63225877157549</v>
      </c>
      <c r="T16" s="6">
        <f t="shared" si="8"/>
        <v>634.31922719228794</v>
      </c>
      <c r="V16" s="13">
        <f t="shared" si="9"/>
        <v>2824.379965044564</v>
      </c>
      <c r="W16">
        <f t="shared" si="2"/>
        <v>110439.43477794201</v>
      </c>
      <c r="X16">
        <f t="shared" si="10"/>
        <v>332.32429158570699</v>
      </c>
      <c r="Y16" s="6">
        <f t="shared" si="11"/>
        <v>651.35561150798571</v>
      </c>
      <c r="Z16" s="14">
        <f t="shared" si="12"/>
        <v>0.11766274215886653</v>
      </c>
    </row>
    <row r="17" spans="1:28" x14ac:dyDescent="0.25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v>2461</v>
      </c>
      <c r="F17" s="27">
        <f t="shared" si="3"/>
        <v>0.75524475499999999</v>
      </c>
      <c r="G17" s="27">
        <f t="shared" si="3"/>
        <v>1.301761E-3</v>
      </c>
      <c r="H17" s="7">
        <f t="shared" si="14"/>
        <v>1858.6573420550001</v>
      </c>
      <c r="I17">
        <f t="shared" si="13"/>
        <v>7884.1428334809998</v>
      </c>
      <c r="J17">
        <f t="shared" si="4"/>
        <v>88.792695834066208</v>
      </c>
      <c r="K17" s="6">
        <f t="shared" si="5"/>
        <v>174.03368383476976</v>
      </c>
      <c r="M17" s="2">
        <f>'rockfish harvests'!O16</f>
        <v>1110.7541899441339</v>
      </c>
      <c r="N17">
        <f>'rockfish harvests'!P16</f>
        <v>261396.56419933448</v>
      </c>
      <c r="O17" s="27">
        <f t="shared" si="0"/>
        <v>0.74509803900000005</v>
      </c>
      <c r="P17" s="27">
        <f t="shared" si="0"/>
        <v>1.2495189999999999E-3</v>
      </c>
      <c r="Q17" s="13">
        <f t="shared" si="1"/>
        <v>827.62076873840772</v>
      </c>
      <c r="R17" s="2">
        <f t="shared" si="6"/>
        <v>146334.82004212905</v>
      </c>
      <c r="S17">
        <f t="shared" si="7"/>
        <v>382.5373446372642</v>
      </c>
      <c r="T17" s="6">
        <f t="shared" si="8"/>
        <v>749.77319548903779</v>
      </c>
      <c r="V17" s="13">
        <f t="shared" si="9"/>
        <v>2686.2781107934079</v>
      </c>
      <c r="W17">
        <f t="shared" si="2"/>
        <v>154218.96287561004</v>
      </c>
      <c r="X17">
        <f t="shared" si="10"/>
        <v>392.70722284624463</v>
      </c>
      <c r="Y17" s="6">
        <f t="shared" si="11"/>
        <v>769.70615677863941</v>
      </c>
      <c r="Z17" s="14">
        <f t="shared" si="12"/>
        <v>0.14619008406774989</v>
      </c>
    </row>
    <row r="18" spans="1:28" x14ac:dyDescent="0.25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v>2014</v>
      </c>
      <c r="F18" s="27">
        <f t="shared" si="3"/>
        <v>0.53982300900000002</v>
      </c>
      <c r="G18" s="27">
        <f t="shared" si="3"/>
        <v>5.5080699999999995E-4</v>
      </c>
      <c r="H18" s="7">
        <f t="shared" si="14"/>
        <v>1087.203540126</v>
      </c>
      <c r="I18">
        <f t="shared" si="13"/>
        <v>2234.1811501719999</v>
      </c>
      <c r="J18">
        <f t="shared" si="4"/>
        <v>47.267125469738481</v>
      </c>
      <c r="K18" s="6">
        <f t="shared" si="5"/>
        <v>92.643565920687422</v>
      </c>
      <c r="M18" s="2">
        <f>'rockfish harvests'!O17</f>
        <v>731.12895692786697</v>
      </c>
      <c r="N18">
        <f>'rockfish harvests'!P17</f>
        <v>125971.00775365347</v>
      </c>
      <c r="O18" s="27">
        <f t="shared" si="0"/>
        <v>0.66871165600000004</v>
      </c>
      <c r="P18" s="27">
        <f t="shared" si="0"/>
        <v>1.3675079999999999E-3</v>
      </c>
      <c r="Q18" s="13">
        <f t="shared" si="1"/>
        <v>488.91445553678665</v>
      </c>
      <c r="R18" s="2">
        <f t="shared" si="6"/>
        <v>56889.854949226108</v>
      </c>
      <c r="S18">
        <f t="shared" si="7"/>
        <v>238.5159427569279</v>
      </c>
      <c r="T18" s="6">
        <f t="shared" si="8"/>
        <v>467.49124780357869</v>
      </c>
      <c r="V18" s="13">
        <f t="shared" si="9"/>
        <v>1576.1179956627866</v>
      </c>
      <c r="W18">
        <f t="shared" si="2"/>
        <v>59124.036099398108</v>
      </c>
      <c r="X18">
        <f t="shared" si="10"/>
        <v>243.15434624821762</v>
      </c>
      <c r="Y18" s="6">
        <f t="shared" si="11"/>
        <v>476.58251864650651</v>
      </c>
      <c r="Z18" s="14">
        <f t="shared" si="12"/>
        <v>0.15427420213292264</v>
      </c>
    </row>
    <row r="19" spans="1:28" x14ac:dyDescent="0.25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v>2263</v>
      </c>
      <c r="F19" s="27">
        <f t="shared" si="3"/>
        <v>0.81493506500000001</v>
      </c>
      <c r="G19" s="27">
        <f t="shared" si="3"/>
        <v>4.9125700000000004E-4</v>
      </c>
      <c r="H19" s="7">
        <f t="shared" si="14"/>
        <v>1844.1980520950001</v>
      </c>
      <c r="I19">
        <f t="shared" si="13"/>
        <v>2515.8101194330002</v>
      </c>
      <c r="J19">
        <f t="shared" si="4"/>
        <v>50.157852021722384</v>
      </c>
      <c r="K19" s="6">
        <f t="shared" si="5"/>
        <v>98.309389962575864</v>
      </c>
      <c r="M19" s="2">
        <f>'rockfish harvests'!O18</f>
        <v>1234.1607301869994</v>
      </c>
      <c r="N19">
        <f>'rockfish harvests'!P18</f>
        <v>268862.96198516607</v>
      </c>
      <c r="O19" s="27">
        <f t="shared" si="0"/>
        <v>0.77777777800000003</v>
      </c>
      <c r="P19" s="27">
        <f t="shared" si="0"/>
        <v>1.382716E-3</v>
      </c>
      <c r="Q19" s="13">
        <f t="shared" si="1"/>
        <v>959.902790419702</v>
      </c>
      <c r="R19" s="2">
        <f t="shared" si="6"/>
        <v>164379.82211519263</v>
      </c>
      <c r="S19">
        <f t="shared" si="7"/>
        <v>405.43781534927479</v>
      </c>
      <c r="T19" s="6">
        <f t="shared" si="8"/>
        <v>794.65811808457852</v>
      </c>
      <c r="V19" s="13">
        <f t="shared" si="9"/>
        <v>2804.100842514702</v>
      </c>
      <c r="W19">
        <f t="shared" si="2"/>
        <v>166895.63223462563</v>
      </c>
      <c r="X19">
        <f t="shared" si="10"/>
        <v>408.52861862374544</v>
      </c>
      <c r="Y19" s="6">
        <f t="shared" si="11"/>
        <v>800.71609250254107</v>
      </c>
      <c r="Z19" s="14">
        <f t="shared" si="12"/>
        <v>0.14568970289149061</v>
      </c>
    </row>
    <row r="20" spans="1:28" x14ac:dyDescent="0.25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v>3289</v>
      </c>
      <c r="F20" s="27">
        <f t="shared" si="3"/>
        <v>0.699029126</v>
      </c>
      <c r="G20" s="27">
        <f t="shared" si="3"/>
        <v>2.0626220000000001E-3</v>
      </c>
      <c r="H20" s="7">
        <f t="shared" si="14"/>
        <v>2299.1067954139999</v>
      </c>
      <c r="I20">
        <f t="shared" si="13"/>
        <v>22312.456800062002</v>
      </c>
      <c r="J20">
        <f t="shared" si="4"/>
        <v>149.37354785925788</v>
      </c>
      <c r="K20" s="6">
        <f t="shared" si="5"/>
        <v>292.77215380414543</v>
      </c>
      <c r="M20" s="2">
        <f>'rockfish harvests'!O19</f>
        <v>1736.4958972529439</v>
      </c>
      <c r="N20">
        <f>'rockfish harvests'!P19</f>
        <v>1075446.4405794584</v>
      </c>
      <c r="O20" s="27">
        <f t="shared" si="0"/>
        <v>0.73157894700000003</v>
      </c>
      <c r="P20" s="27">
        <f t="shared" si="0"/>
        <v>5.1813E-4</v>
      </c>
      <c r="Q20" s="13">
        <f t="shared" si="1"/>
        <v>1270.3838399821288</v>
      </c>
      <c r="R20" s="2">
        <f t="shared" si="6"/>
        <v>576592.4332959255</v>
      </c>
      <c r="S20">
        <f t="shared" si="7"/>
        <v>759.33683783675701</v>
      </c>
      <c r="T20" s="6">
        <f t="shared" si="8"/>
        <v>1488.3002021600437</v>
      </c>
      <c r="V20" s="13">
        <f t="shared" si="9"/>
        <v>3569.4906353961287</v>
      </c>
      <c r="W20">
        <f t="shared" si="2"/>
        <v>598904.89009598747</v>
      </c>
      <c r="X20">
        <f t="shared" si="10"/>
        <v>773.8894559922544</v>
      </c>
      <c r="Y20" s="6">
        <f t="shared" si="11"/>
        <v>1516.8233337448187</v>
      </c>
      <c r="Z20" s="14">
        <f t="shared" si="12"/>
        <v>0.21680669177785111</v>
      </c>
    </row>
    <row r="21" spans="1:28" x14ac:dyDescent="0.25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v>4527</v>
      </c>
      <c r="F21" s="27">
        <f t="shared" si="3"/>
        <v>0.54517134</v>
      </c>
      <c r="G21" s="27">
        <f t="shared" si="3"/>
        <v>7.7487400000000005E-4</v>
      </c>
      <c r="H21" s="7">
        <f t="shared" si="14"/>
        <v>2467.9906561799999</v>
      </c>
      <c r="I21">
        <f t="shared" si="13"/>
        <v>15880.057765146001</v>
      </c>
      <c r="J21">
        <f t="shared" si="4"/>
        <v>126.01610121387664</v>
      </c>
      <c r="K21" s="6">
        <f t="shared" si="5"/>
        <v>246.99155837919821</v>
      </c>
      <c r="M21" s="2">
        <f>'rockfish harvests'!O20</f>
        <v>467.58654422040308</v>
      </c>
      <c r="N21">
        <f>'rockfish harvests'!P20</f>
        <v>63684.114088437818</v>
      </c>
      <c r="O21" s="27">
        <f t="shared" si="0"/>
        <v>0.83437499999999998</v>
      </c>
      <c r="P21" s="27">
        <f t="shared" si="0"/>
        <v>4.3320799999999998E-4</v>
      </c>
      <c r="Q21" s="13">
        <f t="shared" si="1"/>
        <v>390.14252283389879</v>
      </c>
      <c r="R21" s="2">
        <f t="shared" si="6"/>
        <v>44402.837934028452</v>
      </c>
      <c r="S21">
        <f t="shared" si="7"/>
        <v>210.71980906888763</v>
      </c>
      <c r="T21" s="6">
        <f t="shared" si="8"/>
        <v>413.01082577501973</v>
      </c>
      <c r="V21" s="13">
        <f t="shared" si="9"/>
        <v>2858.1331790138988</v>
      </c>
      <c r="W21">
        <f t="shared" si="2"/>
        <v>60282.895699174449</v>
      </c>
      <c r="X21">
        <f t="shared" si="10"/>
        <v>245.525753637321</v>
      </c>
      <c r="Y21" s="6">
        <f t="shared" si="11"/>
        <v>481.23047712914916</v>
      </c>
      <c r="Z21" s="14">
        <f t="shared" si="12"/>
        <v>8.5904238276969053E-2</v>
      </c>
    </row>
    <row r="22" spans="1:28" x14ac:dyDescent="0.25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v>4217</v>
      </c>
      <c r="F22" s="27">
        <f t="shared" si="3"/>
        <v>0.62343096200000003</v>
      </c>
      <c r="G22" s="27">
        <f t="shared" si="3"/>
        <v>9.8640699999999991E-4</v>
      </c>
      <c r="H22" s="7">
        <f t="shared" si="14"/>
        <v>2629.0083667540002</v>
      </c>
      <c r="I22">
        <f t="shared" si="13"/>
        <v>17541.363471222998</v>
      </c>
      <c r="J22">
        <f t="shared" si="4"/>
        <v>132.44381250637193</v>
      </c>
      <c r="K22" s="6">
        <f t="shared" si="5"/>
        <v>259.58987251248897</v>
      </c>
      <c r="M22" s="2">
        <f>'rockfish harvests'!O21</f>
        <v>537.74758244483019</v>
      </c>
      <c r="N22">
        <f>'rockfish harvests'!P21</f>
        <v>89663.784684390819</v>
      </c>
      <c r="O22" s="27">
        <f t="shared" si="0"/>
        <v>0.712121212</v>
      </c>
      <c r="P22" s="27">
        <f t="shared" si="0"/>
        <v>6.2311400000000002E-4</v>
      </c>
      <c r="Q22" s="13">
        <f t="shared" si="1"/>
        <v>382.94146016068242</v>
      </c>
      <c r="R22" s="2">
        <f t="shared" si="6"/>
        <v>45594.312127814141</v>
      </c>
      <c r="S22">
        <f t="shared" si="7"/>
        <v>213.52824667433146</v>
      </c>
      <c r="T22" s="6">
        <f t="shared" si="8"/>
        <v>418.51536348168963</v>
      </c>
      <c r="V22" s="13">
        <f t="shared" si="9"/>
        <v>3011.9498269146825</v>
      </c>
      <c r="W22">
        <f t="shared" si="2"/>
        <v>63135.675599037138</v>
      </c>
      <c r="X22">
        <f t="shared" si="10"/>
        <v>251.26813486599755</v>
      </c>
      <c r="Y22" s="6">
        <f t="shared" si="11"/>
        <v>492.48554433735518</v>
      </c>
      <c r="Z22" s="14">
        <f t="shared" si="12"/>
        <v>8.3423745183493409E-2</v>
      </c>
    </row>
    <row r="23" spans="1:28" x14ac:dyDescent="0.25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v>5092</v>
      </c>
      <c r="F23" s="43">
        <f>[1]species_comp_Region2_forR!AD$27</f>
        <v>0.55421686699999995</v>
      </c>
      <c r="G23" s="43">
        <f>[1]species_comp_Region2_forR!AE$27</f>
        <v>3.0129330000000002E-3</v>
      </c>
      <c r="H23" s="7">
        <f>E23*F23</f>
        <v>2822.0722867639997</v>
      </c>
      <c r="I23">
        <f t="shared" si="13"/>
        <v>78120.724824912002</v>
      </c>
      <c r="J23">
        <f t="shared" si="4"/>
        <v>279.50084941715653</v>
      </c>
      <c r="K23" s="6">
        <f t="shared" si="5"/>
        <v>547.82166485762684</v>
      </c>
      <c r="M23" s="2">
        <f>'rockfish harvests'!O22</f>
        <v>1496.4016172506736</v>
      </c>
      <c r="N23">
        <f>'rockfish harvests'!P22</f>
        <v>412259.26032139536</v>
      </c>
      <c r="O23" s="27">
        <f>O173</f>
        <v>0.75919732399999995</v>
      </c>
      <c r="P23" s="27">
        <f t="shared" si="0"/>
        <v>6.13479E-4</v>
      </c>
      <c r="Q23" s="13">
        <f>M23*O23</f>
        <v>1136.0641034459836</v>
      </c>
      <c r="R23" s="2">
        <f>(M23^2)*P23+(O23^2)*N23-(P23*N23)</f>
        <v>238739.03094033981</v>
      </c>
      <c r="S23">
        <f t="shared" si="7"/>
        <v>488.60928249506253</v>
      </c>
      <c r="T23" s="6">
        <f>(1.96*S23)</f>
        <v>957.67419369032257</v>
      </c>
      <c r="V23" s="13">
        <f>Q23+H23</f>
        <v>3958.1363902099833</v>
      </c>
      <c r="W23" s="2">
        <f>R23+I23</f>
        <v>316859.75576525182</v>
      </c>
      <c r="X23">
        <f>SQRT(W23)</f>
        <v>562.90297189236071</v>
      </c>
      <c r="Y23" s="6">
        <f t="shared" si="11"/>
        <v>1103.2898249090269</v>
      </c>
      <c r="Z23" s="14">
        <f t="shared" si="12"/>
        <v>0.14221414231319557</v>
      </c>
    </row>
    <row r="24" spans="1:28" x14ac:dyDescent="0.25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v>5762</v>
      </c>
      <c r="F24" s="27">
        <f>F174</f>
        <v>0.792626728</v>
      </c>
      <c r="G24" s="27">
        <f t="shared" si="3"/>
        <v>7.6097000000000003E-4</v>
      </c>
      <c r="H24" s="7">
        <f>E24*F24</f>
        <v>4567.1152067359999</v>
      </c>
      <c r="I24">
        <f>(E24^2)*G24</f>
        <v>25264.694064679999</v>
      </c>
      <c r="J24">
        <f>SQRT(I24)</f>
        <v>158.94871520298614</v>
      </c>
      <c r="K24" s="6">
        <f>(1.96*J24)</f>
        <v>311.53948179785283</v>
      </c>
      <c r="M24" s="2">
        <f>'rockfish harvests'!O23</f>
        <v>4435.3764258555148</v>
      </c>
      <c r="N24">
        <f>'rockfish harvests'!P23</f>
        <v>3560251.2769631236</v>
      </c>
      <c r="O24" s="27">
        <f t="shared" si="0"/>
        <v>0.78749999999999998</v>
      </c>
      <c r="P24" s="27">
        <f t="shared" si="0"/>
        <v>7.0018299999999995E-4</v>
      </c>
      <c r="Q24" s="13">
        <f>M24*O24</f>
        <v>3492.8589353612178</v>
      </c>
      <c r="R24" s="2">
        <f>(M24^2)*P24+(O24^2)*N24-(P24*N24)</f>
        <v>2219193.6484658476</v>
      </c>
      <c r="S24">
        <f>SQRT(R24)</f>
        <v>1489.6958241419111</v>
      </c>
      <c r="T24" s="6">
        <f>(1.96*S24)</f>
        <v>2919.8038153181456</v>
      </c>
      <c r="V24" s="13">
        <f>Q24+H24</f>
        <v>8059.9741420972177</v>
      </c>
      <c r="W24">
        <f>R24+I24</f>
        <v>2244458.3425305276</v>
      </c>
      <c r="X24">
        <f>SQRT(W24)</f>
        <v>1498.1516420344528</v>
      </c>
      <c r="Y24" s="6">
        <f>(1.96*X24)</f>
        <v>2936.3772183875276</v>
      </c>
      <c r="Z24" s="14">
        <f t="shared" si="12"/>
        <v>0.18587548987404462</v>
      </c>
    </row>
    <row r="25" spans="1:28" x14ac:dyDescent="0.25">
      <c r="A25" t="str">
        <f>'rockfish harvests'!A24</f>
        <v>SC</v>
      </c>
      <c r="B25">
        <f>'rockfish harvests'!B24</f>
        <v>2020</v>
      </c>
      <c r="C25" t="str">
        <f>'rockfish harvests'!C24</f>
        <v>AFOGNAK</v>
      </c>
      <c r="D25">
        <f>'rockfish harvests'!D24</f>
        <v>5835</v>
      </c>
      <c r="E25">
        <v>5004</v>
      </c>
      <c r="F25" s="27">
        <f>F175</f>
        <v>0.743243243</v>
      </c>
      <c r="G25" s="27">
        <f t="shared" si="3"/>
        <v>2.6141469999999998E-3</v>
      </c>
      <c r="H25" s="7">
        <f t="shared" ref="H25" si="15">E25*F25</f>
        <v>3719.1891879720001</v>
      </c>
      <c r="I25">
        <f t="shared" ref="I25:I26" si="16">(E25^2)*G25</f>
        <v>65458.282706351994</v>
      </c>
      <c r="J25">
        <f t="shared" ref="J25:J26" si="17">SQRT(I25)</f>
        <v>255.84816338280015</v>
      </c>
      <c r="K25" s="6">
        <f t="shared" ref="K25:K26" si="18">(1.96*J25)</f>
        <v>501.46240023028827</v>
      </c>
      <c r="M25" s="2">
        <f>'rockfish harvests'!O24</f>
        <v>1752.4199820520489</v>
      </c>
      <c r="N25">
        <f>'rockfish harvests'!P24</f>
        <v>564645.39156800637</v>
      </c>
      <c r="O25" s="27">
        <f>O175</f>
        <v>0.72222222199999997</v>
      </c>
      <c r="P25" s="27">
        <f t="shared" si="0"/>
        <v>1.8749280000000001E-3</v>
      </c>
      <c r="Q25" s="13">
        <f t="shared" ref="Q25" si="19">M25*O25</f>
        <v>1265.6366533148309</v>
      </c>
      <c r="R25" s="2">
        <f t="shared" ref="R25" si="20">(M25^2)*P25+(O25^2)*N25-(P25*N25)</f>
        <v>299221.01348075672</v>
      </c>
      <c r="S25">
        <f t="shared" ref="S25:S26" si="21">SQRT(R25)</f>
        <v>547.01098113361195</v>
      </c>
      <c r="T25" s="6">
        <f t="shared" ref="T25" si="22">(1.96*S25)</f>
        <v>1072.1415230218795</v>
      </c>
      <c r="V25" s="13">
        <f t="shared" ref="V25" si="23">Q25+H25</f>
        <v>4984.8258412868308</v>
      </c>
      <c r="W25">
        <f t="shared" ref="W25" si="24">R25+I25</f>
        <v>364679.29618710873</v>
      </c>
      <c r="X25">
        <f t="shared" ref="X25" si="25">SQRT(W25)</f>
        <v>603.88682398865831</v>
      </c>
      <c r="Y25" s="6">
        <f t="shared" ref="Y25:Y26" si="26">(1.96*X25)</f>
        <v>1183.6181750177702</v>
      </c>
      <c r="Z25" s="14">
        <f t="shared" ref="Z25:Z26" si="27">X25/V25</f>
        <v>0.1211450195485195</v>
      </c>
    </row>
    <row r="26" spans="1:28" x14ac:dyDescent="0.25">
      <c r="A26" t="str">
        <f>'rockfish harvests'!A25</f>
        <v>SC</v>
      </c>
      <c r="B26">
        <f>'rockfish harvests'!B25</f>
        <v>2021</v>
      </c>
      <c r="C26" t="str">
        <f>'rockfish harvests'!C25</f>
        <v>AFOGNAK</v>
      </c>
      <c r="D26">
        <f>'rockfish harvests'!D25</f>
        <v>9007</v>
      </c>
      <c r="E26">
        <v>7930</v>
      </c>
      <c r="F26" s="43">
        <v>0.1875</v>
      </c>
      <c r="G26" s="43">
        <v>1.603618E-3</v>
      </c>
      <c r="H26" s="7">
        <f>E26*F26</f>
        <v>1486.875</v>
      </c>
      <c r="I26">
        <f t="shared" si="16"/>
        <v>100843.35756819999</v>
      </c>
      <c r="J26">
        <f t="shared" si="17"/>
        <v>317.55843173847546</v>
      </c>
      <c r="K26" s="6">
        <f t="shared" si="18"/>
        <v>622.41452620741188</v>
      </c>
      <c r="M26" s="2">
        <f>'rockfish harvests'!O25</f>
        <v>1406.6827148896191</v>
      </c>
      <c r="N26">
        <f>'rockfish harvests'!P25</f>
        <v>336808.63980312884</v>
      </c>
      <c r="O26" s="27">
        <f>O176</f>
        <v>0.89705882400000003</v>
      </c>
      <c r="P26" s="27">
        <f t="shared" si="0"/>
        <v>4.5489800000000002E-4</v>
      </c>
      <c r="Q26" s="13">
        <f>M26*O26</f>
        <v>1261.8771419600091</v>
      </c>
      <c r="R26" s="2">
        <f>(M26^2)*P26+(O26^2)*N26-(P26*N26)</f>
        <v>271781.72621948383</v>
      </c>
      <c r="S26">
        <f t="shared" si="21"/>
        <v>521.3268899831312</v>
      </c>
      <c r="T26" s="6">
        <f>(1.96*S26)</f>
        <v>1021.8007043669371</v>
      </c>
      <c r="V26" s="13">
        <f>Q26+H26</f>
        <v>2748.7521419600089</v>
      </c>
      <c r="W26" s="2">
        <f>R26+I26</f>
        <v>372625.0837876838</v>
      </c>
      <c r="X26">
        <f>SQRT(W26)</f>
        <v>610.43024481727957</v>
      </c>
      <c r="Y26" s="6">
        <f t="shared" si="26"/>
        <v>1196.4432798418679</v>
      </c>
      <c r="Z26" s="14">
        <f t="shared" si="27"/>
        <v>0.22207540487153921</v>
      </c>
    </row>
    <row r="27" spans="1:28" s="51" customFormat="1" x14ac:dyDescent="0.25">
      <c r="A27" s="51" t="s">
        <v>81</v>
      </c>
      <c r="B27" s="51">
        <v>2022</v>
      </c>
      <c r="C27" s="51" t="s">
        <v>45</v>
      </c>
      <c r="D27">
        <f>'rockfish harvests'!D26</f>
        <v>9241</v>
      </c>
      <c r="E27" s="51">
        <v>8311</v>
      </c>
      <c r="F27" s="27">
        <f>F177</f>
        <v>0.905511811</v>
      </c>
      <c r="G27" s="27">
        <f t="shared" si="3"/>
        <v>6.7904900000000004E-4</v>
      </c>
      <c r="H27" s="7">
        <f>E27*F27</f>
        <v>7525.7086612209996</v>
      </c>
      <c r="I27">
        <f t="shared" ref="I27" si="28">(E27^2)*G27</f>
        <v>46903.762122329004</v>
      </c>
      <c r="J27">
        <f t="shared" ref="J27" si="29">SQRT(I27)</f>
        <v>216.57276403631414</v>
      </c>
      <c r="K27" s="6">
        <f t="shared" ref="K27" si="30">(1.96*J27)</f>
        <v>424.4826175111757</v>
      </c>
      <c r="M27" s="2">
        <f>'rockfish harvests'!O26</f>
        <v>3527.878214229373</v>
      </c>
      <c r="N27">
        <f>'rockfish harvests'!P26</f>
        <v>2029671.2150868119</v>
      </c>
      <c r="O27" s="27">
        <f>O177</f>
        <v>0.946428571</v>
      </c>
      <c r="P27" s="27">
        <f t="shared" ref="P27" si="31">P177</f>
        <v>4.5677100000000002E-4</v>
      </c>
      <c r="Q27" s="13">
        <f>M27*O27</f>
        <v>3338.8847369551372</v>
      </c>
      <c r="R27" s="2">
        <f>(M27^2)*P27+(O27^2)*N27-(P27*N27)</f>
        <v>1822789.232191284</v>
      </c>
      <c r="S27">
        <f t="shared" ref="S27" si="32">SQRT(R27)</f>
        <v>1350.1071187840184</v>
      </c>
      <c r="T27" s="6">
        <f>(1.96*S27)</f>
        <v>2646.2099528166759</v>
      </c>
      <c r="V27" s="13">
        <f>Q27+H27</f>
        <v>10864.593398176137</v>
      </c>
      <c r="W27" s="2">
        <f>R27+I27</f>
        <v>1869692.994313613</v>
      </c>
      <c r="X27">
        <f>SQRT(W27)</f>
        <v>1367.3671761138678</v>
      </c>
      <c r="Y27" s="6">
        <f t="shared" ref="Y27" si="33">(1.96*X27)</f>
        <v>2680.0396651831807</v>
      </c>
      <c r="Z27" s="14">
        <f t="shared" ref="Z27" si="34">X27/V27</f>
        <v>0.12585534736563733</v>
      </c>
    </row>
    <row r="28" spans="1:28" x14ac:dyDescent="0.25">
      <c r="A28" t="str">
        <f>'rockfish harvests'!A27</f>
        <v>SC</v>
      </c>
      <c r="B28">
        <f>'rockfish harvests'!B27</f>
        <v>1998</v>
      </c>
      <c r="C28" t="str">
        <f>'rockfish harvests'!C27</f>
        <v>WKMA</v>
      </c>
      <c r="D28">
        <f>'rockfish harvests'!D27</f>
        <v>148</v>
      </c>
      <c r="E28">
        <v>117</v>
      </c>
      <c r="F28" s="27">
        <f t="shared" ref="F28:G52" si="35">F3</f>
        <v>0.80412371100000002</v>
      </c>
      <c r="G28" s="27">
        <f t="shared" si="35"/>
        <v>1.640716E-3</v>
      </c>
      <c r="H28" s="7">
        <f t="shared" si="14"/>
        <v>94.082474187000003</v>
      </c>
      <c r="I28">
        <f t="shared" si="13"/>
        <v>22.459761323999999</v>
      </c>
      <c r="J28">
        <f t="shared" si="4"/>
        <v>4.739173063309674</v>
      </c>
      <c r="K28" s="6">
        <f t="shared" si="5"/>
        <v>9.2887792040869606</v>
      </c>
      <c r="M28" s="2">
        <f>'rockfish harvests'!O27</f>
        <v>42.686604162511713</v>
      </c>
      <c r="N28">
        <f>'rockfish harvests'!P27</f>
        <v>681.09032990436276</v>
      </c>
      <c r="O28" s="27">
        <f t="shared" ref="O28:P52" si="36">O3</f>
        <v>0.83333333300000001</v>
      </c>
      <c r="P28" s="27">
        <f t="shared" si="36"/>
        <v>1.5605490000000001E-3</v>
      </c>
      <c r="Q28" s="13">
        <f t="shared" si="1"/>
        <v>35.572170121197559</v>
      </c>
      <c r="R28" s="2">
        <f t="shared" si="6"/>
        <v>474.76006894642921</v>
      </c>
      <c r="S28">
        <f t="shared" si="7"/>
        <v>21.788989626562064</v>
      </c>
      <c r="T28" s="6">
        <f t="shared" si="8"/>
        <v>42.706419668061642</v>
      </c>
      <c r="V28" s="13">
        <f t="shared" si="9"/>
        <v>129.65464430819756</v>
      </c>
      <c r="W28">
        <f t="shared" si="2"/>
        <v>497.21983027042921</v>
      </c>
      <c r="X28">
        <f t="shared" si="10"/>
        <v>22.298426632173609</v>
      </c>
      <c r="Y28" s="6">
        <f t="shared" si="11"/>
        <v>43.704916199060271</v>
      </c>
      <c r="Z28" s="14">
        <f>X28/V28</f>
        <v>0.17198324634764947</v>
      </c>
      <c r="AA28" s="68"/>
      <c r="AB28" s="2"/>
    </row>
    <row r="29" spans="1:28" x14ac:dyDescent="0.25">
      <c r="A29" t="str">
        <f>'rockfish harvests'!A28</f>
        <v>SC</v>
      </c>
      <c r="B29">
        <f>'rockfish harvests'!B28</f>
        <v>1999</v>
      </c>
      <c r="C29" t="str">
        <f>'rockfish harvests'!C28</f>
        <v>WKMA</v>
      </c>
      <c r="D29">
        <f>'rockfish harvests'!D28</f>
        <v>228</v>
      </c>
      <c r="E29">
        <v>223</v>
      </c>
      <c r="F29" s="27">
        <f t="shared" si="35"/>
        <v>0.876190476</v>
      </c>
      <c r="G29" s="27">
        <f t="shared" si="35"/>
        <v>1.0430839999999999E-3</v>
      </c>
      <c r="H29" s="7">
        <f t="shared" si="14"/>
        <v>195.390476148</v>
      </c>
      <c r="I29">
        <f t="shared" si="13"/>
        <v>51.871524235999992</v>
      </c>
      <c r="J29">
        <f t="shared" si="4"/>
        <v>7.202188850342651</v>
      </c>
      <c r="K29" s="6">
        <f t="shared" si="5"/>
        <v>14.116290146671595</v>
      </c>
      <c r="M29" s="2">
        <f>'rockfish harvests'!O28</f>
        <v>65.760444250355874</v>
      </c>
      <c r="N29">
        <f>'rockfish harvests'!P28</f>
        <v>1616.4079487649926</v>
      </c>
      <c r="O29" s="27">
        <f t="shared" si="36"/>
        <v>0.71300448400000005</v>
      </c>
      <c r="P29" s="27">
        <f t="shared" si="36"/>
        <v>9.2175299999999998E-4</v>
      </c>
      <c r="Q29" s="13">
        <f t="shared" si="1"/>
        <v>46.887491620335759</v>
      </c>
      <c r="R29" s="2">
        <f t="shared" si="6"/>
        <v>824.23816115417708</v>
      </c>
      <c r="S29">
        <f t="shared" si="7"/>
        <v>28.709548257577602</v>
      </c>
      <c r="T29" s="6">
        <f t="shared" si="8"/>
        <v>56.270714584852101</v>
      </c>
      <c r="V29" s="13">
        <f t="shared" si="9"/>
        <v>242.27796776833577</v>
      </c>
      <c r="W29">
        <f t="shared" si="2"/>
        <v>876.10968539017711</v>
      </c>
      <c r="X29">
        <f t="shared" si="10"/>
        <v>29.599150078848162</v>
      </c>
      <c r="Y29" s="6">
        <f t="shared" si="11"/>
        <v>58.014334154542397</v>
      </c>
      <c r="Z29" s="14">
        <f t="shared" si="12"/>
        <v>0.12217020949734327</v>
      </c>
      <c r="AA29" s="68"/>
      <c r="AB29" s="2"/>
    </row>
    <row r="30" spans="1:28" x14ac:dyDescent="0.25">
      <c r="A30" t="str">
        <f>'rockfish harvests'!A29</f>
        <v>SC</v>
      </c>
      <c r="B30">
        <f>'rockfish harvests'!B29</f>
        <v>2000</v>
      </c>
      <c r="C30" t="str">
        <f>'rockfish harvests'!C29</f>
        <v>WKMA</v>
      </c>
      <c r="D30">
        <f>'rockfish harvests'!D29</f>
        <v>386</v>
      </c>
      <c r="E30">
        <v>308</v>
      </c>
      <c r="F30" s="27">
        <f t="shared" si="35"/>
        <v>0.91176470600000004</v>
      </c>
      <c r="G30" s="27">
        <f t="shared" si="35"/>
        <v>7.9653299999999998E-4</v>
      </c>
      <c r="H30" s="7">
        <f t="shared" si="14"/>
        <v>280.82352944799999</v>
      </c>
      <c r="I30">
        <f t="shared" si="13"/>
        <v>75.562306511999992</v>
      </c>
      <c r="J30">
        <f t="shared" si="4"/>
        <v>8.6926581959720473</v>
      </c>
      <c r="K30" s="6">
        <f t="shared" si="5"/>
        <v>17.037610064105213</v>
      </c>
      <c r="M30" s="2">
        <f>'rockfish harvests'!O29</f>
        <v>111.33127842384812</v>
      </c>
      <c r="N30">
        <f>'rockfish harvests'!P29</f>
        <v>4632.9316469334572</v>
      </c>
      <c r="O30" s="27">
        <f t="shared" si="36"/>
        <v>0.743589744</v>
      </c>
      <c r="P30" s="27">
        <f t="shared" si="36"/>
        <v>9.828040000000001E-4</v>
      </c>
      <c r="Q30" s="13">
        <f t="shared" si="1"/>
        <v>82.784796822381949</v>
      </c>
      <c r="R30" s="2">
        <f t="shared" si="6"/>
        <v>2569.2952594716844</v>
      </c>
      <c r="S30">
        <f t="shared" si="7"/>
        <v>50.688216179617967</v>
      </c>
      <c r="T30" s="6">
        <f t="shared" si="8"/>
        <v>99.348903712051211</v>
      </c>
      <c r="V30" s="13">
        <f t="shared" si="9"/>
        <v>363.60832627038195</v>
      </c>
      <c r="W30">
        <f t="shared" si="2"/>
        <v>2644.8575659836843</v>
      </c>
      <c r="X30">
        <f t="shared" si="10"/>
        <v>51.428178715405473</v>
      </c>
      <c r="Y30" s="6">
        <f t="shared" si="11"/>
        <v>100.79923028219473</v>
      </c>
      <c r="Z30" s="14">
        <f t="shared" si="12"/>
        <v>0.14143839675762288</v>
      </c>
      <c r="AA30" s="68"/>
      <c r="AB30" s="2"/>
    </row>
    <row r="31" spans="1:28" x14ac:dyDescent="0.25">
      <c r="A31" t="str">
        <f>'rockfish harvests'!A30</f>
        <v>SC</v>
      </c>
      <c r="B31">
        <f>'rockfish harvests'!B30</f>
        <v>2001</v>
      </c>
      <c r="C31" t="str">
        <f>'rockfish harvests'!C30</f>
        <v>WKMA</v>
      </c>
      <c r="D31">
        <f>'rockfish harvests'!D30</f>
        <v>1182</v>
      </c>
      <c r="E31">
        <v>1158</v>
      </c>
      <c r="F31" s="27">
        <f t="shared" si="35"/>
        <v>0.95081967199999995</v>
      </c>
      <c r="G31" s="27">
        <f t="shared" si="35"/>
        <v>7.7935999999999999E-4</v>
      </c>
      <c r="H31" s="7">
        <f t="shared" si="14"/>
        <v>1101.0491801759999</v>
      </c>
      <c r="I31">
        <f t="shared" si="13"/>
        <v>1045.09370304</v>
      </c>
      <c r="J31">
        <f t="shared" si="4"/>
        <v>32.327909042188303</v>
      </c>
      <c r="K31" s="6">
        <f t="shared" si="5"/>
        <v>63.362701722689074</v>
      </c>
      <c r="M31" s="2">
        <f>'rockfish harvests'!O30</f>
        <v>340.91598729789757</v>
      </c>
      <c r="N31">
        <f>'rockfish harvests'!P30</f>
        <v>43442.642717188777</v>
      </c>
      <c r="O31" s="27">
        <f t="shared" si="36"/>
        <v>0.82022471900000005</v>
      </c>
      <c r="P31" s="27">
        <f t="shared" si="36"/>
        <v>1.6756379999999999E-3</v>
      </c>
      <c r="Q31" s="13">
        <f t="shared" si="1"/>
        <v>279.62771988402562</v>
      </c>
      <c r="R31" s="2">
        <f t="shared" si="6"/>
        <v>29348.800194568823</v>
      </c>
      <c r="S31">
        <f t="shared" si="7"/>
        <v>171.31491527175567</v>
      </c>
      <c r="T31" s="6">
        <f t="shared" si="8"/>
        <v>335.77723393264108</v>
      </c>
      <c r="V31" s="13">
        <f t="shared" si="9"/>
        <v>1380.6769000600257</v>
      </c>
      <c r="W31">
        <f t="shared" si="2"/>
        <v>30393.893897608825</v>
      </c>
      <c r="X31">
        <f t="shared" si="10"/>
        <v>174.33844641274288</v>
      </c>
      <c r="Y31" s="6">
        <f t="shared" si="11"/>
        <v>341.70335496897604</v>
      </c>
      <c r="Z31" s="14">
        <f t="shared" si="12"/>
        <v>0.12627027105701807</v>
      </c>
      <c r="AA31" s="68"/>
      <c r="AB31" s="2"/>
    </row>
    <row r="32" spans="1:28" x14ac:dyDescent="0.25">
      <c r="A32" t="str">
        <f>'rockfish harvests'!A31</f>
        <v>SC</v>
      </c>
      <c r="B32">
        <f>'rockfish harvests'!B31</f>
        <v>2002</v>
      </c>
      <c r="C32" t="str">
        <f>'rockfish harvests'!C31</f>
        <v>WKMA</v>
      </c>
      <c r="D32">
        <f>'rockfish harvests'!D31</f>
        <v>880</v>
      </c>
      <c r="E32">
        <v>811</v>
      </c>
      <c r="F32" s="27">
        <f t="shared" si="35"/>
        <v>0.87719298199999995</v>
      </c>
      <c r="G32" s="27">
        <f t="shared" si="35"/>
        <v>1.923669E-3</v>
      </c>
      <c r="H32" s="7">
        <f t="shared" si="14"/>
        <v>711.40350840199994</v>
      </c>
      <c r="I32">
        <f t="shared" si="13"/>
        <v>1265.2374983489999</v>
      </c>
      <c r="J32">
        <f t="shared" si="4"/>
        <v>35.570177091898209</v>
      </c>
      <c r="K32" s="6">
        <f t="shared" si="5"/>
        <v>69.717547100120484</v>
      </c>
      <c r="M32" s="2">
        <f>'rockfish harvests'!O31</f>
        <v>253.8122409662858</v>
      </c>
      <c r="N32">
        <f>'rockfish harvests'!P31</f>
        <v>24079.453591943871</v>
      </c>
      <c r="O32" s="27">
        <f t="shared" si="36"/>
        <v>0.60843373499999998</v>
      </c>
      <c r="P32" s="27">
        <f t="shared" si="36"/>
        <v>1.443892E-3</v>
      </c>
      <c r="Q32" s="13">
        <f t="shared" si="1"/>
        <v>154.42792975983727</v>
      </c>
      <c r="R32" s="2">
        <f t="shared" si="6"/>
        <v>8972.2600264330522</v>
      </c>
      <c r="S32">
        <f t="shared" si="7"/>
        <v>94.722014476219059</v>
      </c>
      <c r="T32" s="6">
        <f t="shared" si="8"/>
        <v>185.65514837338935</v>
      </c>
      <c r="V32" s="13">
        <f t="shared" si="9"/>
        <v>865.83143816183724</v>
      </c>
      <c r="W32">
        <f t="shared" si="2"/>
        <v>10237.497524782051</v>
      </c>
      <c r="X32">
        <f t="shared" si="10"/>
        <v>101.18051949254881</v>
      </c>
      <c r="Y32" s="6">
        <f t="shared" si="11"/>
        <v>198.31381820539568</v>
      </c>
      <c r="Z32" s="14">
        <f t="shared" si="12"/>
        <v>0.11685937358356421</v>
      </c>
      <c r="AA32" s="68"/>
      <c r="AB32" s="2"/>
    </row>
    <row r="33" spans="1:28" x14ac:dyDescent="0.25">
      <c r="A33" t="str">
        <f>'rockfish harvests'!A32</f>
        <v>SC</v>
      </c>
      <c r="B33">
        <f>'rockfish harvests'!B32</f>
        <v>2003</v>
      </c>
      <c r="C33" t="str">
        <f>'rockfish harvests'!C32</f>
        <v>WKMA</v>
      </c>
      <c r="D33">
        <f>'rockfish harvests'!D32</f>
        <v>1107</v>
      </c>
      <c r="E33">
        <v>958</v>
      </c>
      <c r="F33" s="27">
        <f t="shared" si="35"/>
        <v>0.85869565199999998</v>
      </c>
      <c r="G33" s="27">
        <f t="shared" si="35"/>
        <v>1.3333780000000001E-3</v>
      </c>
      <c r="H33" s="7">
        <f t="shared" si="14"/>
        <v>822.630434616</v>
      </c>
      <c r="I33">
        <f t="shared" si="13"/>
        <v>1223.726326792</v>
      </c>
      <c r="J33">
        <f t="shared" si="4"/>
        <v>34.981799936424082</v>
      </c>
      <c r="K33" s="6">
        <f t="shared" si="5"/>
        <v>68.5643278753912</v>
      </c>
      <c r="M33" s="2">
        <f>'rockfish harvests'!O32</f>
        <v>319.28426221554378</v>
      </c>
      <c r="N33">
        <f>'rockfish harvests'!P32</f>
        <v>38104.522630157575</v>
      </c>
      <c r="O33" s="27">
        <f t="shared" si="36"/>
        <v>0.73262032099999996</v>
      </c>
      <c r="P33" s="27">
        <f t="shared" si="36"/>
        <v>1.05316E-3</v>
      </c>
      <c r="Q33" s="13">
        <f t="shared" si="1"/>
        <v>233.91413867459985</v>
      </c>
      <c r="R33" s="2">
        <f t="shared" si="6"/>
        <v>20519.16855758481</v>
      </c>
      <c r="S33">
        <f t="shared" si="7"/>
        <v>143.24513449881923</v>
      </c>
      <c r="T33" s="6">
        <f t="shared" si="8"/>
        <v>280.76046361768567</v>
      </c>
      <c r="V33" s="13">
        <f t="shared" si="9"/>
        <v>1056.5445732905998</v>
      </c>
      <c r="W33">
        <f t="shared" si="2"/>
        <v>21742.894884376808</v>
      </c>
      <c r="X33">
        <f t="shared" si="10"/>
        <v>147.45472147197188</v>
      </c>
      <c r="Y33" s="6">
        <f t="shared" si="11"/>
        <v>289.01125408506488</v>
      </c>
      <c r="Z33" s="14">
        <f t="shared" si="12"/>
        <v>0.13956318095764317</v>
      </c>
      <c r="AA33" s="68"/>
      <c r="AB33" s="2"/>
    </row>
    <row r="34" spans="1:28" x14ac:dyDescent="0.25">
      <c r="A34" t="str">
        <f>'rockfish harvests'!A33</f>
        <v>SC</v>
      </c>
      <c r="B34">
        <f>'rockfish harvests'!B33</f>
        <v>2004</v>
      </c>
      <c r="C34" t="str">
        <f>'rockfish harvests'!C33</f>
        <v>WKMA</v>
      </c>
      <c r="D34">
        <f>'rockfish harvests'!D33</f>
        <v>810</v>
      </c>
      <c r="E34">
        <v>716</v>
      </c>
      <c r="F34" s="27">
        <f t="shared" si="35"/>
        <v>0.77564102599999996</v>
      </c>
      <c r="G34" s="27">
        <f t="shared" si="35"/>
        <v>1.122723E-3</v>
      </c>
      <c r="H34" s="7">
        <f t="shared" si="14"/>
        <v>555.35897461599995</v>
      </c>
      <c r="I34">
        <f t="shared" si="13"/>
        <v>575.57068228799994</v>
      </c>
      <c r="J34">
        <f t="shared" si="4"/>
        <v>23.99105421376893</v>
      </c>
      <c r="K34" s="6">
        <f t="shared" si="5"/>
        <v>47.022466258987102</v>
      </c>
      <c r="M34" s="2">
        <f>'rockfish harvests'!O33</f>
        <v>233.62263088942223</v>
      </c>
      <c r="N34">
        <f>'rockfish harvests'!P33</f>
        <v>20400.993674682817</v>
      </c>
      <c r="O34" s="27">
        <f t="shared" si="36"/>
        <v>0.77966101700000001</v>
      </c>
      <c r="P34" s="27">
        <f t="shared" si="36"/>
        <v>1.4682880000000001E-3</v>
      </c>
      <c r="Q34" s="13">
        <f t="shared" si="1"/>
        <v>182.14645799346255</v>
      </c>
      <c r="R34" s="2">
        <f t="shared" si="6"/>
        <v>12451.362515607305</v>
      </c>
      <c r="S34">
        <f t="shared" si="7"/>
        <v>111.5856734334982</v>
      </c>
      <c r="T34" s="6">
        <f t="shared" si="8"/>
        <v>218.70791992965647</v>
      </c>
      <c r="V34" s="13">
        <f t="shared" si="9"/>
        <v>737.50543260946256</v>
      </c>
      <c r="W34">
        <f t="shared" si="2"/>
        <v>13026.933197895305</v>
      </c>
      <c r="X34">
        <f t="shared" si="10"/>
        <v>114.13559128464401</v>
      </c>
      <c r="Y34" s="6">
        <f t="shared" si="11"/>
        <v>223.70575891790224</v>
      </c>
      <c r="Z34" s="14">
        <f t="shared" si="12"/>
        <v>0.15475898378240582</v>
      </c>
      <c r="AA34" s="68"/>
      <c r="AB34" s="2"/>
    </row>
    <row r="35" spans="1:28" x14ac:dyDescent="0.25">
      <c r="A35" t="str">
        <f>'rockfish harvests'!A34</f>
        <v>SC</v>
      </c>
      <c r="B35">
        <f>'rockfish harvests'!B34</f>
        <v>2005</v>
      </c>
      <c r="C35" t="str">
        <f>'rockfish harvests'!C34</f>
        <v>WKMA</v>
      </c>
      <c r="D35">
        <f>'rockfish harvests'!D34</f>
        <v>1266</v>
      </c>
      <c r="E35">
        <v>1133</v>
      </c>
      <c r="F35" s="27">
        <f t="shared" si="35"/>
        <v>0.93277310899999999</v>
      </c>
      <c r="G35" s="27">
        <f t="shared" si="35"/>
        <v>5.3141899999999999E-4</v>
      </c>
      <c r="H35" s="7">
        <f t="shared" si="14"/>
        <v>1056.831932497</v>
      </c>
      <c r="I35">
        <f t="shared" si="13"/>
        <v>682.176724691</v>
      </c>
      <c r="J35">
        <f t="shared" si="4"/>
        <v>26.118513064318957</v>
      </c>
      <c r="K35" s="6">
        <f t="shared" si="5"/>
        <v>51.192285606065155</v>
      </c>
      <c r="M35" s="2">
        <f>'rockfish harvests'!O34</f>
        <v>365.14351939013386</v>
      </c>
      <c r="N35">
        <f>'rockfish harvests'!P34</f>
        <v>49836.633162719001</v>
      </c>
      <c r="O35" s="27">
        <f t="shared" si="36"/>
        <v>0.82183908000000006</v>
      </c>
      <c r="P35" s="27">
        <f t="shared" si="36"/>
        <v>8.4635600000000004E-4</v>
      </c>
      <c r="Q35" s="13">
        <f t="shared" si="1"/>
        <v>300.08921404354982</v>
      </c>
      <c r="R35" s="2">
        <f t="shared" si="6"/>
        <v>33731.297461591268</v>
      </c>
      <c r="S35">
        <f t="shared" si="7"/>
        <v>183.66082179275816</v>
      </c>
      <c r="T35" s="6">
        <f t="shared" si="8"/>
        <v>359.97521071380601</v>
      </c>
      <c r="V35" s="13">
        <f t="shared" si="9"/>
        <v>1356.9211465405499</v>
      </c>
      <c r="W35">
        <f t="shared" si="2"/>
        <v>34413.47418628227</v>
      </c>
      <c r="X35">
        <f t="shared" si="10"/>
        <v>185.50869032550003</v>
      </c>
      <c r="Y35" s="6">
        <f t="shared" si="11"/>
        <v>363.59703303798005</v>
      </c>
      <c r="Z35" s="14">
        <f t="shared" si="12"/>
        <v>0.13671294813147516</v>
      </c>
      <c r="AA35" s="68"/>
      <c r="AB35" s="2"/>
    </row>
    <row r="36" spans="1:28" x14ac:dyDescent="0.25">
      <c r="A36" t="str">
        <f>'rockfish harvests'!A35</f>
        <v>SC</v>
      </c>
      <c r="B36">
        <f>'rockfish harvests'!B35</f>
        <v>2006</v>
      </c>
      <c r="C36" t="str">
        <f>'rockfish harvests'!C35</f>
        <v>WKMA</v>
      </c>
      <c r="D36">
        <f>'rockfish harvests'!D35</f>
        <v>737</v>
      </c>
      <c r="E36">
        <v>582</v>
      </c>
      <c r="F36" s="27">
        <f t="shared" si="35"/>
        <v>0.866071429</v>
      </c>
      <c r="G36" s="27">
        <f t="shared" si="35"/>
        <v>1.0449700000000001E-3</v>
      </c>
      <c r="H36" s="7">
        <f t="shared" si="14"/>
        <v>504.05357167800003</v>
      </c>
      <c r="I36">
        <f t="shared" si="13"/>
        <v>353.95641828000004</v>
      </c>
      <c r="J36">
        <f t="shared" si="4"/>
        <v>18.813729515436329</v>
      </c>
      <c r="K36" s="6">
        <f t="shared" si="5"/>
        <v>36.8749098502552</v>
      </c>
      <c r="M36" s="2">
        <f>'rockfish harvests'!O35</f>
        <v>212.56775180926445</v>
      </c>
      <c r="N36">
        <f>'rockfish harvests'!P35</f>
        <v>16889.47924597438</v>
      </c>
      <c r="O36" s="27">
        <f t="shared" si="36"/>
        <v>0.79807692299999999</v>
      </c>
      <c r="P36" s="27">
        <f t="shared" si="36"/>
        <v>1.564565E-3</v>
      </c>
      <c r="Q36" s="13">
        <f t="shared" si="1"/>
        <v>169.64541729296545</v>
      </c>
      <c r="R36" s="2">
        <f t="shared" si="6"/>
        <v>10801.631806255758</v>
      </c>
      <c r="S36">
        <f t="shared" si="7"/>
        <v>103.9308991891043</v>
      </c>
      <c r="T36" s="6">
        <f t="shared" si="8"/>
        <v>203.70456241064443</v>
      </c>
      <c r="V36" s="13">
        <f t="shared" si="9"/>
        <v>673.6989889709655</v>
      </c>
      <c r="W36">
        <f t="shared" si="2"/>
        <v>11155.588224535759</v>
      </c>
      <c r="X36">
        <f t="shared" si="10"/>
        <v>105.62001810516678</v>
      </c>
      <c r="Y36" s="6">
        <f t="shared" si="11"/>
        <v>207.01523548612687</v>
      </c>
      <c r="Z36" s="14">
        <f t="shared" si="12"/>
        <v>0.15677627521230955</v>
      </c>
      <c r="AA36" s="68"/>
      <c r="AB36" s="2"/>
    </row>
    <row r="37" spans="1:28" x14ac:dyDescent="0.25">
      <c r="A37" t="str">
        <f>'rockfish harvests'!A36</f>
        <v>SC</v>
      </c>
      <c r="B37">
        <f>'rockfish harvests'!B36</f>
        <v>2007</v>
      </c>
      <c r="C37" t="str">
        <f>'rockfish harvests'!C36</f>
        <v>WKMA</v>
      </c>
      <c r="D37">
        <f>'rockfish harvests'!D36</f>
        <v>1645</v>
      </c>
      <c r="E37">
        <v>1308</v>
      </c>
      <c r="F37" s="27">
        <f t="shared" si="35"/>
        <v>0.62025316500000005</v>
      </c>
      <c r="G37" s="27">
        <f t="shared" si="35"/>
        <v>3.0197330000000001E-3</v>
      </c>
      <c r="H37" s="7">
        <f t="shared" si="14"/>
        <v>811.29113982000001</v>
      </c>
      <c r="I37">
        <f t="shared" si="13"/>
        <v>5166.3524793120005</v>
      </c>
      <c r="J37">
        <f t="shared" si="4"/>
        <v>71.877343296145838</v>
      </c>
      <c r="K37" s="6">
        <f t="shared" si="5"/>
        <v>140.87959286044585</v>
      </c>
      <c r="M37" s="2">
        <f>'rockfish harvests'!O36</f>
        <v>474.45583680629579</v>
      </c>
      <c r="N37">
        <f>'rockfish harvests'!P36</f>
        <v>84142.049852969925</v>
      </c>
      <c r="O37" s="27">
        <f t="shared" si="36"/>
        <v>0.89411764699999996</v>
      </c>
      <c r="P37" s="27">
        <f t="shared" si="36"/>
        <v>1.127039E-3</v>
      </c>
      <c r="Q37" s="13">
        <f t="shared" si="1"/>
        <v>424.21933641066119</v>
      </c>
      <c r="R37" s="2">
        <f t="shared" si="6"/>
        <v>67425.930547594093</v>
      </c>
      <c r="S37">
        <f t="shared" si="7"/>
        <v>259.66503528121399</v>
      </c>
      <c r="T37" s="6">
        <f t="shared" si="8"/>
        <v>508.94346915117939</v>
      </c>
      <c r="V37" s="13">
        <f t="shared" si="9"/>
        <v>1235.5104762306612</v>
      </c>
      <c r="W37">
        <f t="shared" si="2"/>
        <v>72592.283026906094</v>
      </c>
      <c r="X37">
        <f t="shared" si="10"/>
        <v>269.42955113889434</v>
      </c>
      <c r="Y37" s="6">
        <f t="shared" si="11"/>
        <v>528.08192023223285</v>
      </c>
      <c r="Z37" s="14">
        <f t="shared" si="12"/>
        <v>0.21807144198475717</v>
      </c>
      <c r="AA37" s="68"/>
      <c r="AB37" s="2"/>
    </row>
    <row r="38" spans="1:28" x14ac:dyDescent="0.25">
      <c r="A38" t="str">
        <f>'rockfish harvests'!A37</f>
        <v>SC</v>
      </c>
      <c r="B38">
        <f>'rockfish harvests'!B37</f>
        <v>2008</v>
      </c>
      <c r="C38" t="str">
        <f>'rockfish harvests'!C37</f>
        <v>WKMA</v>
      </c>
      <c r="D38">
        <f>'rockfish harvests'!D37</f>
        <v>1196</v>
      </c>
      <c r="E38">
        <v>900</v>
      </c>
      <c r="F38" s="27">
        <f t="shared" si="35"/>
        <v>0.82677165399999997</v>
      </c>
      <c r="G38" s="27">
        <f t="shared" si="35"/>
        <v>1.1366690000000001E-3</v>
      </c>
      <c r="H38" s="7">
        <f t="shared" si="14"/>
        <v>744.09448859999998</v>
      </c>
      <c r="I38">
        <f t="shared" si="13"/>
        <v>920.70189000000005</v>
      </c>
      <c r="J38">
        <f t="shared" si="4"/>
        <v>30.343069884242102</v>
      </c>
      <c r="K38" s="6">
        <f t="shared" si="5"/>
        <v>59.47241697311452</v>
      </c>
      <c r="M38" s="2">
        <f>'rockfish harvests'!O37</f>
        <v>344.95390931327029</v>
      </c>
      <c r="N38">
        <f>'rockfish harvests'!P37</f>
        <v>44477.835342425082</v>
      </c>
      <c r="O38" s="27">
        <f t="shared" si="36"/>
        <v>0.693333333</v>
      </c>
      <c r="P38" s="27">
        <f t="shared" si="36"/>
        <v>2.873273E-3</v>
      </c>
      <c r="Q38" s="13">
        <f t="shared" si="1"/>
        <v>239.16804367554943</v>
      </c>
      <c r="R38" s="2">
        <f t="shared" si="6"/>
        <v>21595.092610779815</v>
      </c>
      <c r="S38">
        <f t="shared" si="7"/>
        <v>146.95268834145165</v>
      </c>
      <c r="T38" s="6">
        <f t="shared" si="8"/>
        <v>288.02726914924523</v>
      </c>
      <c r="V38" s="13">
        <f t="shared" si="9"/>
        <v>983.26253227554935</v>
      </c>
      <c r="W38">
        <f t="shared" si="2"/>
        <v>22515.794500779815</v>
      </c>
      <c r="X38">
        <f t="shared" si="10"/>
        <v>150.05263909968332</v>
      </c>
      <c r="Y38" s="6">
        <f t="shared" si="11"/>
        <v>294.10317263537928</v>
      </c>
      <c r="Z38" s="14">
        <f t="shared" si="12"/>
        <v>0.15260689202955674</v>
      </c>
      <c r="AA38" s="68"/>
      <c r="AB38" s="2"/>
    </row>
    <row r="39" spans="1:28" x14ac:dyDescent="0.25">
      <c r="A39" t="str">
        <f>'rockfish harvests'!A38</f>
        <v>SC</v>
      </c>
      <c r="B39">
        <f>'rockfish harvests'!B38</f>
        <v>2009</v>
      </c>
      <c r="C39" t="str">
        <f>'rockfish harvests'!C38</f>
        <v>WKMA</v>
      </c>
      <c r="D39">
        <f>'rockfish harvests'!D38</f>
        <v>1849</v>
      </c>
      <c r="E39">
        <v>1517</v>
      </c>
      <c r="F39" s="27">
        <f t="shared" si="35"/>
        <v>0.73611111100000004</v>
      </c>
      <c r="G39" s="27">
        <f t="shared" si="35"/>
        <v>2.7359369999999999E-3</v>
      </c>
      <c r="H39" s="7">
        <f t="shared" si="14"/>
        <v>1116.6805553870001</v>
      </c>
      <c r="I39">
        <f t="shared" si="13"/>
        <v>6296.1817227929996</v>
      </c>
      <c r="J39">
        <f t="shared" si="4"/>
        <v>79.348482800826133</v>
      </c>
      <c r="K39" s="6">
        <f t="shared" si="5"/>
        <v>155.52302628961922</v>
      </c>
      <c r="M39" s="2">
        <f>'rockfish harvests'!O38</f>
        <v>533.29412903029834</v>
      </c>
      <c r="N39">
        <f>'rockfish harvests'!P38</f>
        <v>106305.34609967883</v>
      </c>
      <c r="O39" s="27">
        <f t="shared" si="36"/>
        <v>0.55882352899999999</v>
      </c>
      <c r="P39" s="27">
        <f t="shared" si="36"/>
        <v>3.6796979999999999E-3</v>
      </c>
      <c r="Q39" s="13">
        <f t="shared" si="1"/>
        <v>298.01730717969264</v>
      </c>
      <c r="R39" s="2">
        <f t="shared" si="6"/>
        <v>33852.774908966567</v>
      </c>
      <c r="S39">
        <f t="shared" si="7"/>
        <v>183.99123595695141</v>
      </c>
      <c r="T39" s="6">
        <f t="shared" si="8"/>
        <v>360.62282247562479</v>
      </c>
      <c r="V39" s="13">
        <f t="shared" si="9"/>
        <v>1414.6978625666927</v>
      </c>
      <c r="W39">
        <f t="shared" si="2"/>
        <v>40148.956631759567</v>
      </c>
      <c r="X39">
        <f t="shared" si="10"/>
        <v>200.3720455346992</v>
      </c>
      <c r="Y39" s="6">
        <f t="shared" si="11"/>
        <v>392.72920924801042</v>
      </c>
      <c r="Z39" s="14">
        <f t="shared" si="12"/>
        <v>0.14163592865770172</v>
      </c>
      <c r="AA39" s="68"/>
      <c r="AB39" s="2"/>
    </row>
    <row r="40" spans="1:28" x14ac:dyDescent="0.25">
      <c r="A40" t="str">
        <f>'rockfish harvests'!A39</f>
        <v>SC</v>
      </c>
      <c r="B40">
        <f>'rockfish harvests'!B39</f>
        <v>2010</v>
      </c>
      <c r="C40" t="str">
        <f>'rockfish harvests'!C39</f>
        <v>WKMA</v>
      </c>
      <c r="D40">
        <f>'rockfish harvests'!D39</f>
        <v>1266</v>
      </c>
      <c r="E40">
        <v>793</v>
      </c>
      <c r="F40" s="27">
        <f t="shared" si="35"/>
        <v>0.53535353500000005</v>
      </c>
      <c r="G40" s="27">
        <f t="shared" si="35"/>
        <v>2.5382669999999999E-3</v>
      </c>
      <c r="H40" s="7">
        <f t="shared" si="14"/>
        <v>424.53535325500002</v>
      </c>
      <c r="I40">
        <f t="shared" si="13"/>
        <v>1596.1866646829999</v>
      </c>
      <c r="J40">
        <f t="shared" si="4"/>
        <v>39.952304873223518</v>
      </c>
      <c r="K40" s="6">
        <f t="shared" si="5"/>
        <v>78.306517551518098</v>
      </c>
      <c r="M40" s="2">
        <f>'rockfish harvests'!O39</f>
        <v>365.14351939013386</v>
      </c>
      <c r="N40">
        <f>'rockfish harvests'!P39</f>
        <v>49836.633162719001</v>
      </c>
      <c r="O40" s="27">
        <f t="shared" si="36"/>
        <v>0.74806438500000005</v>
      </c>
      <c r="P40" s="27">
        <f t="shared" si="36"/>
        <v>6.3493509999999996E-3</v>
      </c>
      <c r="Q40" s="13">
        <f t="shared" si="1"/>
        <v>273.15086226931606</v>
      </c>
      <c r="R40" s="2">
        <f t="shared" si="6"/>
        <v>28418.723427468089</v>
      </c>
      <c r="S40">
        <f t="shared" si="7"/>
        <v>168.57853786134251</v>
      </c>
      <c r="T40" s="6">
        <f t="shared" si="8"/>
        <v>330.4139342082313</v>
      </c>
      <c r="V40" s="13">
        <f t="shared" si="9"/>
        <v>697.68621552431614</v>
      </c>
      <c r="W40">
        <f t="shared" si="2"/>
        <v>30014.910092151087</v>
      </c>
      <c r="X40">
        <f t="shared" si="10"/>
        <v>173.24811713883383</v>
      </c>
      <c r="Y40" s="6">
        <f t="shared" si="11"/>
        <v>339.56630959211429</v>
      </c>
      <c r="Z40" s="14">
        <f t="shared" si="12"/>
        <v>0.2483181024418501</v>
      </c>
      <c r="AA40" s="68"/>
      <c r="AB40" s="2"/>
    </row>
    <row r="41" spans="1:28" x14ac:dyDescent="0.25">
      <c r="A41" t="str">
        <f>'rockfish harvests'!A40</f>
        <v>SC</v>
      </c>
      <c r="B41">
        <f>'rockfish harvests'!B40</f>
        <v>2011</v>
      </c>
      <c r="C41" t="str">
        <f>'rockfish harvests'!C40</f>
        <v>WKMA</v>
      </c>
      <c r="D41">
        <f>'rockfish harvests'!D40</f>
        <v>1366</v>
      </c>
      <c r="E41">
        <v>1117</v>
      </c>
      <c r="F41" s="27">
        <f t="shared" si="35"/>
        <v>0.862318841</v>
      </c>
      <c r="G41" s="27">
        <f t="shared" si="35"/>
        <v>8.6660600000000002E-4</v>
      </c>
      <c r="H41" s="7">
        <f t="shared" si="14"/>
        <v>963.21014539700002</v>
      </c>
      <c r="I41">
        <f t="shared" si="13"/>
        <v>1081.2547735339999</v>
      </c>
      <c r="J41">
        <f t="shared" si="4"/>
        <v>32.882438679848548</v>
      </c>
      <c r="K41" s="6">
        <f t="shared" si="5"/>
        <v>64.449579812503146</v>
      </c>
      <c r="M41" s="2">
        <f>'rockfish harvests'!O40</f>
        <v>321.1685166498487</v>
      </c>
      <c r="N41">
        <f>'rockfish harvests'!P40</f>
        <v>51469.344301835146</v>
      </c>
      <c r="O41" s="27">
        <f t="shared" si="36"/>
        <v>0.71830985899999999</v>
      </c>
      <c r="P41" s="27">
        <f t="shared" si="36"/>
        <v>2.890583E-3</v>
      </c>
      <c r="Q41" s="13">
        <f t="shared" si="1"/>
        <v>230.69851190999196</v>
      </c>
      <c r="R41" s="2">
        <f t="shared" si="6"/>
        <v>26705.973824391833</v>
      </c>
      <c r="S41">
        <f t="shared" si="7"/>
        <v>163.4196249671129</v>
      </c>
      <c r="T41" s="6">
        <f t="shared" si="8"/>
        <v>320.30246493554125</v>
      </c>
      <c r="V41" s="13">
        <f t="shared" si="9"/>
        <v>1193.9086573069919</v>
      </c>
      <c r="W41">
        <f t="shared" si="2"/>
        <v>27787.228597925834</v>
      </c>
      <c r="X41">
        <f t="shared" si="10"/>
        <v>166.69501671593497</v>
      </c>
      <c r="Y41" s="6">
        <f t="shared" si="11"/>
        <v>326.72223276323251</v>
      </c>
      <c r="Z41" s="14">
        <f t="shared" si="12"/>
        <v>0.13962124798720876</v>
      </c>
      <c r="AA41" s="68"/>
      <c r="AB41" s="2"/>
    </row>
    <row r="42" spans="1:28" x14ac:dyDescent="0.25">
      <c r="A42" t="str">
        <f>'rockfish harvests'!A41</f>
        <v>SC</v>
      </c>
      <c r="B42">
        <f>'rockfish harvests'!B41</f>
        <v>2012</v>
      </c>
      <c r="C42" t="str">
        <f>'rockfish harvests'!C41</f>
        <v>WKMA</v>
      </c>
      <c r="D42">
        <f>'rockfish harvests'!D41</f>
        <v>1747</v>
      </c>
      <c r="E42">
        <v>1322</v>
      </c>
      <c r="F42" s="27">
        <f t="shared" si="35"/>
        <v>0.75524475499999999</v>
      </c>
      <c r="G42" s="27">
        <f t="shared" si="35"/>
        <v>1.301761E-3</v>
      </c>
      <c r="H42" s="7">
        <f t="shared" si="14"/>
        <v>998.43356611000002</v>
      </c>
      <c r="I42">
        <f t="shared" si="13"/>
        <v>2275.0668715239999</v>
      </c>
      <c r="J42">
        <f t="shared" si="4"/>
        <v>47.697661069742189</v>
      </c>
      <c r="K42" s="6">
        <f t="shared" si="5"/>
        <v>93.487415696694683</v>
      </c>
      <c r="M42" s="2">
        <f>'rockfish harvests'!O41</f>
        <v>1124.7026143790849</v>
      </c>
      <c r="N42">
        <f>'rockfish harvests'!P41</f>
        <v>412684.87548151758</v>
      </c>
      <c r="O42" s="27">
        <f t="shared" si="36"/>
        <v>0.74509803900000005</v>
      </c>
      <c r="P42" s="27">
        <f t="shared" si="36"/>
        <v>1.2495189999999999E-3</v>
      </c>
      <c r="Q42" s="13">
        <f t="shared" si="1"/>
        <v>838.01371243202948</v>
      </c>
      <c r="R42" s="2">
        <f t="shared" si="6"/>
        <v>230175.64013408616</v>
      </c>
      <c r="S42">
        <f t="shared" si="7"/>
        <v>479.76623488328789</v>
      </c>
      <c r="T42" s="6">
        <f t="shared" si="8"/>
        <v>940.34182037124424</v>
      </c>
      <c r="V42" s="13">
        <f t="shared" si="9"/>
        <v>1836.4472785420294</v>
      </c>
      <c r="W42">
        <f t="shared" si="2"/>
        <v>232450.70700561017</v>
      </c>
      <c r="X42">
        <f t="shared" si="10"/>
        <v>482.131420886059</v>
      </c>
      <c r="Y42" s="6">
        <f t="shared" si="11"/>
        <v>944.97758493667561</v>
      </c>
      <c r="Z42" s="14">
        <f t="shared" si="12"/>
        <v>0.26253485548946831</v>
      </c>
      <c r="AA42" s="68"/>
      <c r="AB42" s="2"/>
    </row>
    <row r="43" spans="1:28" x14ac:dyDescent="0.25">
      <c r="A43" t="str">
        <f>'rockfish harvests'!A42</f>
        <v>SC</v>
      </c>
      <c r="B43">
        <f>'rockfish harvests'!B42</f>
        <v>2013</v>
      </c>
      <c r="C43" t="str">
        <f>'rockfish harvests'!C42</f>
        <v>WKMA</v>
      </c>
      <c r="D43">
        <f>'rockfish harvests'!D42</f>
        <v>1983</v>
      </c>
      <c r="E43">
        <v>1626</v>
      </c>
      <c r="F43" s="27">
        <f t="shared" si="35"/>
        <v>0.53982300900000002</v>
      </c>
      <c r="G43" s="27">
        <f t="shared" si="35"/>
        <v>5.5080699999999995E-4</v>
      </c>
      <c r="H43" s="7">
        <f t="shared" si="14"/>
        <v>877.75221263399999</v>
      </c>
      <c r="I43">
        <f t="shared" si="13"/>
        <v>1456.2654079319998</v>
      </c>
      <c r="J43">
        <f t="shared" si="4"/>
        <v>38.161045687087764</v>
      </c>
      <c r="K43" s="6">
        <f t="shared" si="5"/>
        <v>74.795649546692019</v>
      </c>
      <c r="M43" s="2">
        <f>'rockfish harvests'!O42</f>
        <v>401.95945945945914</v>
      </c>
      <c r="N43">
        <f>'rockfish harvests'!P42</f>
        <v>69446.330827502126</v>
      </c>
      <c r="O43" s="27">
        <f t="shared" si="36"/>
        <v>0.66871165600000004</v>
      </c>
      <c r="P43" s="27">
        <f t="shared" si="36"/>
        <v>1.3675079999999999E-3</v>
      </c>
      <c r="Q43" s="13">
        <f t="shared" si="1"/>
        <v>268.79497577999979</v>
      </c>
      <c r="R43" s="2">
        <f t="shared" si="6"/>
        <v>31180.66413303819</v>
      </c>
      <c r="S43">
        <f t="shared" si="7"/>
        <v>176.58047494850101</v>
      </c>
      <c r="T43" s="6">
        <f t="shared" si="8"/>
        <v>346.09773089906196</v>
      </c>
      <c r="V43" s="13">
        <f t="shared" si="9"/>
        <v>1146.5471884139997</v>
      </c>
      <c r="W43">
        <f t="shared" si="2"/>
        <v>32636.929540970188</v>
      </c>
      <c r="X43">
        <f t="shared" si="10"/>
        <v>180.65693881213139</v>
      </c>
      <c r="Y43" s="6">
        <f t="shared" si="11"/>
        <v>354.0876000717775</v>
      </c>
      <c r="Z43" s="14">
        <f t="shared" si="12"/>
        <v>0.15756607371915604</v>
      </c>
      <c r="AA43" s="68"/>
      <c r="AB43" s="2"/>
    </row>
    <row r="44" spans="1:28" x14ac:dyDescent="0.25">
      <c r="A44" t="str">
        <f>'rockfish harvests'!A43</f>
        <v>SC</v>
      </c>
      <c r="B44">
        <f>'rockfish harvests'!B43</f>
        <v>2014</v>
      </c>
      <c r="C44" t="str">
        <f>'rockfish harvests'!C43</f>
        <v>WKMA</v>
      </c>
      <c r="D44">
        <f>'rockfish harvests'!D43</f>
        <v>2396</v>
      </c>
      <c r="E44">
        <v>1757</v>
      </c>
      <c r="F44" s="27">
        <f t="shared" si="35"/>
        <v>0.81493506500000001</v>
      </c>
      <c r="G44" s="27">
        <f t="shared" si="35"/>
        <v>4.9125700000000004E-4</v>
      </c>
      <c r="H44" s="7">
        <f t="shared" si="14"/>
        <v>1431.8409092050001</v>
      </c>
      <c r="I44">
        <f t="shared" si="13"/>
        <v>1516.534430593</v>
      </c>
      <c r="J44">
        <f t="shared" si="4"/>
        <v>38.942707027028824</v>
      </c>
      <c r="K44" s="6">
        <f t="shared" si="5"/>
        <v>76.3277057729765</v>
      </c>
      <c r="M44" s="2">
        <f>'rockfish harvests'!O43</f>
        <v>806.87092451987473</v>
      </c>
      <c r="N44">
        <f>'rockfish harvests'!P43</f>
        <v>244720.20702808804</v>
      </c>
      <c r="O44" s="27">
        <f t="shared" si="36"/>
        <v>0.77777777800000003</v>
      </c>
      <c r="P44" s="27">
        <f t="shared" si="36"/>
        <v>1.382716E-3</v>
      </c>
      <c r="Q44" s="13">
        <f t="shared" si="1"/>
        <v>627.56627480587395</v>
      </c>
      <c r="R44" s="2">
        <f t="shared" si="6"/>
        <v>148602.44498229181</v>
      </c>
      <c r="S44">
        <f t="shared" si="7"/>
        <v>385.48987662750864</v>
      </c>
      <c r="T44" s="6">
        <f t="shared" si="8"/>
        <v>755.56015818991693</v>
      </c>
      <c r="V44" s="13">
        <f t="shared" si="9"/>
        <v>2059.4071840108741</v>
      </c>
      <c r="W44">
        <f t="shared" si="2"/>
        <v>150118.9794128848</v>
      </c>
      <c r="X44">
        <f t="shared" si="10"/>
        <v>387.4519059352848</v>
      </c>
      <c r="Y44" s="6">
        <f t="shared" si="11"/>
        <v>759.4057356331582</v>
      </c>
      <c r="Z44" s="14">
        <f t="shared" si="12"/>
        <v>0.1881375907316632</v>
      </c>
      <c r="AA44" s="68"/>
      <c r="AB44" s="2"/>
    </row>
    <row r="45" spans="1:28" x14ac:dyDescent="0.25">
      <c r="A45" t="str">
        <f>'rockfish harvests'!A44</f>
        <v>SC</v>
      </c>
      <c r="B45">
        <f>'rockfish harvests'!B44</f>
        <v>2015</v>
      </c>
      <c r="C45" t="str">
        <f>'rockfish harvests'!C44</f>
        <v>WKMA</v>
      </c>
      <c r="D45">
        <f>'rockfish harvests'!D44</f>
        <v>2031</v>
      </c>
      <c r="E45">
        <v>1664</v>
      </c>
      <c r="F45" s="27">
        <f t="shared" si="35"/>
        <v>0.699029126</v>
      </c>
      <c r="G45" s="27">
        <f t="shared" si="35"/>
        <v>2.0626220000000001E-3</v>
      </c>
      <c r="H45" s="7">
        <f t="shared" si="14"/>
        <v>1163.1844656640001</v>
      </c>
      <c r="I45">
        <f t="shared" si="13"/>
        <v>5711.1858053120004</v>
      </c>
      <c r="J45">
        <f t="shared" si="4"/>
        <v>75.572387849743109</v>
      </c>
      <c r="K45" s="6">
        <f t="shared" si="5"/>
        <v>148.12188018549648</v>
      </c>
      <c r="M45" s="2">
        <f>'rockfish harvests'!O44</f>
        <v>924.55105533371352</v>
      </c>
      <c r="N45">
        <f>'rockfish harvests'!P44</f>
        <v>669754.36895301775</v>
      </c>
      <c r="O45" s="27">
        <f t="shared" si="36"/>
        <v>0.73157894700000003</v>
      </c>
      <c r="P45" s="27">
        <f t="shared" si="36"/>
        <v>5.1813E-4</v>
      </c>
      <c r="Q45" s="13">
        <f t="shared" si="1"/>
        <v>676.38208750877686</v>
      </c>
      <c r="R45" s="2">
        <f t="shared" si="6"/>
        <v>358553.60759619653</v>
      </c>
      <c r="S45">
        <f t="shared" si="7"/>
        <v>598.79345988094803</v>
      </c>
      <c r="T45" s="6">
        <f t="shared" si="8"/>
        <v>1173.6351813666581</v>
      </c>
      <c r="V45" s="13">
        <f t="shared" si="9"/>
        <v>1839.5665531727768</v>
      </c>
      <c r="W45">
        <f t="shared" si="2"/>
        <v>364264.79340150853</v>
      </c>
      <c r="X45">
        <f t="shared" si="10"/>
        <v>603.54353065997532</v>
      </c>
      <c r="Y45" s="6">
        <f t="shared" si="11"/>
        <v>1182.9453200935516</v>
      </c>
      <c r="Z45" s="14">
        <f t="shared" si="12"/>
        <v>0.32809007622965242</v>
      </c>
      <c r="AA45" s="68"/>
      <c r="AB45" s="2"/>
    </row>
    <row r="46" spans="1:28" x14ac:dyDescent="0.25">
      <c r="A46" t="str">
        <f>'rockfish harvests'!A45</f>
        <v>SC</v>
      </c>
      <c r="B46">
        <f>'rockfish harvests'!B45</f>
        <v>2016</v>
      </c>
      <c r="C46" t="str">
        <f>'rockfish harvests'!C45</f>
        <v>WKMA</v>
      </c>
      <c r="D46">
        <f>'rockfish harvests'!D45</f>
        <v>3337</v>
      </c>
      <c r="E46">
        <v>2644</v>
      </c>
      <c r="F46" s="27">
        <f t="shared" si="35"/>
        <v>0.54517134</v>
      </c>
      <c r="G46" s="27">
        <f t="shared" si="35"/>
        <v>7.7487400000000005E-4</v>
      </c>
      <c r="H46" s="7">
        <f t="shared" si="14"/>
        <v>1441.43302296</v>
      </c>
      <c r="I46">
        <f t="shared" si="13"/>
        <v>5416.9395672640003</v>
      </c>
      <c r="J46">
        <f t="shared" si="4"/>
        <v>73.599861190521281</v>
      </c>
      <c r="K46" s="6">
        <f t="shared" si="5"/>
        <v>144.2557279334217</v>
      </c>
      <c r="M46" s="2">
        <f>'rockfish harvests'!O45</f>
        <v>295.12697145138736</v>
      </c>
      <c r="N46">
        <f>'rockfish harvests'!P45</f>
        <v>25370.25919469192</v>
      </c>
      <c r="O46" s="27">
        <f t="shared" si="36"/>
        <v>0.83437499999999998</v>
      </c>
      <c r="P46" s="27">
        <f t="shared" si="36"/>
        <v>4.3320799999999998E-4</v>
      </c>
      <c r="Q46" s="13">
        <f t="shared" si="1"/>
        <v>246.24656680475132</v>
      </c>
      <c r="R46" s="2">
        <f t="shared" si="6"/>
        <v>17689.050456159592</v>
      </c>
      <c r="S46">
        <f t="shared" si="7"/>
        <v>133.00018968467523</v>
      </c>
      <c r="T46" s="6">
        <f t="shared" si="8"/>
        <v>260.68037178196346</v>
      </c>
      <c r="V46" s="13">
        <f t="shared" si="9"/>
        <v>1687.6795897647514</v>
      </c>
      <c r="W46">
        <f t="shared" si="2"/>
        <v>23105.99002342359</v>
      </c>
      <c r="X46">
        <f t="shared" si="10"/>
        <v>152.00654598872902</v>
      </c>
      <c r="Y46" s="6">
        <f t="shared" si="11"/>
        <v>297.93283013790887</v>
      </c>
      <c r="Z46" s="14">
        <f t="shared" si="12"/>
        <v>9.0068367781776321E-2</v>
      </c>
      <c r="AA46" s="68"/>
      <c r="AB46" s="2"/>
    </row>
    <row r="47" spans="1:28" x14ac:dyDescent="0.25">
      <c r="A47" t="str">
        <f>'rockfish harvests'!A46</f>
        <v>SC</v>
      </c>
      <c r="B47">
        <f>'rockfish harvests'!B46</f>
        <v>2017</v>
      </c>
      <c r="C47" t="str">
        <f>'rockfish harvests'!C46</f>
        <v>WKMA</v>
      </c>
      <c r="D47">
        <f>'rockfish harvests'!D46</f>
        <v>2899</v>
      </c>
      <c r="E47">
        <v>2301</v>
      </c>
      <c r="F47" s="27">
        <f t="shared" si="35"/>
        <v>0.62343096200000003</v>
      </c>
      <c r="G47" s="27">
        <f t="shared" si="35"/>
        <v>9.8640699999999991E-4</v>
      </c>
      <c r="H47" s="7">
        <f t="shared" si="14"/>
        <v>1434.5146435620002</v>
      </c>
      <c r="I47">
        <f t="shared" si="13"/>
        <v>5222.6314886069995</v>
      </c>
      <c r="J47">
        <f t="shared" si="4"/>
        <v>72.267776281043822</v>
      </c>
      <c r="K47" s="6">
        <f t="shared" si="5"/>
        <v>141.64484151084588</v>
      </c>
      <c r="M47" s="2">
        <f>'rockfish harvests'!O46</f>
        <v>997.88339552238813</v>
      </c>
      <c r="N47">
        <f>'rockfish harvests'!P46</f>
        <v>341376.2270959196</v>
      </c>
      <c r="O47" s="27">
        <f t="shared" si="36"/>
        <v>0.712121212</v>
      </c>
      <c r="P47" s="27">
        <f t="shared" si="36"/>
        <v>6.2311400000000002E-4</v>
      </c>
      <c r="Q47" s="13">
        <f t="shared" si="1"/>
        <v>710.61393305407842</v>
      </c>
      <c r="R47" s="2">
        <f t="shared" si="6"/>
        <v>173525.32134477666</v>
      </c>
      <c r="S47">
        <f t="shared" si="7"/>
        <v>416.56370622604254</v>
      </c>
      <c r="T47" s="6">
        <f t="shared" si="8"/>
        <v>816.46486420304336</v>
      </c>
      <c r="V47" s="13">
        <f t="shared" si="9"/>
        <v>2145.1285766160786</v>
      </c>
      <c r="W47">
        <f t="shared" si="2"/>
        <v>178747.95283338366</v>
      </c>
      <c r="X47">
        <f t="shared" si="10"/>
        <v>422.78594209526841</v>
      </c>
      <c r="Y47" s="6">
        <f t="shared" si="11"/>
        <v>828.66044650672609</v>
      </c>
      <c r="Z47" s="14">
        <f t="shared" si="12"/>
        <v>0.19709118917347579</v>
      </c>
      <c r="AA47" s="69"/>
      <c r="AB47" s="2"/>
    </row>
    <row r="48" spans="1:28" x14ac:dyDescent="0.25">
      <c r="A48" t="str">
        <f>'rockfish harvests'!A47</f>
        <v>SC</v>
      </c>
      <c r="B48">
        <f>'rockfish harvests'!B47</f>
        <v>2018</v>
      </c>
      <c r="C48" t="str">
        <f>'rockfish harvests'!C47</f>
        <v>WKMA</v>
      </c>
      <c r="D48">
        <f>'rockfish harvests'!D47</f>
        <v>4291</v>
      </c>
      <c r="E48">
        <v>3583</v>
      </c>
      <c r="F48" s="27">
        <f t="shared" si="35"/>
        <v>0.55421686699999995</v>
      </c>
      <c r="G48" s="27">
        <f t="shared" si="35"/>
        <v>3.0129330000000002E-3</v>
      </c>
      <c r="H48" s="7">
        <f t="shared" si="14"/>
        <v>1985.7590344609998</v>
      </c>
      <c r="I48">
        <f t="shared" si="13"/>
        <v>38679.699418437005</v>
      </c>
      <c r="J48">
        <f t="shared" si="4"/>
        <v>196.67155213308558</v>
      </c>
      <c r="K48" s="6">
        <f t="shared" si="5"/>
        <v>385.47624218084775</v>
      </c>
      <c r="M48" s="2">
        <f>'rockfish harvests'!O47</f>
        <v>688.36627310061613</v>
      </c>
      <c r="N48">
        <f>'rockfish harvests'!P47</f>
        <v>176905.35655507445</v>
      </c>
      <c r="O48" s="27">
        <f t="shared" si="36"/>
        <v>0.75919732399999995</v>
      </c>
      <c r="P48" s="27">
        <f t="shared" si="36"/>
        <v>6.13479E-4</v>
      </c>
      <c r="Q48" s="13">
        <f t="shared" si="1"/>
        <v>522.60583246984095</v>
      </c>
      <c r="R48" s="2">
        <f t="shared" si="6"/>
        <v>102146.97959791809</v>
      </c>
      <c r="S48">
        <f t="shared" si="7"/>
        <v>319.60441110522567</v>
      </c>
      <c r="T48" s="6">
        <f t="shared" si="8"/>
        <v>626.42464576624229</v>
      </c>
      <c r="V48" s="13">
        <f t="shared" si="9"/>
        <v>2508.3648669308409</v>
      </c>
      <c r="W48">
        <f t="shared" si="2"/>
        <v>140826.6790163551</v>
      </c>
      <c r="X48">
        <f t="shared" si="10"/>
        <v>375.26880901076112</v>
      </c>
      <c r="Y48" s="6">
        <f t="shared" si="11"/>
        <v>735.52686566109173</v>
      </c>
      <c r="Z48" s="14">
        <f t="shared" si="12"/>
        <v>0.14960694672379488</v>
      </c>
      <c r="AA48" s="69"/>
      <c r="AB48" s="2"/>
    </row>
    <row r="49" spans="1:28" x14ac:dyDescent="0.25">
      <c r="A49" t="str">
        <f>'rockfish harvests'!A48</f>
        <v>SC</v>
      </c>
      <c r="B49">
        <f>'rockfish harvests'!B48</f>
        <v>2019</v>
      </c>
      <c r="C49" t="str">
        <f>'rockfish harvests'!C48</f>
        <v>WKMA</v>
      </c>
      <c r="D49">
        <f>'rockfish harvests'!D48</f>
        <v>6954</v>
      </c>
      <c r="E49">
        <v>5644</v>
      </c>
      <c r="F49" s="27">
        <f t="shared" si="35"/>
        <v>0.792626728</v>
      </c>
      <c r="G49" s="27">
        <f t="shared" si="35"/>
        <v>7.6097000000000003E-4</v>
      </c>
      <c r="H49" s="7">
        <f>E49*F49</f>
        <v>4473.5852528320002</v>
      </c>
      <c r="I49">
        <f>(E49^2)*G49</f>
        <v>24240.498453920001</v>
      </c>
      <c r="J49">
        <f>SQRT(I49)</f>
        <v>155.69360440917282</v>
      </c>
      <c r="K49" s="6">
        <f>(1.96*J49)</f>
        <v>305.15946464197873</v>
      </c>
      <c r="M49" s="2">
        <f>'rockfish harvests'!O48</f>
        <v>4547.8631178707237</v>
      </c>
      <c r="N49">
        <f>'rockfish harvests'!P48</f>
        <v>3743126.0537553802</v>
      </c>
      <c r="O49" s="27">
        <f t="shared" si="36"/>
        <v>0.78749999999999998</v>
      </c>
      <c r="P49" s="27">
        <f t="shared" si="36"/>
        <v>7.0018299999999995E-4</v>
      </c>
      <c r="Q49" s="13">
        <f>M49*O49</f>
        <v>3581.4422053231947</v>
      </c>
      <c r="R49" s="2">
        <f>(M49^2)*P49+(O49^2)*N49-(P49*N49)</f>
        <v>2333184.0698015466</v>
      </c>
      <c r="S49">
        <f>SQRT(R49)</f>
        <v>1527.4763729110662</v>
      </c>
      <c r="T49" s="6">
        <f>(1.96*S49)</f>
        <v>2993.8536909056897</v>
      </c>
      <c r="V49" s="13">
        <f>Q49+H49</f>
        <v>8055.0274581551948</v>
      </c>
      <c r="W49">
        <f>R49+I49</f>
        <v>2357424.5682554664</v>
      </c>
      <c r="X49">
        <f>SQRT(W49)</f>
        <v>1535.3906891262127</v>
      </c>
      <c r="Y49" s="6">
        <f>(1.96*X49)</f>
        <v>3009.3657506873769</v>
      </c>
      <c r="Z49" s="14">
        <f t="shared" si="12"/>
        <v>0.19061271946028302</v>
      </c>
      <c r="AA49" s="70"/>
      <c r="AB49" s="2"/>
    </row>
    <row r="50" spans="1:28" x14ac:dyDescent="0.25">
      <c r="A50" t="str">
        <f>'rockfish harvests'!A49</f>
        <v>SC</v>
      </c>
      <c r="B50">
        <f>'rockfish harvests'!B49</f>
        <v>2020</v>
      </c>
      <c r="C50" t="str">
        <f>'rockfish harvests'!C49</f>
        <v>WKMA</v>
      </c>
      <c r="D50">
        <f>'rockfish harvests'!D49</f>
        <v>4035</v>
      </c>
      <c r="E50">
        <v>3456</v>
      </c>
      <c r="F50" s="27">
        <f t="shared" si="35"/>
        <v>0.743243243</v>
      </c>
      <c r="G50" s="27">
        <f t="shared" si="35"/>
        <v>2.6141469999999998E-3</v>
      </c>
      <c r="H50" s="7">
        <f t="shared" ref="H50:H51" si="37">E50*F50</f>
        <v>2568.6486478080001</v>
      </c>
      <c r="I50">
        <f t="shared" ref="I50:I51" si="38">(E50^2)*G50</f>
        <v>31223.204462591999</v>
      </c>
      <c r="J50">
        <f t="shared" ref="J50:J51" si="39">SQRT(I50)</f>
        <v>176.7008898183368</v>
      </c>
      <c r="K50" s="6">
        <f t="shared" ref="K50:K51" si="40">(1.96*J50)</f>
        <v>346.33374404394016</v>
      </c>
      <c r="M50" s="2">
        <f>'rockfish harvests'!O49</f>
        <v>763.28309305373477</v>
      </c>
      <c r="N50">
        <f>'rockfish harvests'!P49</f>
        <v>145836.37674785985</v>
      </c>
      <c r="O50" s="27">
        <f t="shared" si="36"/>
        <v>0.72222222199999997</v>
      </c>
      <c r="P50" s="27">
        <f t="shared" si="36"/>
        <v>1.8749280000000001E-3</v>
      </c>
      <c r="Q50" s="13">
        <f t="shared" ref="Q50:Q51" si="41">M50*O50</f>
        <v>551.26001148030105</v>
      </c>
      <c r="R50" s="2">
        <f t="shared" ref="R50:R51" si="42">(M50^2)*P50+(O50^2)*N50-(P50*N50)</f>
        <v>76887.876616315029</v>
      </c>
      <c r="S50">
        <f t="shared" ref="S50:S51" si="43">SQRT(R50)</f>
        <v>277.28663259579434</v>
      </c>
      <c r="T50" s="6">
        <f t="shared" ref="T50:T51" si="44">(1.96*S50)</f>
        <v>543.48179988775689</v>
      </c>
      <c r="V50" s="13">
        <f t="shared" ref="V50:V51" si="45">Q50+H50</f>
        <v>3119.9086592883014</v>
      </c>
      <c r="W50">
        <f t="shared" ref="W50:W51" si="46">R50+I50</f>
        <v>108111.08107890702</v>
      </c>
      <c r="X50">
        <f t="shared" ref="X50:X51" si="47">SQRT(W50)</f>
        <v>328.80249554847819</v>
      </c>
      <c r="Y50" s="6">
        <f t="shared" ref="Y50:Y51" si="48">(1.96*X50)</f>
        <v>644.45289127501724</v>
      </c>
      <c r="Z50" s="14">
        <f t="shared" ref="Z50:Z51" si="49">X50/V50</f>
        <v>0.10538850057984808</v>
      </c>
      <c r="AA50" s="70"/>
      <c r="AB50" s="2"/>
    </row>
    <row r="51" spans="1:28" x14ac:dyDescent="0.25">
      <c r="A51" t="str">
        <f>'rockfish harvests'!A50</f>
        <v>SC</v>
      </c>
      <c r="B51">
        <f>'rockfish harvests'!B50</f>
        <v>2021</v>
      </c>
      <c r="C51" t="str">
        <f>'rockfish harvests'!C50</f>
        <v>WKMA</v>
      </c>
      <c r="D51">
        <f>'rockfish harvests'!D50</f>
        <v>7924</v>
      </c>
      <c r="E51">
        <v>6893</v>
      </c>
      <c r="F51" s="27">
        <f t="shared" si="35"/>
        <v>0.1875</v>
      </c>
      <c r="G51" s="27">
        <f t="shared" si="35"/>
        <v>1.603618E-3</v>
      </c>
      <c r="H51" s="7">
        <f t="shared" si="37"/>
        <v>1292.4375</v>
      </c>
      <c r="I51">
        <f t="shared" si="38"/>
        <v>76193.422058482</v>
      </c>
      <c r="J51">
        <f t="shared" si="39"/>
        <v>276.0315598957518</v>
      </c>
      <c r="K51" s="6">
        <f t="shared" si="40"/>
        <v>541.02185739567346</v>
      </c>
      <c r="M51" s="2">
        <f>'rockfish harvests'!O50</f>
        <v>1237.5434476279934</v>
      </c>
      <c r="N51">
        <f>'rockfish harvests'!P50</f>
        <v>260682.47263099358</v>
      </c>
      <c r="O51" s="27">
        <f t="shared" si="36"/>
        <v>0.89705882400000003</v>
      </c>
      <c r="P51" s="27">
        <f t="shared" si="36"/>
        <v>4.5489800000000002E-4</v>
      </c>
      <c r="Q51" s="13">
        <f t="shared" si="41"/>
        <v>1110.1492697780734</v>
      </c>
      <c r="R51" s="2">
        <f t="shared" si="42"/>
        <v>210353.0730334805</v>
      </c>
      <c r="S51">
        <f t="shared" si="43"/>
        <v>458.64264197028223</v>
      </c>
      <c r="T51" s="6">
        <f t="shared" si="44"/>
        <v>898.93957826175313</v>
      </c>
      <c r="V51" s="13">
        <f t="shared" si="45"/>
        <v>2402.5867697780732</v>
      </c>
      <c r="W51">
        <f t="shared" si="46"/>
        <v>286546.49509196251</v>
      </c>
      <c r="X51">
        <f t="shared" si="47"/>
        <v>535.3003783783106</v>
      </c>
      <c r="Y51" s="6">
        <f t="shared" si="48"/>
        <v>1049.1887416214888</v>
      </c>
      <c r="Z51" s="14">
        <f t="shared" si="49"/>
        <v>0.22280168404812961</v>
      </c>
      <c r="AA51" s="70"/>
      <c r="AB51" s="2"/>
    </row>
    <row r="52" spans="1:28" s="51" customFormat="1" x14ac:dyDescent="0.25">
      <c r="A52" s="51" t="s">
        <v>81</v>
      </c>
      <c r="B52" s="51">
        <v>2022</v>
      </c>
      <c r="C52" s="51" t="s">
        <v>54</v>
      </c>
      <c r="D52">
        <f>'rockfish harvests'!D51</f>
        <v>11146</v>
      </c>
      <c r="E52" s="51">
        <v>9724</v>
      </c>
      <c r="F52" s="27">
        <f t="shared" si="35"/>
        <v>0.905511811</v>
      </c>
      <c r="G52" s="27">
        <f t="shared" si="35"/>
        <v>6.7904900000000004E-4</v>
      </c>
      <c r="H52" s="7">
        <f t="shared" ref="H52" si="50">E52*F52</f>
        <v>8805.1968501640004</v>
      </c>
      <c r="I52">
        <f t="shared" ref="I52" si="51">(E52^2)*G52</f>
        <v>64208.276756624</v>
      </c>
      <c r="J52">
        <f t="shared" ref="J52" si="52">SQRT(I52)</f>
        <v>253.39352153641181</v>
      </c>
      <c r="K52" s="6">
        <f t="shared" ref="K52" si="53">(1.96*J52)</f>
        <v>496.65130221136712</v>
      </c>
      <c r="M52" s="2">
        <f>'rockfish harvests'!O51</f>
        <v>4525.7248322147643</v>
      </c>
      <c r="N52">
        <f>'rockfish harvests'!P51</f>
        <v>4143553.5425617779</v>
      </c>
      <c r="O52" s="27">
        <f t="shared" si="36"/>
        <v>0.946428571</v>
      </c>
      <c r="P52" s="27">
        <f t="shared" si="36"/>
        <v>4.5677100000000002E-4</v>
      </c>
      <c r="Q52" s="13">
        <f t="shared" ref="Q52" si="54">M52*O52</f>
        <v>4283.2752856922343</v>
      </c>
      <c r="R52" s="2">
        <f t="shared" ref="R52" si="55">(M52^2)*P52+(O52^2)*N52-(P52*N52)</f>
        <v>3718955.962928318</v>
      </c>
      <c r="S52">
        <f t="shared" ref="S52" si="56">SQRT(R52)</f>
        <v>1928.4594792031069</v>
      </c>
      <c r="T52" s="6">
        <f t="shared" ref="T52" si="57">(1.96*S52)</f>
        <v>3779.7805792380896</v>
      </c>
      <c r="V52" s="13">
        <f t="shared" ref="V52" si="58">Q52+H52</f>
        <v>13088.472135856235</v>
      </c>
      <c r="W52">
        <f t="shared" ref="W52" si="59">R52+I52</f>
        <v>3783164.2396849422</v>
      </c>
      <c r="X52">
        <f t="shared" ref="X52" si="60">SQRT(W52)</f>
        <v>1945.0357939341225</v>
      </c>
      <c r="Y52" s="6">
        <f t="shared" ref="Y52" si="61">(1.96*X52)</f>
        <v>3812.2701561108802</v>
      </c>
      <c r="Z52" s="14">
        <f t="shared" ref="Z52" si="62">X52/V52</f>
        <v>0.14860678723574181</v>
      </c>
      <c r="AA52" s="80"/>
      <c r="AB52" s="76"/>
    </row>
    <row r="53" spans="1:28" x14ac:dyDescent="0.25">
      <c r="A53" t="str">
        <f>'rockfish harvests'!A52</f>
        <v>SC</v>
      </c>
      <c r="B53">
        <f>'rockfish harvests'!B52</f>
        <v>1998</v>
      </c>
      <c r="C53" t="str">
        <f>'rockfish harvests'!C52</f>
        <v>SKMA</v>
      </c>
      <c r="D53">
        <f>'rockfish harvests'!D52</f>
        <v>27</v>
      </c>
      <c r="E53">
        <v>22</v>
      </c>
      <c r="F53" s="27">
        <f t="shared" ref="F53:G77" si="63">F103</f>
        <v>0.94230769199999997</v>
      </c>
      <c r="G53" s="27">
        <f t="shared" si="63"/>
        <v>2.7272310000000001E-3</v>
      </c>
      <c r="H53" s="7">
        <f t="shared" si="14"/>
        <v>20.730769223999999</v>
      </c>
      <c r="I53">
        <f t="shared" si="13"/>
        <v>1.3199798040000001</v>
      </c>
      <c r="J53">
        <f t="shared" si="4"/>
        <v>1.1489037400931377</v>
      </c>
      <c r="K53" s="6">
        <f t="shared" si="5"/>
        <v>2.2518513305825496</v>
      </c>
      <c r="M53" s="2">
        <f>'rockfish harvests'!O52</f>
        <v>7.9215011476053405</v>
      </c>
      <c r="N53">
        <f>'rockfish harvests'!P52</f>
        <v>23.019267226088481</v>
      </c>
      <c r="O53" s="27">
        <f t="shared" ref="O53:P77" si="64">O103</f>
        <v>0.83333333300000001</v>
      </c>
      <c r="P53" s="27">
        <f t="shared" si="64"/>
        <v>1.5605490000000001E-3</v>
      </c>
      <c r="Q53" s="13">
        <f t="shared" si="1"/>
        <v>6.6012509536972832</v>
      </c>
      <c r="R53" s="2">
        <f t="shared" si="6"/>
        <v>16.047604264422553</v>
      </c>
      <c r="S53">
        <f t="shared" si="7"/>
        <v>4.0059461135195704</v>
      </c>
      <c r="T53" s="6">
        <f t="shared" si="8"/>
        <v>7.8516543824983582</v>
      </c>
      <c r="V53" s="13">
        <f t="shared" si="9"/>
        <v>27.332020177697281</v>
      </c>
      <c r="W53">
        <f t="shared" si="2"/>
        <v>17.367584068422552</v>
      </c>
      <c r="X53">
        <f t="shared" si="10"/>
        <v>4.1674433491557572</v>
      </c>
      <c r="Y53" s="6">
        <f t="shared" si="11"/>
        <v>8.1681889643452834</v>
      </c>
      <c r="Z53" s="14">
        <f>X53/V53</f>
        <v>0.1524747648385083</v>
      </c>
    </row>
    <row r="54" spans="1:28" x14ac:dyDescent="0.25">
      <c r="A54" t="str">
        <f>'rockfish harvests'!A53</f>
        <v>SC</v>
      </c>
      <c r="B54">
        <f>'rockfish harvests'!B53</f>
        <v>1999</v>
      </c>
      <c r="C54" t="str">
        <f>'rockfish harvests'!C53</f>
        <v>SKMA</v>
      </c>
      <c r="D54">
        <f>'rockfish harvests'!D53</f>
        <v>88</v>
      </c>
      <c r="E54">
        <v>73</v>
      </c>
      <c r="F54" s="27">
        <f t="shared" si="63"/>
        <v>0.94230769199999997</v>
      </c>
      <c r="G54" s="27">
        <f t="shared" si="63"/>
        <v>2.7272310000000001E-3</v>
      </c>
      <c r="H54" s="7">
        <f t="shared" si="14"/>
        <v>68.788461515999998</v>
      </c>
      <c r="I54">
        <f t="shared" si="13"/>
        <v>14.533413999</v>
      </c>
      <c r="J54">
        <f t="shared" si="4"/>
        <v>3.8122715012181385</v>
      </c>
      <c r="K54" s="6">
        <f t="shared" si="5"/>
        <v>7.4720521423875512</v>
      </c>
      <c r="M54" s="2">
        <f>'rockfish harvests'!O53</f>
        <v>25.818225962565563</v>
      </c>
      <c r="N54">
        <f>'rockfish harvests'!P53</f>
        <v>244.52840246752979</v>
      </c>
      <c r="O54" s="27">
        <f t="shared" si="64"/>
        <v>0.71300448400000005</v>
      </c>
      <c r="P54" s="27">
        <f t="shared" si="64"/>
        <v>9.2175299999999998E-4</v>
      </c>
      <c r="Q54" s="13">
        <f t="shared" ref="Q54:Q123" si="65">M54*O54</f>
        <v>18.408510880234463</v>
      </c>
      <c r="R54" s="2">
        <f t="shared" si="6"/>
        <v>124.70125105460507</v>
      </c>
      <c r="S54">
        <f t="shared" si="7"/>
        <v>11.166971436096945</v>
      </c>
      <c r="T54" s="6">
        <f t="shared" si="8"/>
        <v>21.887264014750013</v>
      </c>
      <c r="V54" s="13">
        <f t="shared" ref="V54:V123" si="66">Q54+H54</f>
        <v>87.196972396234457</v>
      </c>
      <c r="W54">
        <f t="shared" ref="W54:W123" si="67">R54+I54</f>
        <v>139.23466505360506</v>
      </c>
      <c r="X54">
        <f t="shared" si="10"/>
        <v>11.799773940783995</v>
      </c>
      <c r="Y54" s="6">
        <f t="shared" si="11"/>
        <v>23.127556923936631</v>
      </c>
      <c r="Z54" s="14">
        <f t="shared" ref="Z54:Z74" si="68">X54/V54</f>
        <v>0.1353232069476481</v>
      </c>
    </row>
    <row r="55" spans="1:28" x14ac:dyDescent="0.25">
      <c r="A55" t="str">
        <f>'rockfish harvests'!A54</f>
        <v>SC</v>
      </c>
      <c r="B55">
        <f>'rockfish harvests'!B54</f>
        <v>2000</v>
      </c>
      <c r="C55" t="str">
        <f>'rockfish harvests'!C54</f>
        <v>SKMA</v>
      </c>
      <c r="D55">
        <f>'rockfish harvests'!D54</f>
        <v>65</v>
      </c>
      <c r="E55">
        <v>5</v>
      </c>
      <c r="F55" s="27">
        <f t="shared" si="63"/>
        <v>0.94230769199999997</v>
      </c>
      <c r="G55" s="27">
        <f t="shared" si="63"/>
        <v>2.7272310000000001E-3</v>
      </c>
      <c r="H55" s="7">
        <f t="shared" ref="H55:H123" si="69">E55*F55</f>
        <v>4.7115384599999999</v>
      </c>
      <c r="I55">
        <f t="shared" si="13"/>
        <v>6.8180774999999999E-2</v>
      </c>
      <c r="J55">
        <f t="shared" ref="J55:J123" si="70">SQRT(I55)</f>
        <v>0.261114486384804</v>
      </c>
      <c r="K55" s="6">
        <f t="shared" ref="K55:K123" si="71">(1.96*J55)</f>
        <v>0.51178439331421588</v>
      </c>
      <c r="M55" s="2">
        <f>'rockfish harvests'!O54</f>
        <v>19.070280540531371</v>
      </c>
      <c r="N55">
        <f>'rockfish harvests'!P54</f>
        <v>133.41070511690512</v>
      </c>
      <c r="O55" s="27">
        <f t="shared" si="64"/>
        <v>0.743589744</v>
      </c>
      <c r="P55" s="27">
        <f t="shared" si="64"/>
        <v>9.828040000000001E-4</v>
      </c>
      <c r="Q55" s="13">
        <f t="shared" si="65"/>
        <v>14.180465025141904</v>
      </c>
      <c r="R55" s="2">
        <f t="shared" si="6"/>
        <v>73.99251375874131</v>
      </c>
      <c r="S55">
        <f t="shared" ref="S55:S123" si="72">SQRT(R55)</f>
        <v>8.601890127102374</v>
      </c>
      <c r="T55" s="6">
        <f t="shared" ref="T55:T123" si="73">(1.96*S55)</f>
        <v>16.859704649120651</v>
      </c>
      <c r="V55" s="13">
        <f t="shared" si="66"/>
        <v>18.892003485141906</v>
      </c>
      <c r="W55">
        <f t="shared" si="67"/>
        <v>74.060694533741312</v>
      </c>
      <c r="X55">
        <f t="shared" ref="X55:X123" si="74">SQRT(W55)</f>
        <v>8.6058523420833399</v>
      </c>
      <c r="Y55" s="6">
        <f t="shared" ref="Y55:Y123" si="75">(1.96*X55)</f>
        <v>16.867470590483347</v>
      </c>
      <c r="Z55" s="14">
        <f t="shared" si="68"/>
        <v>0.45552883519482884</v>
      </c>
    </row>
    <row r="56" spans="1:28" x14ac:dyDescent="0.25">
      <c r="A56" t="str">
        <f>'rockfish harvests'!A55</f>
        <v>SC</v>
      </c>
      <c r="B56">
        <f>'rockfish harvests'!B55</f>
        <v>2001</v>
      </c>
      <c r="C56" t="str">
        <f>'rockfish harvests'!C55</f>
        <v>SKMA</v>
      </c>
      <c r="D56">
        <f>'rockfish harvests'!D55</f>
        <v>27</v>
      </c>
      <c r="E56">
        <v>8</v>
      </c>
      <c r="F56" s="27">
        <f t="shared" si="63"/>
        <v>0.94230769199999997</v>
      </c>
      <c r="G56" s="27">
        <f t="shared" si="63"/>
        <v>2.7272310000000001E-3</v>
      </c>
      <c r="H56" s="7">
        <f t="shared" si="69"/>
        <v>7.5384615359999998</v>
      </c>
      <c r="I56">
        <f t="shared" ref="I56:I123" si="76">(E56^2)*G56</f>
        <v>0.17454278400000001</v>
      </c>
      <c r="J56">
        <f t="shared" si="70"/>
        <v>0.41778317821568645</v>
      </c>
      <c r="K56" s="6">
        <f t="shared" si="71"/>
        <v>0.81885502930274545</v>
      </c>
      <c r="M56" s="2">
        <f>'rockfish harvests'!O55</f>
        <v>7.9215011476053405</v>
      </c>
      <c r="N56">
        <f>'rockfish harvests'!P55</f>
        <v>23.019267226088481</v>
      </c>
      <c r="O56" s="27">
        <f t="shared" si="64"/>
        <v>0.82022471900000005</v>
      </c>
      <c r="P56" s="27">
        <f t="shared" si="64"/>
        <v>1.6756379999999999E-3</v>
      </c>
      <c r="Q56" s="13">
        <f t="shared" si="65"/>
        <v>6.497411052852768</v>
      </c>
      <c r="R56" s="2">
        <f t="shared" si="6"/>
        <v>15.55321457461236</v>
      </c>
      <c r="S56">
        <f t="shared" si="72"/>
        <v>3.943756404066098</v>
      </c>
      <c r="T56" s="6">
        <f t="shared" si="73"/>
        <v>7.7297625519695519</v>
      </c>
      <c r="V56" s="13">
        <f t="shared" si="66"/>
        <v>14.035872588852769</v>
      </c>
      <c r="W56">
        <f t="shared" si="67"/>
        <v>15.72775735861236</v>
      </c>
      <c r="X56">
        <f t="shared" si="74"/>
        <v>3.9658236671103215</v>
      </c>
      <c r="Y56" s="6">
        <f t="shared" si="75"/>
        <v>7.7730143875362296</v>
      </c>
      <c r="Z56" s="14">
        <f t="shared" si="68"/>
        <v>0.28254913558135047</v>
      </c>
    </row>
    <row r="57" spans="1:28" x14ac:dyDescent="0.25">
      <c r="A57" t="str">
        <f>'rockfish harvests'!A56</f>
        <v>SC</v>
      </c>
      <c r="B57">
        <f>'rockfish harvests'!B56</f>
        <v>2002</v>
      </c>
      <c r="C57" t="str">
        <f>'rockfish harvests'!C56</f>
        <v>SKMA</v>
      </c>
      <c r="D57">
        <f>'rockfish harvests'!D56</f>
        <v>99</v>
      </c>
      <c r="E57">
        <v>88</v>
      </c>
      <c r="F57" s="27">
        <f t="shared" si="63"/>
        <v>0.94230769199999997</v>
      </c>
      <c r="G57" s="27">
        <f t="shared" si="63"/>
        <v>2.7272310000000001E-3</v>
      </c>
      <c r="H57" s="7">
        <f t="shared" si="69"/>
        <v>82.923076895999998</v>
      </c>
      <c r="I57">
        <f t="shared" si="76"/>
        <v>21.119676864000002</v>
      </c>
      <c r="J57">
        <f t="shared" si="70"/>
        <v>4.5956149603725507</v>
      </c>
      <c r="K57" s="6">
        <f t="shared" si="71"/>
        <v>9.0074053223301984</v>
      </c>
      <c r="M57" s="2">
        <f>'rockfish harvests'!O56</f>
        <v>29.045504207886239</v>
      </c>
      <c r="N57">
        <f>'rockfish harvests'!P56</f>
        <v>309.48125937296737</v>
      </c>
      <c r="O57" s="27">
        <f t="shared" si="64"/>
        <v>0.60843373499999998</v>
      </c>
      <c r="P57" s="27">
        <f t="shared" si="64"/>
        <v>1.443892E-3</v>
      </c>
      <c r="Q57" s="13">
        <f t="shared" si="65"/>
        <v>17.67226461016244</v>
      </c>
      <c r="R57" s="2">
        <f t="shared" si="6"/>
        <v>115.33863506743336</v>
      </c>
      <c r="S57">
        <f t="shared" si="72"/>
        <v>10.739582630038905</v>
      </c>
      <c r="T57" s="6">
        <f t="shared" si="73"/>
        <v>21.049581954876253</v>
      </c>
      <c r="V57" s="13">
        <f t="shared" si="66"/>
        <v>100.59534150616244</v>
      </c>
      <c r="W57">
        <f t="shared" si="67"/>
        <v>136.45831193143337</v>
      </c>
      <c r="X57">
        <f t="shared" si="74"/>
        <v>11.68153722467353</v>
      </c>
      <c r="Y57" s="6">
        <f t="shared" si="75"/>
        <v>22.895812960360118</v>
      </c>
      <c r="Z57" s="14">
        <f t="shared" si="68"/>
        <v>0.11612403765196147</v>
      </c>
    </row>
    <row r="58" spans="1:28" x14ac:dyDescent="0.25">
      <c r="A58" t="str">
        <f>'rockfish harvests'!A57</f>
        <v>SC</v>
      </c>
      <c r="B58">
        <f>'rockfish harvests'!B57</f>
        <v>2003</v>
      </c>
      <c r="C58" t="str">
        <f>'rockfish harvests'!C57</f>
        <v>SKMA</v>
      </c>
      <c r="D58">
        <f>'rockfish harvests'!D57</f>
        <v>144</v>
      </c>
      <c r="E58">
        <v>104</v>
      </c>
      <c r="F58" s="27">
        <f t="shared" si="63"/>
        <v>0.94230769199999997</v>
      </c>
      <c r="G58" s="27">
        <f t="shared" si="63"/>
        <v>2.7272310000000001E-3</v>
      </c>
      <c r="H58" s="7">
        <f t="shared" si="69"/>
        <v>97.999999967999997</v>
      </c>
      <c r="I58">
        <f t="shared" si="76"/>
        <v>29.497730496000003</v>
      </c>
      <c r="J58">
        <f t="shared" si="70"/>
        <v>5.431181316803924</v>
      </c>
      <c r="K58" s="6">
        <f t="shared" si="71"/>
        <v>10.645115380935691</v>
      </c>
      <c r="M58" s="2">
        <f>'rockfish harvests'!O57</f>
        <v>42.248006120561826</v>
      </c>
      <c r="N58">
        <f>'rockfish harvests'!P57</f>
        <v>654.77026776429454</v>
      </c>
      <c r="O58" s="27">
        <f t="shared" si="64"/>
        <v>0.73262032099999996</v>
      </c>
      <c r="P58" s="27">
        <f t="shared" si="64"/>
        <v>1.05316E-3</v>
      </c>
      <c r="Q58" s="13">
        <f t="shared" si="65"/>
        <v>30.951747805655966</v>
      </c>
      <c r="R58" s="2">
        <f t="shared" si="6"/>
        <v>352.62670662305089</v>
      </c>
      <c r="S58">
        <f t="shared" si="72"/>
        <v>18.778357399491867</v>
      </c>
      <c r="T58" s="6">
        <f t="shared" si="73"/>
        <v>36.805580503004059</v>
      </c>
      <c r="V58" s="13">
        <f t="shared" si="66"/>
        <v>128.95174777365597</v>
      </c>
      <c r="W58">
        <f t="shared" si="67"/>
        <v>382.12443711905087</v>
      </c>
      <c r="X58">
        <f t="shared" si="74"/>
        <v>19.548003404927339</v>
      </c>
      <c r="Y58" s="6">
        <f t="shared" si="75"/>
        <v>38.314086673657584</v>
      </c>
      <c r="Z58" s="14">
        <f t="shared" si="68"/>
        <v>0.15159161269562005</v>
      </c>
    </row>
    <row r="59" spans="1:28" x14ac:dyDescent="0.25">
      <c r="A59" t="str">
        <f>'rockfish harvests'!A58</f>
        <v>SC</v>
      </c>
      <c r="B59">
        <f>'rockfish harvests'!B58</f>
        <v>2004</v>
      </c>
      <c r="C59" t="str">
        <f>'rockfish harvests'!C58</f>
        <v>SKMA</v>
      </c>
      <c r="D59">
        <f>'rockfish harvests'!D58</f>
        <v>200</v>
      </c>
      <c r="E59">
        <v>159</v>
      </c>
      <c r="F59" s="27">
        <f t="shared" si="63"/>
        <v>0.94230769199999997</v>
      </c>
      <c r="G59" s="27">
        <f t="shared" si="63"/>
        <v>2.7272310000000001E-3</v>
      </c>
      <c r="H59" s="7">
        <f t="shared" si="69"/>
        <v>149.82692302800001</v>
      </c>
      <c r="I59">
        <f t="shared" si="76"/>
        <v>68.947126910999998</v>
      </c>
      <c r="J59">
        <f t="shared" si="70"/>
        <v>8.3034406670367673</v>
      </c>
      <c r="K59" s="6">
        <f t="shared" si="71"/>
        <v>16.274743707392062</v>
      </c>
      <c r="M59" s="2">
        <f>'rockfish harvests'!O58</f>
        <v>58.677786278558074</v>
      </c>
      <c r="N59">
        <f>'rockfish harvests'!P58</f>
        <v>1263.059930100877</v>
      </c>
      <c r="O59" s="27">
        <f t="shared" si="64"/>
        <v>0.77966101700000001</v>
      </c>
      <c r="P59" s="27">
        <f t="shared" si="64"/>
        <v>1.4682880000000001E-3</v>
      </c>
      <c r="Q59" s="13">
        <f t="shared" si="65"/>
        <v>45.748782525249233</v>
      </c>
      <c r="R59" s="2">
        <f t="shared" si="6"/>
        <v>770.97878462352901</v>
      </c>
      <c r="S59">
        <f t="shared" si="72"/>
        <v>27.766504724641326</v>
      </c>
      <c r="T59" s="6">
        <f t="shared" si="73"/>
        <v>54.422349260296997</v>
      </c>
      <c r="V59" s="13">
        <f t="shared" si="66"/>
        <v>195.57570555324924</v>
      </c>
      <c r="W59">
        <f t="shared" si="67"/>
        <v>839.92591153452895</v>
      </c>
      <c r="X59">
        <f t="shared" si="74"/>
        <v>28.981475316735153</v>
      </c>
      <c r="Y59" s="6">
        <f t="shared" si="75"/>
        <v>56.803691620800898</v>
      </c>
      <c r="Z59" s="14">
        <f t="shared" si="68"/>
        <v>0.14818545705741754</v>
      </c>
    </row>
    <row r="60" spans="1:28" x14ac:dyDescent="0.25">
      <c r="A60" t="str">
        <f>'rockfish harvests'!A59</f>
        <v>SC</v>
      </c>
      <c r="B60">
        <f>'rockfish harvests'!B59</f>
        <v>2005</v>
      </c>
      <c r="C60" t="str">
        <f>'rockfish harvests'!C59</f>
        <v>SKMA</v>
      </c>
      <c r="D60">
        <f>'rockfish harvests'!D59</f>
        <v>287</v>
      </c>
      <c r="E60">
        <v>128</v>
      </c>
      <c r="F60" s="27">
        <f t="shared" si="63"/>
        <v>0.94230769199999997</v>
      </c>
      <c r="G60" s="27">
        <f t="shared" si="63"/>
        <v>2.7272310000000001E-3</v>
      </c>
      <c r="H60" s="7">
        <f t="shared" si="69"/>
        <v>120.615384576</v>
      </c>
      <c r="I60">
        <f t="shared" si="76"/>
        <v>44.682952704000002</v>
      </c>
      <c r="J60">
        <f t="shared" si="70"/>
        <v>6.6845308514509831</v>
      </c>
      <c r="K60" s="6">
        <f t="shared" si="71"/>
        <v>13.101680468843927</v>
      </c>
      <c r="M60" s="2">
        <f>'rockfish harvests'!O59</f>
        <v>84.202623309730882</v>
      </c>
      <c r="N60">
        <f>'rockfish harvests'!P59</f>
        <v>2600.9245845619785</v>
      </c>
      <c r="O60" s="27">
        <f t="shared" si="64"/>
        <v>0.82183908000000006</v>
      </c>
      <c r="P60" s="27">
        <f t="shared" si="64"/>
        <v>8.4635600000000004E-4</v>
      </c>
      <c r="Q60" s="13">
        <f t="shared" si="65"/>
        <v>69.201006474455781</v>
      </c>
      <c r="R60" s="2">
        <f t="shared" si="6"/>
        <v>1760.5145384183547</v>
      </c>
      <c r="S60">
        <f t="shared" si="72"/>
        <v>41.958485892824527</v>
      </c>
      <c r="T60" s="6">
        <f t="shared" si="73"/>
        <v>82.238632349936069</v>
      </c>
      <c r="V60" s="13">
        <f t="shared" si="66"/>
        <v>189.81639105045576</v>
      </c>
      <c r="W60">
        <f t="shared" si="67"/>
        <v>1805.1974911223547</v>
      </c>
      <c r="X60">
        <f t="shared" si="74"/>
        <v>42.48761573826372</v>
      </c>
      <c r="Y60" s="6">
        <f t="shared" si="75"/>
        <v>83.275726846996889</v>
      </c>
      <c r="Z60" s="14">
        <f t="shared" si="68"/>
        <v>0.22383533636444461</v>
      </c>
    </row>
    <row r="61" spans="1:28" x14ac:dyDescent="0.25">
      <c r="A61" t="str">
        <f>'rockfish harvests'!A60</f>
        <v>SC</v>
      </c>
      <c r="B61">
        <f>'rockfish harvests'!B60</f>
        <v>2006</v>
      </c>
      <c r="C61" t="str">
        <f>'rockfish harvests'!C60</f>
        <v>SKMA</v>
      </c>
      <c r="D61">
        <f>'rockfish harvests'!D60</f>
        <v>303</v>
      </c>
      <c r="E61">
        <v>191</v>
      </c>
      <c r="F61" s="27">
        <f t="shared" si="63"/>
        <v>0.94230769199999997</v>
      </c>
      <c r="G61" s="27">
        <f t="shared" si="63"/>
        <v>2.7272310000000001E-3</v>
      </c>
      <c r="H61" s="7">
        <f t="shared" si="69"/>
        <v>179.98076917200001</v>
      </c>
      <c r="I61">
        <f t="shared" si="76"/>
        <v>99.492114111000006</v>
      </c>
      <c r="J61">
        <f t="shared" si="70"/>
        <v>9.974573379899514</v>
      </c>
      <c r="K61" s="6">
        <f t="shared" si="71"/>
        <v>19.550163824603047</v>
      </c>
      <c r="M61" s="2">
        <f>'rockfish harvests'!O60</f>
        <v>88.896846212015475</v>
      </c>
      <c r="N61">
        <f>'rockfish harvests'!P60</f>
        <v>2899.0067280657854</v>
      </c>
      <c r="O61" s="27">
        <f t="shared" si="64"/>
        <v>0.79807692299999999</v>
      </c>
      <c r="P61" s="27">
        <f t="shared" si="64"/>
        <v>1.564565E-3</v>
      </c>
      <c r="Q61" s="13">
        <f t="shared" si="65"/>
        <v>70.946521489289509</v>
      </c>
      <c r="R61" s="2">
        <f t="shared" si="6"/>
        <v>1854.2835300712027</v>
      </c>
      <c r="S61">
        <f t="shared" si="72"/>
        <v>43.061392570041235</v>
      </c>
      <c r="T61" s="6">
        <f t="shared" si="73"/>
        <v>84.400329437280817</v>
      </c>
      <c r="V61" s="13">
        <f t="shared" si="66"/>
        <v>250.92729066128953</v>
      </c>
      <c r="W61">
        <f t="shared" si="67"/>
        <v>1953.7756441822028</v>
      </c>
      <c r="X61">
        <f t="shared" si="74"/>
        <v>44.201534409816624</v>
      </c>
      <c r="Y61" s="6">
        <f t="shared" si="75"/>
        <v>86.635007443240582</v>
      </c>
      <c r="Z61" s="14">
        <f t="shared" si="68"/>
        <v>0.1761527584079382</v>
      </c>
    </row>
    <row r="62" spans="1:28" x14ac:dyDescent="0.25">
      <c r="A62" t="str">
        <f>'rockfish harvests'!A61</f>
        <v>SC</v>
      </c>
      <c r="B62">
        <f>'rockfish harvests'!B61</f>
        <v>2007</v>
      </c>
      <c r="C62" t="str">
        <f>'rockfish harvests'!C61</f>
        <v>SKMA</v>
      </c>
      <c r="D62">
        <f>'rockfish harvests'!D61</f>
        <v>1148</v>
      </c>
      <c r="E62">
        <v>969</v>
      </c>
      <c r="F62" s="27">
        <f t="shared" si="63"/>
        <v>0.94230769199999997</v>
      </c>
      <c r="G62" s="27">
        <f t="shared" si="63"/>
        <v>2.7272310000000001E-3</v>
      </c>
      <c r="H62" s="7">
        <f t="shared" si="69"/>
        <v>913.09615354799996</v>
      </c>
      <c r="I62">
        <f t="shared" si="76"/>
        <v>2560.7635469910001</v>
      </c>
      <c r="J62">
        <f t="shared" si="70"/>
        <v>50.60398746137502</v>
      </c>
      <c r="K62" s="6">
        <f t="shared" si="71"/>
        <v>99.183815424295034</v>
      </c>
      <c r="M62" s="2">
        <f>'rockfish harvests'!O61</f>
        <v>336.81049323892353</v>
      </c>
      <c r="N62">
        <f>'rockfish harvests'!P61</f>
        <v>41614.793352991655</v>
      </c>
      <c r="O62" s="27">
        <f t="shared" si="64"/>
        <v>0.89411764699999996</v>
      </c>
      <c r="P62" s="27">
        <f t="shared" si="64"/>
        <v>1.127039E-3</v>
      </c>
      <c r="Q62" s="13">
        <f t="shared" si="65"/>
        <v>301.14820569969572</v>
      </c>
      <c r="R62" s="2">
        <f t="shared" si="6"/>
        <v>33349.74662969802</v>
      </c>
      <c r="S62">
        <f t="shared" si="72"/>
        <v>182.61912996643593</v>
      </c>
      <c r="T62" s="6">
        <f t="shared" si="73"/>
        <v>357.93349473421443</v>
      </c>
      <c r="V62" s="13">
        <f t="shared" si="66"/>
        <v>1214.2443592476957</v>
      </c>
      <c r="W62">
        <f t="shared" si="67"/>
        <v>35910.510176689022</v>
      </c>
      <c r="X62">
        <f t="shared" si="74"/>
        <v>189.50068648078567</v>
      </c>
      <c r="Y62" s="6">
        <f t="shared" si="75"/>
        <v>371.42134550233993</v>
      </c>
      <c r="Z62" s="14">
        <f t="shared" si="68"/>
        <v>0.15606470397621927</v>
      </c>
    </row>
    <row r="63" spans="1:28" x14ac:dyDescent="0.25">
      <c r="A63" t="str">
        <f>'rockfish harvests'!A62</f>
        <v>SC</v>
      </c>
      <c r="B63">
        <f>'rockfish harvests'!B62</f>
        <v>2008</v>
      </c>
      <c r="C63" t="str">
        <f>'rockfish harvests'!C62</f>
        <v>SKMA</v>
      </c>
      <c r="D63">
        <f>'rockfish harvests'!D62</f>
        <v>1130</v>
      </c>
      <c r="E63">
        <v>1042</v>
      </c>
      <c r="F63" s="27">
        <f t="shared" si="63"/>
        <v>0.94230769199999997</v>
      </c>
      <c r="G63" s="27">
        <f t="shared" si="63"/>
        <v>2.7272310000000001E-3</v>
      </c>
      <c r="H63" s="7">
        <f t="shared" si="69"/>
        <v>981.88461506399995</v>
      </c>
      <c r="I63">
        <f t="shared" si="76"/>
        <v>2961.1292394840002</v>
      </c>
      <c r="J63">
        <f t="shared" si="70"/>
        <v>54.416258962593162</v>
      </c>
      <c r="K63" s="6">
        <f t="shared" si="71"/>
        <v>106.6558675666826</v>
      </c>
      <c r="M63" s="2">
        <f>'rockfish harvests'!O62</f>
        <v>331.52949247385322</v>
      </c>
      <c r="N63">
        <f>'rockfish harvests'!P62</f>
        <v>40320.030618645244</v>
      </c>
      <c r="O63" s="27">
        <f t="shared" si="64"/>
        <v>0.693333333</v>
      </c>
      <c r="P63" s="27">
        <f t="shared" si="64"/>
        <v>2.873273E-3</v>
      </c>
      <c r="Q63" s="13">
        <f t="shared" si="65"/>
        <v>229.86044800469506</v>
      </c>
      <c r="R63" s="2">
        <f t="shared" si="6"/>
        <v>19582.242864656688</v>
      </c>
      <c r="S63">
        <f t="shared" si="72"/>
        <v>139.93656728909954</v>
      </c>
      <c r="T63" s="6">
        <f t="shared" si="73"/>
        <v>274.27567188663511</v>
      </c>
      <c r="V63" s="13">
        <f t="shared" si="66"/>
        <v>1211.7450630686949</v>
      </c>
      <c r="W63">
        <f t="shared" si="67"/>
        <v>22543.37210414069</v>
      </c>
      <c r="X63">
        <f t="shared" si="74"/>
        <v>150.14450407570931</v>
      </c>
      <c r="Y63" s="6">
        <f t="shared" si="75"/>
        <v>294.28322798839025</v>
      </c>
      <c r="Z63" s="14">
        <f t="shared" si="68"/>
        <v>0.12390766725756198</v>
      </c>
    </row>
    <row r="64" spans="1:28" x14ac:dyDescent="0.25">
      <c r="A64" t="str">
        <f>'rockfish harvests'!A63</f>
        <v>SC</v>
      </c>
      <c r="B64">
        <f>'rockfish harvests'!B63</f>
        <v>2009</v>
      </c>
      <c r="C64" t="str">
        <f>'rockfish harvests'!C63</f>
        <v>SKMA</v>
      </c>
      <c r="D64">
        <f>'rockfish harvests'!D63</f>
        <v>810</v>
      </c>
      <c r="E64">
        <v>721</v>
      </c>
      <c r="F64" s="27">
        <f t="shared" si="63"/>
        <v>1</v>
      </c>
      <c r="G64" s="27">
        <f t="shared" si="63"/>
        <v>0</v>
      </c>
      <c r="H64" s="7">
        <f t="shared" si="69"/>
        <v>721</v>
      </c>
      <c r="I64">
        <f t="shared" si="76"/>
        <v>0</v>
      </c>
      <c r="J64">
        <f t="shared" si="70"/>
        <v>0</v>
      </c>
      <c r="K64" s="6">
        <f t="shared" si="71"/>
        <v>0</v>
      </c>
      <c r="M64" s="2">
        <f>'rockfish harvests'!O63</f>
        <v>237.64503442816022</v>
      </c>
      <c r="N64">
        <f>'rockfish harvests'!P63</f>
        <v>20717.340503479634</v>
      </c>
      <c r="O64" s="27">
        <f t="shared" si="64"/>
        <v>0.55882352899999999</v>
      </c>
      <c r="P64" s="27">
        <f t="shared" si="64"/>
        <v>3.6796979999999999E-3</v>
      </c>
      <c r="Q64" s="13">
        <f t="shared" si="65"/>
        <v>132.80163678847097</v>
      </c>
      <c r="R64" s="2">
        <f t="shared" si="6"/>
        <v>6601.2664897697632</v>
      </c>
      <c r="S64">
        <f t="shared" si="72"/>
        <v>81.24817837816282</v>
      </c>
      <c r="T64" s="6">
        <f t="shared" si="73"/>
        <v>159.24642962119913</v>
      </c>
      <c r="V64" s="13">
        <f t="shared" si="66"/>
        <v>853.801636788471</v>
      </c>
      <c r="W64">
        <f t="shared" si="67"/>
        <v>6601.2664897697632</v>
      </c>
      <c r="X64">
        <f t="shared" si="74"/>
        <v>81.24817837816282</v>
      </c>
      <c r="Y64" s="6">
        <f t="shared" si="75"/>
        <v>159.24642962119913</v>
      </c>
      <c r="Z64" s="14">
        <f t="shared" si="68"/>
        <v>9.5160485617916457E-2</v>
      </c>
    </row>
    <row r="65" spans="1:26" x14ac:dyDescent="0.25">
      <c r="A65" t="str">
        <f>'rockfish harvests'!A64</f>
        <v>SC</v>
      </c>
      <c r="B65">
        <f>'rockfish harvests'!B64</f>
        <v>2010</v>
      </c>
      <c r="C65" t="str">
        <f>'rockfish harvests'!C64</f>
        <v>SKMA</v>
      </c>
      <c r="D65">
        <f>'rockfish harvests'!D64</f>
        <v>644</v>
      </c>
      <c r="E65">
        <v>400</v>
      </c>
      <c r="F65" s="27">
        <f t="shared" si="63"/>
        <v>0.94230769199999997</v>
      </c>
      <c r="G65" s="27">
        <f t="shared" si="63"/>
        <v>2.7272310000000001E-3</v>
      </c>
      <c r="H65" s="7">
        <f t="shared" si="69"/>
        <v>376.92307679999999</v>
      </c>
      <c r="I65">
        <f t="shared" si="76"/>
        <v>436.35696000000002</v>
      </c>
      <c r="J65">
        <f t="shared" si="70"/>
        <v>20.889158910784321</v>
      </c>
      <c r="K65" s="6">
        <f t="shared" si="71"/>
        <v>40.94275146513727</v>
      </c>
      <c r="M65" s="2">
        <f>'rockfish harvests'!O64</f>
        <v>188.94247181695698</v>
      </c>
      <c r="N65">
        <f>'rockfish harvests'!P64</f>
        <v>13095.910579257932</v>
      </c>
      <c r="O65" s="27">
        <f t="shared" si="64"/>
        <v>0.74806438500000005</v>
      </c>
      <c r="P65" s="27">
        <f t="shared" si="64"/>
        <v>6.3493509999999996E-3</v>
      </c>
      <c r="Q65" s="13">
        <f t="shared" si="65"/>
        <v>141.34113398013176</v>
      </c>
      <c r="R65" s="2">
        <f t="shared" si="6"/>
        <v>7471.99238897542</v>
      </c>
      <c r="S65">
        <f t="shared" si="72"/>
        <v>86.440687115359168</v>
      </c>
      <c r="T65" s="6">
        <f t="shared" si="73"/>
        <v>169.42374674610397</v>
      </c>
      <c r="V65" s="13">
        <f t="shared" si="66"/>
        <v>518.26421078013175</v>
      </c>
      <c r="W65">
        <f t="shared" si="67"/>
        <v>7908.3493489754201</v>
      </c>
      <c r="X65">
        <f t="shared" si="74"/>
        <v>88.928900527193179</v>
      </c>
      <c r="Y65" s="6">
        <f t="shared" si="75"/>
        <v>174.30064503329862</v>
      </c>
      <c r="Z65" s="14">
        <f t="shared" si="68"/>
        <v>0.17158989310361689</v>
      </c>
    </row>
    <row r="66" spans="1:26" x14ac:dyDescent="0.25">
      <c r="A66" t="str">
        <f>'rockfish harvests'!A65</f>
        <v>SC</v>
      </c>
      <c r="B66">
        <f>'rockfish harvests'!B65</f>
        <v>2011</v>
      </c>
      <c r="C66" t="str">
        <f>'rockfish harvests'!C65</f>
        <v>SKMA</v>
      </c>
      <c r="D66">
        <f>'rockfish harvests'!D65</f>
        <v>689</v>
      </c>
      <c r="E66">
        <v>552</v>
      </c>
      <c r="F66" s="27">
        <f t="shared" si="63"/>
        <v>0.94230769199999997</v>
      </c>
      <c r="G66" s="27">
        <f t="shared" si="63"/>
        <v>2.7272310000000001E-3</v>
      </c>
      <c r="H66" s="7">
        <f t="shared" si="69"/>
        <v>520.15384598399999</v>
      </c>
      <c r="I66">
        <f t="shared" si="76"/>
        <v>830.99819462400001</v>
      </c>
      <c r="J66">
        <f t="shared" si="70"/>
        <v>28.827039296882361</v>
      </c>
      <c r="K66" s="6">
        <f t="shared" si="71"/>
        <v>56.500997021889425</v>
      </c>
      <c r="M66" s="2">
        <f>'rockfish harvests'!O65</f>
        <v>161.99495459132186</v>
      </c>
      <c r="N66">
        <f>'rockfish harvests'!P65</f>
        <v>13094.402331197241</v>
      </c>
      <c r="O66" s="27">
        <f t="shared" si="64"/>
        <v>0.71830985899999999</v>
      </c>
      <c r="P66" s="27">
        <f t="shared" si="64"/>
        <v>2.890583E-3</v>
      </c>
      <c r="Q66" s="13">
        <f t="shared" si="65"/>
        <v>116.36257299120381</v>
      </c>
      <c r="R66" s="2">
        <f t="shared" si="6"/>
        <v>6794.3116557352441</v>
      </c>
      <c r="S66">
        <f t="shared" si="72"/>
        <v>82.427614643002045</v>
      </c>
      <c r="T66" s="6">
        <f t="shared" si="73"/>
        <v>161.558124700284</v>
      </c>
      <c r="V66" s="13">
        <f t="shared" si="66"/>
        <v>636.51641897520381</v>
      </c>
      <c r="W66">
        <f t="shared" si="67"/>
        <v>7625.3098503592446</v>
      </c>
      <c r="X66">
        <f t="shared" si="74"/>
        <v>87.323020162837039</v>
      </c>
      <c r="Y66" s="6">
        <f t="shared" si="75"/>
        <v>171.15311951916058</v>
      </c>
      <c r="Z66" s="14">
        <f t="shared" si="68"/>
        <v>0.13718895154885047</v>
      </c>
    </row>
    <row r="67" spans="1:26" x14ac:dyDescent="0.25">
      <c r="A67" t="str">
        <f>'rockfish harvests'!A66</f>
        <v>SC</v>
      </c>
      <c r="B67">
        <f>'rockfish harvests'!B66</f>
        <v>2012</v>
      </c>
      <c r="C67" t="str">
        <f>'rockfish harvests'!C66</f>
        <v>SKMA</v>
      </c>
      <c r="D67">
        <f>'rockfish harvests'!D66</f>
        <v>918</v>
      </c>
      <c r="E67">
        <v>568</v>
      </c>
      <c r="F67" s="27">
        <f t="shared" si="63"/>
        <v>0.94230769199999997</v>
      </c>
      <c r="G67" s="27">
        <f t="shared" si="63"/>
        <v>2.7272310000000001E-3</v>
      </c>
      <c r="H67" s="7">
        <f t="shared" si="69"/>
        <v>535.23076905599999</v>
      </c>
      <c r="I67">
        <f t="shared" si="76"/>
        <v>879.87017414400009</v>
      </c>
      <c r="J67">
        <f t="shared" si="70"/>
        <v>29.662605653313737</v>
      </c>
      <c r="K67" s="6">
        <f t="shared" si="71"/>
        <v>58.138707080494925</v>
      </c>
      <c r="M67" s="2">
        <f>'rockfish harvests'!O66</f>
        <v>591</v>
      </c>
      <c r="N67">
        <f>'rockfish harvests'!P66</f>
        <v>113950.9906442892</v>
      </c>
      <c r="O67" s="27">
        <f t="shared" si="64"/>
        <v>0.74509803900000005</v>
      </c>
      <c r="P67" s="27">
        <f t="shared" si="64"/>
        <v>1.2495189999999999E-3</v>
      </c>
      <c r="Q67" s="13">
        <f t="shared" si="65"/>
        <v>440.35294104900004</v>
      </c>
      <c r="R67" s="2">
        <f t="shared" si="6"/>
        <v>63556.344740909233</v>
      </c>
      <c r="S67">
        <f t="shared" si="72"/>
        <v>252.10383721972428</v>
      </c>
      <c r="T67" s="6">
        <f t="shared" si="73"/>
        <v>494.12352095065961</v>
      </c>
      <c r="V67" s="13">
        <f t="shared" si="66"/>
        <v>975.58371010500002</v>
      </c>
      <c r="W67">
        <f t="shared" si="67"/>
        <v>64436.214915053235</v>
      </c>
      <c r="X67">
        <f t="shared" si="74"/>
        <v>253.84289415907082</v>
      </c>
      <c r="Y67" s="6">
        <f t="shared" si="75"/>
        <v>497.53207255177881</v>
      </c>
      <c r="Z67" s="14">
        <f t="shared" si="68"/>
        <v>0.26019591300038236</v>
      </c>
    </row>
    <row r="68" spans="1:26" x14ac:dyDescent="0.25">
      <c r="A68" t="str">
        <f>'rockfish harvests'!A67</f>
        <v>SC</v>
      </c>
      <c r="B68">
        <f>'rockfish harvests'!B67</f>
        <v>2013</v>
      </c>
      <c r="C68" t="str">
        <f>'rockfish harvests'!C67</f>
        <v>SKMA</v>
      </c>
      <c r="D68">
        <f>'rockfish harvests'!D67</f>
        <v>1035</v>
      </c>
      <c r="E68">
        <v>868</v>
      </c>
      <c r="F68" s="27">
        <f t="shared" si="63"/>
        <v>0.94230769199999997</v>
      </c>
      <c r="G68" s="27">
        <f t="shared" si="63"/>
        <v>2.7272310000000001E-3</v>
      </c>
      <c r="H68" s="7">
        <f t="shared" si="69"/>
        <v>817.92307665599992</v>
      </c>
      <c r="I68">
        <f t="shared" si="76"/>
        <v>2054.7612889440002</v>
      </c>
      <c r="J68">
        <f t="shared" si="70"/>
        <v>45.329474836401978</v>
      </c>
      <c r="K68" s="6">
        <f t="shared" si="71"/>
        <v>88.845770679347879</v>
      </c>
      <c r="M68" s="2">
        <f>'rockfish harvests'!O67</f>
        <v>209.79729729729729</v>
      </c>
      <c r="N68">
        <f>'rockfish harvests'!P67</f>
        <v>18918.407507863983</v>
      </c>
      <c r="O68" s="27">
        <f t="shared" si="64"/>
        <v>0.66871165600000004</v>
      </c>
      <c r="P68" s="27">
        <f t="shared" si="64"/>
        <v>1.3675079999999999E-3</v>
      </c>
      <c r="Q68" s="13">
        <f t="shared" si="65"/>
        <v>140.29389810000001</v>
      </c>
      <c r="R68" s="2">
        <f t="shared" si="6"/>
        <v>8494.1638155063956</v>
      </c>
      <c r="S68">
        <f t="shared" si="72"/>
        <v>92.163787983710804</v>
      </c>
      <c r="T68" s="6">
        <f t="shared" si="73"/>
        <v>180.64102444807318</v>
      </c>
      <c r="V68" s="13">
        <f t="shared" si="66"/>
        <v>958.2169747559999</v>
      </c>
      <c r="W68">
        <f t="shared" si="67"/>
        <v>10548.925104450396</v>
      </c>
      <c r="X68">
        <f t="shared" si="74"/>
        <v>102.70796027791808</v>
      </c>
      <c r="Y68" s="6">
        <f t="shared" si="75"/>
        <v>201.30760214471943</v>
      </c>
      <c r="Z68" s="14">
        <f t="shared" si="68"/>
        <v>0.10718653810539268</v>
      </c>
    </row>
    <row r="69" spans="1:26" x14ac:dyDescent="0.25">
      <c r="A69" t="str">
        <f>'rockfish harvests'!A68</f>
        <v>SC</v>
      </c>
      <c r="B69">
        <f>'rockfish harvests'!B68</f>
        <v>2014</v>
      </c>
      <c r="C69" t="str">
        <f>'rockfish harvests'!C68</f>
        <v>SKMA</v>
      </c>
      <c r="D69">
        <f>'rockfish harvests'!D68</f>
        <v>653</v>
      </c>
      <c r="E69">
        <v>557</v>
      </c>
      <c r="F69" s="27">
        <f t="shared" si="63"/>
        <v>0.94230769199999997</v>
      </c>
      <c r="G69" s="27">
        <f t="shared" si="63"/>
        <v>2.7272310000000001E-3</v>
      </c>
      <c r="H69" s="7">
        <f t="shared" si="69"/>
        <v>524.86538444400003</v>
      </c>
      <c r="I69">
        <f t="shared" si="76"/>
        <v>846.12069051900005</v>
      </c>
      <c r="J69">
        <f t="shared" si="70"/>
        <v>29.088153783267167</v>
      </c>
      <c r="K69" s="6">
        <f t="shared" si="71"/>
        <v>57.012781415203648</v>
      </c>
      <c r="M69" s="2">
        <f>'rockfish harvests'!O68</f>
        <v>219.90263510495754</v>
      </c>
      <c r="N69">
        <f>'rockfish harvests'!P68</f>
        <v>18177.015037346606</v>
      </c>
      <c r="O69" s="27">
        <f t="shared" si="64"/>
        <v>0.77777777800000003</v>
      </c>
      <c r="P69" s="27">
        <f t="shared" si="64"/>
        <v>1.382716E-3</v>
      </c>
      <c r="Q69" s="13">
        <f t="shared" si="65"/>
        <v>171.03538290827868</v>
      </c>
      <c r="R69" s="2">
        <f t="shared" si="6"/>
        <v>11037.702647577289</v>
      </c>
      <c r="S69">
        <f t="shared" si="72"/>
        <v>105.06047138470915</v>
      </c>
      <c r="T69" s="6">
        <f t="shared" si="73"/>
        <v>205.91852391402992</v>
      </c>
      <c r="V69" s="13">
        <f t="shared" si="66"/>
        <v>695.90076735227876</v>
      </c>
      <c r="W69">
        <f t="shared" si="67"/>
        <v>11883.823338096288</v>
      </c>
      <c r="X69">
        <f t="shared" si="74"/>
        <v>109.01295032286893</v>
      </c>
      <c r="Y69" s="6">
        <f t="shared" si="75"/>
        <v>213.66538263282311</v>
      </c>
      <c r="Z69" s="14">
        <f t="shared" si="68"/>
        <v>0.15665013668203703</v>
      </c>
    </row>
    <row r="70" spans="1:26" x14ac:dyDescent="0.25">
      <c r="A70" t="str">
        <f>'rockfish harvests'!A69</f>
        <v>SC</v>
      </c>
      <c r="B70">
        <f>'rockfish harvests'!B69</f>
        <v>2015</v>
      </c>
      <c r="C70" t="str">
        <f>'rockfish harvests'!C69</f>
        <v>SKMA</v>
      </c>
      <c r="D70">
        <f>'rockfish harvests'!D69</f>
        <v>619</v>
      </c>
      <c r="E70">
        <v>547</v>
      </c>
      <c r="F70" s="27">
        <f t="shared" si="63"/>
        <v>0.94230769199999997</v>
      </c>
      <c r="G70" s="27">
        <f t="shared" si="63"/>
        <v>2.7272310000000001E-3</v>
      </c>
      <c r="H70" s="7">
        <f t="shared" si="69"/>
        <v>515.44230752399994</v>
      </c>
      <c r="I70">
        <f t="shared" si="76"/>
        <v>816.01206027900002</v>
      </c>
      <c r="J70">
        <f t="shared" si="70"/>
        <v>28.56592481049756</v>
      </c>
      <c r="K70" s="6">
        <f t="shared" si="71"/>
        <v>55.989212628575217</v>
      </c>
      <c r="M70" s="2">
        <f>'rockfish harvests'!O69</f>
        <v>281.78094694808897</v>
      </c>
      <c r="N70">
        <f>'rockfish harvests'!P69</f>
        <v>62212.407283949418</v>
      </c>
      <c r="O70" s="27">
        <f t="shared" si="64"/>
        <v>0.73157894700000003</v>
      </c>
      <c r="P70" s="27">
        <f t="shared" si="64"/>
        <v>5.1813E-4</v>
      </c>
      <c r="Q70" s="13">
        <f t="shared" si="65"/>
        <v>206.1450084529458</v>
      </c>
      <c r="R70" s="2">
        <f t="shared" si="6"/>
        <v>33305.468546288386</v>
      </c>
      <c r="S70">
        <f t="shared" si="72"/>
        <v>182.49785901836873</v>
      </c>
      <c r="T70" s="6">
        <f t="shared" si="73"/>
        <v>357.6958036760027</v>
      </c>
      <c r="V70" s="13">
        <f t="shared" si="66"/>
        <v>721.58731597694577</v>
      </c>
      <c r="W70">
        <f t="shared" si="67"/>
        <v>34121.480606567384</v>
      </c>
      <c r="X70">
        <f t="shared" si="74"/>
        <v>184.72000597273535</v>
      </c>
      <c r="Y70" s="6">
        <f t="shared" si="75"/>
        <v>362.05121170656128</v>
      </c>
      <c r="Z70" s="14">
        <f t="shared" si="68"/>
        <v>0.25599120422820326</v>
      </c>
    </row>
    <row r="71" spans="1:26" x14ac:dyDescent="0.25">
      <c r="A71" t="str">
        <f>'rockfish harvests'!A70</f>
        <v>SC</v>
      </c>
      <c r="B71">
        <f>'rockfish harvests'!B70</f>
        <v>2016</v>
      </c>
      <c r="C71" t="str">
        <f>'rockfish harvests'!C70</f>
        <v>SKMA</v>
      </c>
      <c r="D71">
        <f>'rockfish harvests'!D70</f>
        <v>804</v>
      </c>
      <c r="E71">
        <v>713</v>
      </c>
      <c r="F71" s="27">
        <f t="shared" si="63"/>
        <v>0.90384615400000001</v>
      </c>
      <c r="G71" s="27">
        <f t="shared" si="63"/>
        <v>1.704084E-3</v>
      </c>
      <c r="H71" s="7">
        <f t="shared" si="69"/>
        <v>644.44230780199996</v>
      </c>
      <c r="I71">
        <f t="shared" si="76"/>
        <v>866.30347899599997</v>
      </c>
      <c r="J71">
        <f t="shared" si="70"/>
        <v>29.433033805504998</v>
      </c>
      <c r="K71" s="6">
        <f t="shared" si="71"/>
        <v>57.688746258789791</v>
      </c>
      <c r="M71" s="2">
        <f>'rockfish harvests'!O70</f>
        <v>94.418789808917268</v>
      </c>
      <c r="N71">
        <f>'rockfish harvests'!P70</f>
        <v>4384.8563398414108</v>
      </c>
      <c r="O71" s="27">
        <f t="shared" si="64"/>
        <v>0.83437499999999998</v>
      </c>
      <c r="P71" s="27">
        <f t="shared" si="64"/>
        <v>4.3320799999999998E-4</v>
      </c>
      <c r="Q71" s="13">
        <f t="shared" si="65"/>
        <v>78.780677746815343</v>
      </c>
      <c r="R71" s="2">
        <f t="shared" si="6"/>
        <v>3054.618935138561</v>
      </c>
      <c r="S71">
        <f t="shared" si="72"/>
        <v>55.26860713948345</v>
      </c>
      <c r="T71" s="6">
        <f t="shared" si="73"/>
        <v>108.32646999338756</v>
      </c>
      <c r="V71" s="13">
        <f t="shared" si="66"/>
        <v>723.22298554881536</v>
      </c>
      <c r="W71">
        <f t="shared" si="67"/>
        <v>3920.9224141345612</v>
      </c>
      <c r="X71">
        <f t="shared" si="74"/>
        <v>62.617269296373514</v>
      </c>
      <c r="Y71" s="6">
        <f t="shared" si="75"/>
        <v>122.72984782089209</v>
      </c>
      <c r="Z71" s="14">
        <f t="shared" si="68"/>
        <v>8.6580861708725435E-2</v>
      </c>
    </row>
    <row r="72" spans="1:26" x14ac:dyDescent="0.25">
      <c r="A72" t="str">
        <f>'rockfish harvests'!A71</f>
        <v>SC</v>
      </c>
      <c r="B72">
        <f>'rockfish harvests'!B71</f>
        <v>2017</v>
      </c>
      <c r="C72" t="str">
        <f>'rockfish harvests'!C71</f>
        <v>SKMA</v>
      </c>
      <c r="D72">
        <f>'rockfish harvests'!D71</f>
        <v>666</v>
      </c>
      <c r="E72">
        <v>607</v>
      </c>
      <c r="F72" s="27">
        <f>F122</f>
        <v>0.92307692299999999</v>
      </c>
      <c r="G72" s="27">
        <f t="shared" si="63"/>
        <v>6.1211999999999996E-4</v>
      </c>
      <c r="H72" s="7">
        <f t="shared" si="69"/>
        <v>560.30769226099994</v>
      </c>
      <c r="I72">
        <f t="shared" si="76"/>
        <v>225.53500187999998</v>
      </c>
      <c r="J72">
        <f t="shared" si="70"/>
        <v>15.017822807584327</v>
      </c>
      <c r="K72" s="6">
        <f t="shared" si="71"/>
        <v>29.434932702865282</v>
      </c>
      <c r="M72" s="2">
        <f>'rockfish harvests'!O71</f>
        <v>229.24813432835822</v>
      </c>
      <c r="N72">
        <f>'rockfish harvests'!P71</f>
        <v>18017.117128178837</v>
      </c>
      <c r="O72" s="27">
        <f t="shared" si="64"/>
        <v>0.712121212</v>
      </c>
      <c r="P72" s="27">
        <f t="shared" si="64"/>
        <v>6.2311400000000002E-4</v>
      </c>
      <c r="Q72" s="13">
        <f t="shared" si="65"/>
        <v>163.25245926664925</v>
      </c>
      <c r="R72" s="2">
        <f t="shared" si="6"/>
        <v>9158.3004064757351</v>
      </c>
      <c r="S72">
        <f t="shared" si="72"/>
        <v>95.699009433095682</v>
      </c>
      <c r="T72" s="6">
        <f t="shared" si="73"/>
        <v>187.57005848886755</v>
      </c>
      <c r="V72" s="13">
        <f t="shared" si="66"/>
        <v>723.56015152764917</v>
      </c>
      <c r="W72">
        <f t="shared" si="67"/>
        <v>9383.8354083557351</v>
      </c>
      <c r="X72">
        <f t="shared" si="74"/>
        <v>96.870198762858621</v>
      </c>
      <c r="Y72" s="6">
        <f t="shared" si="75"/>
        <v>189.8655895752029</v>
      </c>
      <c r="Z72" s="14">
        <f t="shared" si="68"/>
        <v>0.13387995256280633</v>
      </c>
    </row>
    <row r="73" spans="1:26" x14ac:dyDescent="0.25">
      <c r="A73" t="str">
        <f>'rockfish harvests'!A72</f>
        <v>SC</v>
      </c>
      <c r="B73">
        <f>'rockfish harvests'!B72</f>
        <v>2018</v>
      </c>
      <c r="C73" t="str">
        <f>'rockfish harvests'!C72</f>
        <v>SKMA</v>
      </c>
      <c r="D73">
        <f>'rockfish harvests'!D72</f>
        <v>671</v>
      </c>
      <c r="E73">
        <v>599</v>
      </c>
      <c r="F73" s="27">
        <f t="shared" si="63"/>
        <v>0.94230769199999997</v>
      </c>
      <c r="G73" s="27">
        <f t="shared" si="63"/>
        <v>2.7272310000000001E-3</v>
      </c>
      <c r="H73" s="7">
        <f t="shared" si="69"/>
        <v>564.442307508</v>
      </c>
      <c r="I73">
        <f t="shared" si="76"/>
        <v>978.53321003100007</v>
      </c>
      <c r="J73">
        <f t="shared" si="70"/>
        <v>31.281515468899521</v>
      </c>
      <c r="K73" s="6">
        <f t="shared" si="71"/>
        <v>61.311770319043056</v>
      </c>
      <c r="M73" s="2">
        <f>'rockfish harvests'!O72</f>
        <v>107.64245379876797</v>
      </c>
      <c r="N73">
        <f>'rockfish harvests'!P72</f>
        <v>4325.8254808581805</v>
      </c>
      <c r="O73" s="27">
        <f t="shared" si="64"/>
        <v>0.75919732399999995</v>
      </c>
      <c r="P73" s="27">
        <f t="shared" si="64"/>
        <v>6.13479E-4</v>
      </c>
      <c r="Q73" s="13">
        <f t="shared" si="65"/>
        <v>81.721862872818278</v>
      </c>
      <c r="R73" s="2">
        <f t="shared" si="6"/>
        <v>2497.7763010800131</v>
      </c>
      <c r="S73">
        <f t="shared" si="72"/>
        <v>49.977758063762856</v>
      </c>
      <c r="T73" s="6">
        <f t="shared" si="73"/>
        <v>97.956405804975191</v>
      </c>
      <c r="V73" s="13">
        <f t="shared" si="66"/>
        <v>646.16417038081829</v>
      </c>
      <c r="W73">
        <f t="shared" si="67"/>
        <v>3476.3095111110133</v>
      </c>
      <c r="X73">
        <f t="shared" si="74"/>
        <v>58.960236694835388</v>
      </c>
      <c r="Y73" s="6">
        <f t="shared" si="75"/>
        <v>115.56206392187735</v>
      </c>
      <c r="Z73" s="14">
        <f t="shared" si="68"/>
        <v>9.1246527426748283E-2</v>
      </c>
    </row>
    <row r="74" spans="1:26" x14ac:dyDescent="0.25">
      <c r="A74" t="str">
        <f>'rockfish harvests'!A73</f>
        <v>SC</v>
      </c>
      <c r="B74">
        <f>'rockfish harvests'!B73</f>
        <v>2019</v>
      </c>
      <c r="C74" t="str">
        <f>'rockfish harvests'!C73</f>
        <v>SKMA</v>
      </c>
      <c r="D74">
        <f>'rockfish harvests'!D73</f>
        <v>716</v>
      </c>
      <c r="E74">
        <v>588</v>
      </c>
      <c r="F74" s="27">
        <f>F124</f>
        <v>0.94230769199999997</v>
      </c>
      <c r="G74" s="27">
        <f t="shared" si="63"/>
        <v>2.7314359999999998E-3</v>
      </c>
      <c r="H74" s="7">
        <f>E74*F74</f>
        <v>554.07692289600004</v>
      </c>
      <c r="I74">
        <f>(E74^2)*G74</f>
        <v>944.37760838399993</v>
      </c>
      <c r="J74">
        <f>SQRT(I74)</f>
        <v>30.730727430114634</v>
      </c>
      <c r="K74" s="6">
        <f>(1.96*J74)</f>
        <v>60.23222576302468</v>
      </c>
      <c r="M74" s="2">
        <f>'rockfish harvests'!O73</f>
        <v>230.32441288913162</v>
      </c>
      <c r="N74">
        <f>'rockfish harvests'!P73</f>
        <v>30814.691102249373</v>
      </c>
      <c r="O74" s="27">
        <f t="shared" si="64"/>
        <v>0.78749999999999998</v>
      </c>
      <c r="P74" s="27">
        <f t="shared" si="64"/>
        <v>7.0018299999999995E-4</v>
      </c>
      <c r="Q74" s="63">
        <f>M74*O74</f>
        <v>181.38047515019116</v>
      </c>
      <c r="R74" s="2">
        <f>(M74^2)*P74+(O74^2)*N74-(P74*N74)</f>
        <v>19125.491598668534</v>
      </c>
      <c r="S74">
        <f>SQRT(R74)</f>
        <v>138.29494422670894</v>
      </c>
      <c r="T74" s="6">
        <f>(1.96*S74)</f>
        <v>271.05809068434951</v>
      </c>
      <c r="V74" s="63">
        <f>Q74+H74</f>
        <v>735.4573980461912</v>
      </c>
      <c r="W74">
        <f>R74+I74</f>
        <v>20069.869207052532</v>
      </c>
      <c r="X74">
        <f>SQRT(W74)</f>
        <v>141.66816582088063</v>
      </c>
      <c r="Y74" s="6">
        <f>(1.96*X74)</f>
        <v>277.66960500892606</v>
      </c>
      <c r="Z74" s="14">
        <f t="shared" si="68"/>
        <v>0.19262593074355477</v>
      </c>
    </row>
    <row r="75" spans="1:26" x14ac:dyDescent="0.25">
      <c r="A75" t="str">
        <f>'rockfish harvests'!A74</f>
        <v>SC</v>
      </c>
      <c r="B75">
        <f>'rockfish harvests'!B74</f>
        <v>2020</v>
      </c>
      <c r="C75" t="str">
        <f>'rockfish harvests'!C74</f>
        <v>SKMA</v>
      </c>
      <c r="D75">
        <f>'rockfish harvests'!D74</f>
        <v>302</v>
      </c>
      <c r="E75">
        <v>255</v>
      </c>
      <c r="F75" s="27">
        <f t="shared" si="63"/>
        <v>0.94230769199999997</v>
      </c>
      <c r="G75" s="27">
        <f t="shared" si="63"/>
        <v>2.7272310000000001E-3</v>
      </c>
      <c r="H75" s="7">
        <f t="shared" ref="H75:H76" si="77">E75*F75</f>
        <v>240.28846146000001</v>
      </c>
      <c r="I75">
        <f t="shared" ref="I75:I76" si="78">(E75^2)*G75</f>
        <v>177.338195775</v>
      </c>
      <c r="J75">
        <f t="shared" ref="J75:J76" si="79">SQRT(I75)</f>
        <v>13.316838805625006</v>
      </c>
      <c r="K75" s="6">
        <f t="shared" ref="K75:K76" si="80">(1.96*J75)</f>
        <v>26.101004059025012</v>
      </c>
      <c r="M75" s="2">
        <f>'rockfish harvests'!O74</f>
        <v>57.128003494975985</v>
      </c>
      <c r="N75">
        <f>'rockfish harvests'!P74</f>
        <v>816.94472651239755</v>
      </c>
      <c r="O75" s="27">
        <f>O125</f>
        <v>0.72222222199999997</v>
      </c>
      <c r="P75" s="27">
        <f t="shared" si="64"/>
        <v>1.8749280000000001E-3</v>
      </c>
      <c r="Q75" s="13">
        <f t="shared" ref="Q75:Q76" si="81">M75*O75</f>
        <v>41.259113622565323</v>
      </c>
      <c r="R75" s="2">
        <f t="shared" ref="R75:R76" si="82">(M75^2)*P75+(O75^2)*N75-(P75*N75)</f>
        <v>430.70972232828893</v>
      </c>
      <c r="S75">
        <f t="shared" ref="S75:S76" si="83">SQRT(R75)</f>
        <v>20.753547222783119</v>
      </c>
      <c r="T75" s="6">
        <f t="shared" ref="T75:T76" si="84">(1.96*S75)</f>
        <v>40.676952556654911</v>
      </c>
      <c r="V75" s="13">
        <f t="shared" ref="V75:V76" si="85">Q75+H75</f>
        <v>281.54757508256534</v>
      </c>
      <c r="W75">
        <f t="shared" ref="W75:W76" si="86">R75+I75</f>
        <v>608.04791810328891</v>
      </c>
      <c r="X75">
        <f t="shared" ref="X75:X76" si="87">SQRT(W75)</f>
        <v>24.658627660583402</v>
      </c>
      <c r="Y75" s="6">
        <f t="shared" ref="Y75:Y76" si="88">(1.96*X75)</f>
        <v>48.330910214743469</v>
      </c>
      <c r="Z75" s="14">
        <f t="shared" ref="Z75:Z76" si="89">X75/V75</f>
        <v>8.7582454415926422E-2</v>
      </c>
    </row>
    <row r="76" spans="1:26" ht="13.15" customHeight="1" x14ac:dyDescent="0.25">
      <c r="A76" t="str">
        <f>'rockfish harvests'!A75</f>
        <v>SC</v>
      </c>
      <c r="B76">
        <f>'rockfish harvests'!B75</f>
        <v>2021</v>
      </c>
      <c r="C76" t="str">
        <f>'rockfish harvests'!C75</f>
        <v>SKMA</v>
      </c>
      <c r="D76">
        <f>'rockfish harvests'!D75</f>
        <v>1622</v>
      </c>
      <c r="E76">
        <v>1428</v>
      </c>
      <c r="F76" s="27">
        <f t="shared" si="63"/>
        <v>0.94230769199999997</v>
      </c>
      <c r="G76" s="27">
        <f t="shared" si="63"/>
        <v>2.7272310000000001E-3</v>
      </c>
      <c r="H76" s="7">
        <f t="shared" si="77"/>
        <v>1345.6153841759999</v>
      </c>
      <c r="I76">
        <f t="shared" si="78"/>
        <v>5561.3258195039998</v>
      </c>
      <c r="J76">
        <f t="shared" si="79"/>
        <v>74.574297311500018</v>
      </c>
      <c r="K76" s="6">
        <f t="shared" si="80"/>
        <v>146.16562273054004</v>
      </c>
      <c r="M76" s="2">
        <f>'rockfish harvests'!O75</f>
        <v>253.31845937059643</v>
      </c>
      <c r="N76">
        <f>'rockfish harvests'!P75</f>
        <v>10922.563990757333</v>
      </c>
      <c r="O76" s="27">
        <f t="shared" si="64"/>
        <v>0.89705882400000003</v>
      </c>
      <c r="P76" s="27">
        <f t="shared" si="64"/>
        <v>4.5489800000000002E-4</v>
      </c>
      <c r="Q76" s="13">
        <f t="shared" si="81"/>
        <v>227.24155926047902</v>
      </c>
      <c r="R76" s="2">
        <f t="shared" si="82"/>
        <v>8813.7682509747356</v>
      </c>
      <c r="S76">
        <f t="shared" si="83"/>
        <v>93.881671539096146</v>
      </c>
      <c r="T76" s="6">
        <f t="shared" si="84"/>
        <v>184.00807621662844</v>
      </c>
      <c r="V76" s="13">
        <f t="shared" si="85"/>
        <v>1572.856943436479</v>
      </c>
      <c r="W76">
        <f t="shared" si="86"/>
        <v>14375.094070478735</v>
      </c>
      <c r="X76">
        <f t="shared" si="87"/>
        <v>119.89618038319125</v>
      </c>
      <c r="Y76" s="6">
        <f t="shared" si="88"/>
        <v>234.99651355105485</v>
      </c>
      <c r="Z76" s="14">
        <f t="shared" si="89"/>
        <v>7.6228280571553036E-2</v>
      </c>
    </row>
    <row r="77" spans="1:26" s="51" customFormat="1" ht="13.15" customHeight="1" x14ac:dyDescent="0.25">
      <c r="A77" s="51" t="s">
        <v>81</v>
      </c>
      <c r="B77" s="51">
        <v>2022</v>
      </c>
      <c r="C77" s="51" t="s">
        <v>82</v>
      </c>
      <c r="D77">
        <f>'rockfish harvests'!D76</f>
        <v>1321</v>
      </c>
      <c r="E77" s="87">
        <v>1112</v>
      </c>
      <c r="F77" s="27">
        <f t="shared" si="63"/>
        <v>0.94230769199999997</v>
      </c>
      <c r="G77" s="27">
        <f t="shared" si="63"/>
        <v>2.7272310000000001E-3</v>
      </c>
      <c r="H77" s="7">
        <f t="shared" ref="H77" si="90">E77*F77</f>
        <v>1047.8461535040001</v>
      </c>
      <c r="I77">
        <f t="shared" ref="I77" si="91">(E77^2)*G77</f>
        <v>3372.3411296640002</v>
      </c>
      <c r="J77">
        <f t="shared" ref="J77" si="92">SQRT(I77)</f>
        <v>58.071861771980416</v>
      </c>
      <c r="K77" s="6">
        <f t="shared" ref="K77" si="93">(1.96*J77)</f>
        <v>113.82084907308162</v>
      </c>
      <c r="M77" s="2">
        <f>'rockfish harvests'!O76</f>
        <v>504.30982804858809</v>
      </c>
      <c r="N77">
        <f>'rockfish harvests'!P76</f>
        <v>41475.667798459108</v>
      </c>
      <c r="O77" s="27">
        <f t="shared" si="64"/>
        <v>0.946428571</v>
      </c>
      <c r="P77" s="27">
        <f t="shared" si="64"/>
        <v>4.5677100000000002E-4</v>
      </c>
      <c r="Q77" s="13">
        <f t="shared" ref="Q77" si="94">M77*O77</f>
        <v>477.29322990128094</v>
      </c>
      <c r="R77" s="2">
        <f t="shared" ref="R77" si="95">(M77^2)*P77+(O77^2)*N77-(P77*N77)</f>
        <v>37248.10210590707</v>
      </c>
      <c r="S77">
        <f t="shared" ref="S77" si="96">SQRT(R77)</f>
        <v>192.99767383548195</v>
      </c>
      <c r="T77" s="6">
        <f t="shared" ref="T77" si="97">(1.96*S77)</f>
        <v>378.2754407175446</v>
      </c>
      <c r="V77" s="13">
        <f t="shared" ref="V77" si="98">Q77+H77</f>
        <v>1525.139383405281</v>
      </c>
      <c r="W77">
        <f t="shared" ref="W77" si="99">R77+I77</f>
        <v>40620.443235571067</v>
      </c>
      <c r="X77">
        <f t="shared" ref="X77" si="100">SQRT(W77)</f>
        <v>201.5451394491345</v>
      </c>
      <c r="Y77" s="6">
        <f t="shared" ref="Y77" si="101">(1.96*X77)</f>
        <v>395.02847332030359</v>
      </c>
      <c r="Z77" s="14">
        <f t="shared" ref="Z77" si="102">X77/V77</f>
        <v>0.1321486689296103</v>
      </c>
    </row>
    <row r="78" spans="1:26" x14ac:dyDescent="0.25">
      <c r="A78" t="str">
        <f>'rockfish harvests'!A77</f>
        <v>SC</v>
      </c>
      <c r="B78">
        <f>'rockfish harvests'!B77</f>
        <v>1998</v>
      </c>
      <c r="C78" t="str">
        <f>'rockfish harvests'!C77</f>
        <v>CI</v>
      </c>
      <c r="D78">
        <f>'rockfish harvests'!D77</f>
        <v>994</v>
      </c>
      <c r="E78">
        <v>723</v>
      </c>
      <c r="F78" s="32">
        <v>0.41886961900000003</v>
      </c>
      <c r="G78" s="32">
        <v>1.4755447E-2</v>
      </c>
      <c r="H78" s="7">
        <f t="shared" si="69"/>
        <v>302.84273453700001</v>
      </c>
      <c r="I78">
        <f t="shared" si="76"/>
        <v>7713.100054863</v>
      </c>
      <c r="J78">
        <f t="shared" si="70"/>
        <v>87.824256642814802</v>
      </c>
      <c r="K78" s="6">
        <f t="shared" si="71"/>
        <v>172.13554301991701</v>
      </c>
      <c r="M78" s="2">
        <f>'rockfish harvests'!O77</f>
        <v>692.47589516408812</v>
      </c>
      <c r="N78">
        <f>'rockfish harvests'!P77</f>
        <v>44240.136597187789</v>
      </c>
      <c r="O78" s="32">
        <v>0.39812478499999998</v>
      </c>
      <c r="P78" s="32">
        <v>2.2348521999999999E-2</v>
      </c>
      <c r="Q78" s="13">
        <f t="shared" si="65"/>
        <v>275.6918168798851</v>
      </c>
      <c r="R78" s="2">
        <f t="shared" si="6"/>
        <v>16740.135249248226</v>
      </c>
      <c r="S78">
        <f t="shared" si="72"/>
        <v>129.38367458550644</v>
      </c>
      <c r="T78" s="6">
        <f t="shared" si="73"/>
        <v>253.59200218759261</v>
      </c>
      <c r="V78" s="13">
        <f t="shared" si="66"/>
        <v>578.53455141688505</v>
      </c>
      <c r="W78">
        <f t="shared" si="67"/>
        <v>24453.235304111226</v>
      </c>
      <c r="X78">
        <f t="shared" si="74"/>
        <v>156.3753027306781</v>
      </c>
      <c r="Y78" s="6">
        <f t="shared" si="75"/>
        <v>306.49559335212905</v>
      </c>
      <c r="Z78" s="14">
        <f>X78/V78</f>
        <v>0.27029552919129962</v>
      </c>
    </row>
    <row r="79" spans="1:26" x14ac:dyDescent="0.25">
      <c r="A79" t="str">
        <f>'rockfish harvests'!A78</f>
        <v>SC</v>
      </c>
      <c r="B79">
        <f>'rockfish harvests'!B78</f>
        <v>1999</v>
      </c>
      <c r="C79" t="str">
        <f>'rockfish harvests'!C78</f>
        <v>CI</v>
      </c>
      <c r="D79">
        <f>'rockfish harvests'!D78</f>
        <v>911</v>
      </c>
      <c r="E79">
        <v>809</v>
      </c>
      <c r="F79" s="32">
        <v>0.41886961900000003</v>
      </c>
      <c r="G79" s="32">
        <v>1.4755447E-2</v>
      </c>
      <c r="H79" s="7">
        <f t="shared" si="69"/>
        <v>338.86552177100003</v>
      </c>
      <c r="I79">
        <f t="shared" si="76"/>
        <v>9657.1597080070005</v>
      </c>
      <c r="J79">
        <f t="shared" si="70"/>
        <v>98.27084871927687</v>
      </c>
      <c r="K79" s="6">
        <f t="shared" si="71"/>
        <v>192.61086348978267</v>
      </c>
      <c r="M79" s="2">
        <f>'rockfish harvests'!O78</f>
        <v>634.65346126205668</v>
      </c>
      <c r="N79">
        <f>'rockfish harvests'!P78</f>
        <v>37160.4054962316</v>
      </c>
      <c r="O79">
        <f>IF([1]species_comp_Region2_forR!$D89&gt;49,[1]species_comp_Region2_forR!$N89,[1]species_comp_Region2_forR!$P89)</f>
        <v>0.65</v>
      </c>
      <c r="P79">
        <f>IF([1]species_comp_Region2_forR!$D89&gt;49,[1]species_comp_Region2_forR!$O89,[1]species_comp_Region2_forR!$Q89)</f>
        <v>3.8559319999999998E-3</v>
      </c>
      <c r="Q79" s="13">
        <f t="shared" si="65"/>
        <v>412.52474982033687</v>
      </c>
      <c r="R79" s="2">
        <f t="shared" si="6"/>
        <v>17110.094957370075</v>
      </c>
      <c r="S79">
        <f t="shared" si="72"/>
        <v>130.80556164540587</v>
      </c>
      <c r="T79" s="6">
        <f t="shared" si="73"/>
        <v>256.37890082499553</v>
      </c>
      <c r="V79" s="13">
        <f t="shared" si="66"/>
        <v>751.39027159133684</v>
      </c>
      <c r="W79">
        <f t="shared" si="67"/>
        <v>26767.254665377077</v>
      </c>
      <c r="X79">
        <f t="shared" si="74"/>
        <v>163.60701288568615</v>
      </c>
      <c r="Y79" s="6">
        <f t="shared" si="75"/>
        <v>320.66974525594486</v>
      </c>
      <c r="Z79" s="14">
        <f t="shared" ref="Z79:Z124" si="103">X79/V79</f>
        <v>0.21773906193806575</v>
      </c>
    </row>
    <row r="80" spans="1:26" x14ac:dyDescent="0.25">
      <c r="A80" t="str">
        <f>'rockfish harvests'!A79</f>
        <v>SC</v>
      </c>
      <c r="B80">
        <f>'rockfish harvests'!B79</f>
        <v>2000</v>
      </c>
      <c r="C80" t="str">
        <f>'rockfish harvests'!C79</f>
        <v>CI</v>
      </c>
      <c r="D80">
        <f>'rockfish harvests'!D79</f>
        <v>1400</v>
      </c>
      <c r="E80">
        <v>1225</v>
      </c>
      <c r="F80" s="32">
        <v>0.41886961900000003</v>
      </c>
      <c r="G80" s="32">
        <v>1.4755447E-2</v>
      </c>
      <c r="H80" s="7">
        <f t="shared" si="69"/>
        <v>513.11528327500002</v>
      </c>
      <c r="I80">
        <f t="shared" si="76"/>
        <v>22142.392654374999</v>
      </c>
      <c r="J80">
        <f t="shared" si="70"/>
        <v>148.80320108913986</v>
      </c>
      <c r="K80" s="6">
        <f t="shared" si="71"/>
        <v>291.65427413471411</v>
      </c>
      <c r="M80" s="2">
        <f>'rockfish harvests'!O79</f>
        <v>975.31816220294104</v>
      </c>
      <c r="N80">
        <f>'rockfish harvests'!P79</f>
        <v>87760.635979344952</v>
      </c>
      <c r="O80" s="32">
        <v>0.39812478499999998</v>
      </c>
      <c r="P80" s="32">
        <v>2.2348521999999999E-2</v>
      </c>
      <c r="Q80" s="13">
        <f t="shared" si="65"/>
        <v>388.29833363364099</v>
      </c>
      <c r="R80" s="2">
        <f t="shared" ref="R80:R105" si="104">(M80^2)*P80+(O80^2)*N80-(P80*N80)</f>
        <v>33207.965183987755</v>
      </c>
      <c r="S80">
        <f t="shared" si="72"/>
        <v>182.23052758522036</v>
      </c>
      <c r="T80" s="6">
        <f t="shared" si="73"/>
        <v>357.17183406703191</v>
      </c>
      <c r="V80" s="13">
        <f t="shared" si="66"/>
        <v>901.41361690864096</v>
      </c>
      <c r="W80">
        <f t="shared" si="67"/>
        <v>55350.357838362754</v>
      </c>
      <c r="X80">
        <f t="shared" si="74"/>
        <v>235.26656761716646</v>
      </c>
      <c r="Y80" s="6">
        <f t="shared" si="75"/>
        <v>461.12247252964625</v>
      </c>
      <c r="Z80" s="14">
        <f t="shared" si="103"/>
        <v>0.26099735260712276</v>
      </c>
    </row>
    <row r="81" spans="1:26" x14ac:dyDescent="0.25">
      <c r="A81" t="str">
        <f>'rockfish harvests'!A80</f>
        <v>SC</v>
      </c>
      <c r="B81">
        <f>'rockfish harvests'!B80</f>
        <v>2001</v>
      </c>
      <c r="C81" t="str">
        <f>'rockfish harvests'!C80</f>
        <v>CI</v>
      </c>
      <c r="D81">
        <f>'rockfish harvests'!D80</f>
        <v>763</v>
      </c>
      <c r="E81">
        <v>694</v>
      </c>
      <c r="F81" s="32">
        <v>0.41886961900000003</v>
      </c>
      <c r="G81" s="32">
        <v>1.4755447E-2</v>
      </c>
      <c r="H81" s="7">
        <f t="shared" si="69"/>
        <v>290.695515586</v>
      </c>
      <c r="I81">
        <f t="shared" si="76"/>
        <v>7106.7544712919998</v>
      </c>
      <c r="J81">
        <f t="shared" si="70"/>
        <v>84.30156861703108</v>
      </c>
      <c r="K81" s="6">
        <f t="shared" si="71"/>
        <v>165.23107448938092</v>
      </c>
      <c r="M81" s="2">
        <f>'rockfish harvests'!O80</f>
        <v>531.54839840060276</v>
      </c>
      <c r="N81">
        <f>'rockfish harvests'!P80</f>
        <v>26067.102901764931</v>
      </c>
      <c r="O81">
        <f>IF([1]species_comp_Region2_forR!$D91&gt;49,[1]species_comp_Region2_forR!$N91,[1]species_comp_Region2_forR!$P91)</f>
        <v>0.53571428600000004</v>
      </c>
      <c r="P81">
        <f>IF([1]species_comp_Region2_forR!$D91&gt;49,[1]species_comp_Region2_forR!$O91,[1]species_comp_Region2_forR!$Q91)</f>
        <v>4.5222630000000003E-3</v>
      </c>
      <c r="Q81" s="13">
        <f t="shared" si="65"/>
        <v>284.7580707236225</v>
      </c>
      <c r="R81" s="2">
        <f t="shared" si="104"/>
        <v>8640.8471746501764</v>
      </c>
      <c r="S81">
        <f t="shared" si="72"/>
        <v>92.956157271318915</v>
      </c>
      <c r="T81" s="6">
        <f t="shared" si="73"/>
        <v>182.19406825178507</v>
      </c>
      <c r="V81" s="13">
        <f t="shared" si="66"/>
        <v>575.45358630962255</v>
      </c>
      <c r="W81">
        <f t="shared" si="67"/>
        <v>15747.601645942177</v>
      </c>
      <c r="X81">
        <f t="shared" si="74"/>
        <v>125.48944834503887</v>
      </c>
      <c r="Y81" s="6">
        <f t="shared" si="75"/>
        <v>245.95931875627616</v>
      </c>
      <c r="Z81" s="14">
        <f t="shared" si="103"/>
        <v>0.21807049487657432</v>
      </c>
    </row>
    <row r="82" spans="1:26" x14ac:dyDescent="0.25">
      <c r="A82" t="str">
        <f>'rockfish harvests'!A81</f>
        <v>SC</v>
      </c>
      <c r="B82">
        <f>'rockfish harvests'!B81</f>
        <v>2002</v>
      </c>
      <c r="C82" t="str">
        <f>'rockfish harvests'!C81</f>
        <v>CI</v>
      </c>
      <c r="D82">
        <f>'rockfish harvests'!D81</f>
        <v>2378</v>
      </c>
      <c r="E82">
        <v>2107</v>
      </c>
      <c r="F82" s="32">
        <v>0.41886961900000003</v>
      </c>
      <c r="G82" s="32">
        <v>1.4755447E-2</v>
      </c>
      <c r="H82" s="7">
        <f t="shared" si="69"/>
        <v>882.5582872330001</v>
      </c>
      <c r="I82">
        <f t="shared" si="76"/>
        <v>65506.054428702999</v>
      </c>
      <c r="J82">
        <f t="shared" si="70"/>
        <v>255.94150587332058</v>
      </c>
      <c r="K82" s="6">
        <f t="shared" si="71"/>
        <v>501.64535151170833</v>
      </c>
      <c r="M82" s="2">
        <f>'rockfish harvests'!O81</f>
        <v>1656.6475640847098</v>
      </c>
      <c r="N82">
        <f>'rockfish harvests'!P81</f>
        <v>253202.15113746023</v>
      </c>
      <c r="O82" s="32">
        <v>0.39812478499999998</v>
      </c>
      <c r="P82" s="32">
        <v>2.2348521999999999E-2</v>
      </c>
      <c r="Q82" s="13">
        <f t="shared" si="65"/>
        <v>659.55245527199872</v>
      </c>
      <c r="R82" s="2">
        <f t="shared" si="104"/>
        <v>95809.791322188452</v>
      </c>
      <c r="S82">
        <f t="shared" si="72"/>
        <v>309.53156756975284</v>
      </c>
      <c r="T82" s="6">
        <f t="shared" si="73"/>
        <v>606.68187243671559</v>
      </c>
      <c r="V82" s="13">
        <f t="shared" si="66"/>
        <v>1542.1107425049988</v>
      </c>
      <c r="W82">
        <f t="shared" si="67"/>
        <v>161315.84575089146</v>
      </c>
      <c r="X82">
        <f t="shared" si="74"/>
        <v>401.64143928495656</v>
      </c>
      <c r="Y82" s="6">
        <f t="shared" si="75"/>
        <v>787.21722099851479</v>
      </c>
      <c r="Z82" s="14">
        <f t="shared" si="103"/>
        <v>0.26044915466481461</v>
      </c>
    </row>
    <row r="83" spans="1:26" x14ac:dyDescent="0.25">
      <c r="A83" t="str">
        <f>'rockfish harvests'!A82</f>
        <v>SC</v>
      </c>
      <c r="B83">
        <f>'rockfish harvests'!B82</f>
        <v>2003</v>
      </c>
      <c r="C83" t="str">
        <f>'rockfish harvests'!C82</f>
        <v>CI</v>
      </c>
      <c r="D83">
        <f>'rockfish harvests'!D82</f>
        <v>4623</v>
      </c>
      <c r="E83">
        <v>4247</v>
      </c>
      <c r="F83">
        <f>IF([1]species_comp_Region2_forR!$G66&gt;49,[1]species_comp_Region2_forR!$AD66,[1]species_comp_Region2_forR!$AF66)</f>
        <v>0.59615384599999999</v>
      </c>
      <c r="G83">
        <f>IF([1]species_comp_Region2_forR!$G66&gt;49,[1]species_comp_Region2_forR!$AE66,[1]species_comp_Region2_forR!$AG66)</f>
        <v>4.7206749999999997E-3</v>
      </c>
      <c r="H83" s="7">
        <f t="shared" si="69"/>
        <v>2531.8653839620001</v>
      </c>
      <c r="I83">
        <f t="shared" si="76"/>
        <v>85146.857461074993</v>
      </c>
      <c r="J83">
        <f t="shared" si="70"/>
        <v>291.79934451789813</v>
      </c>
      <c r="K83" s="6">
        <f t="shared" si="71"/>
        <v>571.92671525508035</v>
      </c>
      <c r="M83" s="2">
        <f>'rockfish harvests'!O82</f>
        <v>3220.6399027601401</v>
      </c>
      <c r="N83">
        <f>'rockfish harvests'!P82</f>
        <v>956954.91493500082</v>
      </c>
      <c r="O83" s="32">
        <v>0.39812478499999998</v>
      </c>
      <c r="P83" s="32">
        <v>2.2348521999999999E-2</v>
      </c>
      <c r="Q83" s="13">
        <f t="shared" si="65"/>
        <v>1282.2165688488017</v>
      </c>
      <c r="R83" s="2">
        <f t="shared" si="104"/>
        <v>362104.54884678312</v>
      </c>
      <c r="S83">
        <f t="shared" si="72"/>
        <v>601.75123501890971</v>
      </c>
      <c r="T83" s="6">
        <f t="shared" si="73"/>
        <v>1179.4324206370629</v>
      </c>
      <c r="V83" s="13">
        <f t="shared" si="66"/>
        <v>3814.0819528108018</v>
      </c>
      <c r="W83">
        <f t="shared" si="67"/>
        <v>447251.40630785812</v>
      </c>
      <c r="X83">
        <f t="shared" si="74"/>
        <v>668.76857455165919</v>
      </c>
      <c r="Y83" s="6">
        <f t="shared" si="75"/>
        <v>1310.786406121252</v>
      </c>
      <c r="Z83" s="14">
        <f t="shared" si="103"/>
        <v>0.17534195196272795</v>
      </c>
    </row>
    <row r="84" spans="1:26" x14ac:dyDescent="0.25">
      <c r="A84" t="str">
        <f>'rockfish harvests'!A83</f>
        <v>SC</v>
      </c>
      <c r="B84">
        <f>'rockfish harvests'!B83</f>
        <v>2004</v>
      </c>
      <c r="C84" t="str">
        <f>'rockfish harvests'!C83</f>
        <v>CI</v>
      </c>
      <c r="D84">
        <f>'rockfish harvests'!D83</f>
        <v>4736</v>
      </c>
      <c r="E84">
        <v>4470</v>
      </c>
      <c r="F84" s="32">
        <v>0.41886961900000003</v>
      </c>
      <c r="G84" s="32">
        <v>1.4755447E-2</v>
      </c>
      <c r="H84" s="7">
        <f t="shared" si="69"/>
        <v>1872.3471969300001</v>
      </c>
      <c r="I84">
        <f t="shared" si="76"/>
        <v>294827.11096229998</v>
      </c>
      <c r="J84">
        <f t="shared" si="70"/>
        <v>542.97984397424921</v>
      </c>
      <c r="K84" s="6">
        <f t="shared" si="71"/>
        <v>1064.2404941895284</v>
      </c>
      <c r="M84" s="2">
        <f>'rockfish harvests'!O83</f>
        <v>3299.3620115665199</v>
      </c>
      <c r="N84">
        <f>'rockfish harvests'!P83</f>
        <v>1004308.3600935558</v>
      </c>
      <c r="O84" s="32">
        <v>0.39812478499999998</v>
      </c>
      <c r="P84" s="32">
        <v>2.2348521999999999E-2</v>
      </c>
      <c r="Q84" s="13">
        <f t="shared" si="65"/>
        <v>1313.5577914920882</v>
      </c>
      <c r="R84" s="2">
        <f t="shared" si="104"/>
        <v>380022.73666093324</v>
      </c>
      <c r="S84">
        <f t="shared" si="72"/>
        <v>616.45984188828811</v>
      </c>
      <c r="T84" s="6">
        <f t="shared" si="73"/>
        <v>1208.2612901010448</v>
      </c>
      <c r="V84" s="13">
        <f t="shared" si="66"/>
        <v>3185.9049884220885</v>
      </c>
      <c r="W84">
        <f t="shared" si="67"/>
        <v>674849.84762323322</v>
      </c>
      <c r="X84">
        <f t="shared" si="74"/>
        <v>821.49245134890509</v>
      </c>
      <c r="Y84" s="6">
        <f t="shared" si="75"/>
        <v>1610.125204643854</v>
      </c>
      <c r="Z84" s="14">
        <f t="shared" si="103"/>
        <v>0.25785215012195734</v>
      </c>
    </row>
    <row r="85" spans="1:26" x14ac:dyDescent="0.25">
      <c r="A85" t="str">
        <f>'rockfish harvests'!A84</f>
        <v>SC</v>
      </c>
      <c r="B85">
        <f>'rockfish harvests'!B84</f>
        <v>2005</v>
      </c>
      <c r="C85" t="str">
        <f>'rockfish harvests'!C84</f>
        <v>CI</v>
      </c>
      <c r="D85">
        <f>'rockfish harvests'!D84</f>
        <v>3615</v>
      </c>
      <c r="E85">
        <v>3460</v>
      </c>
      <c r="F85">
        <f>IF([1]species_comp_Region2_forR!$G68&gt;49,[1]species_comp_Region2_forR!$AD68,[1]species_comp_Region2_forR!$AF68)</f>
        <v>0.467741935</v>
      </c>
      <c r="G85">
        <f>IF([1]species_comp_Region2_forR!$G68&gt;49,[1]species_comp_Region2_forR!$AE68,[1]species_comp_Region2_forR!$AG68)</f>
        <v>4.0813020000000002E-3</v>
      </c>
      <c r="H85" s="7">
        <f t="shared" si="69"/>
        <v>1618.3870950999999</v>
      </c>
      <c r="I85">
        <f t="shared" si="76"/>
        <v>48859.715023200006</v>
      </c>
      <c r="J85">
        <f t="shared" si="70"/>
        <v>221.04233762607561</v>
      </c>
      <c r="K85" s="6">
        <f t="shared" si="71"/>
        <v>433.24298174710816</v>
      </c>
      <c r="M85" s="2">
        <f>'rockfish harvests'!O84</f>
        <v>2518.4108259740224</v>
      </c>
      <c r="N85">
        <f>'rockfish harvests'!P84</f>
        <v>585140.68220468122</v>
      </c>
      <c r="O85" s="32">
        <v>0.39812478499999998</v>
      </c>
      <c r="P85" s="32">
        <v>2.2348521999999999E-2</v>
      </c>
      <c r="Q85" s="13">
        <f t="shared" si="65"/>
        <v>1002.64176863258</v>
      </c>
      <c r="R85" s="2">
        <f t="shared" si="104"/>
        <v>221412.83715128485</v>
      </c>
      <c r="S85">
        <f t="shared" si="72"/>
        <v>470.54525515755108</v>
      </c>
      <c r="T85" s="6">
        <f t="shared" si="73"/>
        <v>922.26870010880009</v>
      </c>
      <c r="V85" s="13">
        <f t="shared" si="66"/>
        <v>2621.0288637325798</v>
      </c>
      <c r="W85">
        <f t="shared" si="67"/>
        <v>270272.55217448488</v>
      </c>
      <c r="X85">
        <f t="shared" si="74"/>
        <v>519.87743957060195</v>
      </c>
      <c r="Y85" s="6">
        <f t="shared" si="75"/>
        <v>1018.9597815583799</v>
      </c>
      <c r="Z85" s="14">
        <f t="shared" si="103"/>
        <v>0.19834861292990491</v>
      </c>
    </row>
    <row r="86" spans="1:26" x14ac:dyDescent="0.25">
      <c r="A86" t="str">
        <f>'rockfish harvests'!A85</f>
        <v>SC</v>
      </c>
      <c r="B86">
        <f>'rockfish harvests'!B85</f>
        <v>2006</v>
      </c>
      <c r="C86" t="str">
        <f>'rockfish harvests'!C85</f>
        <v>CI</v>
      </c>
      <c r="D86">
        <f>'rockfish harvests'!D85</f>
        <v>2463</v>
      </c>
      <c r="E86">
        <v>2250</v>
      </c>
      <c r="F86" s="32">
        <v>0.41886961900000003</v>
      </c>
      <c r="G86" s="32">
        <v>1.4755447E-2</v>
      </c>
      <c r="H86" s="7">
        <f t="shared" si="69"/>
        <v>942.45664275000001</v>
      </c>
      <c r="I86">
        <f t="shared" si="76"/>
        <v>74699.450437499996</v>
      </c>
      <c r="J86">
        <f t="shared" si="70"/>
        <v>273.31200200046101</v>
      </c>
      <c r="K86" s="6">
        <f t="shared" si="71"/>
        <v>535.69152392090359</v>
      </c>
      <c r="M86" s="2">
        <f>'rockfish harvests'!O85</f>
        <v>1715.8633096470312</v>
      </c>
      <c r="N86">
        <f>'rockfish harvests'!P85</f>
        <v>271626.73547213408</v>
      </c>
      <c r="O86" s="32">
        <v>0.39812478499999998</v>
      </c>
      <c r="P86" s="32">
        <v>2.2348521999999999E-2</v>
      </c>
      <c r="Q86" s="13">
        <f t="shared" si="65"/>
        <v>683.12771124261269</v>
      </c>
      <c r="R86" s="2">
        <f t="shared" si="104"/>
        <v>102781.51558429725</v>
      </c>
      <c r="S86">
        <f t="shared" si="72"/>
        <v>320.59556388742692</v>
      </c>
      <c r="T86" s="6">
        <f t="shared" si="73"/>
        <v>628.36730521935669</v>
      </c>
      <c r="V86" s="13">
        <f t="shared" si="66"/>
        <v>1625.5843539926127</v>
      </c>
      <c r="W86">
        <f t="shared" si="67"/>
        <v>177480.96602179724</v>
      </c>
      <c r="X86">
        <f t="shared" si="74"/>
        <v>421.28489887699186</v>
      </c>
      <c r="Y86" s="6">
        <f t="shared" si="75"/>
        <v>825.71840179890398</v>
      </c>
      <c r="Z86" s="14">
        <f t="shared" si="103"/>
        <v>0.25915905123118965</v>
      </c>
    </row>
    <row r="87" spans="1:26" x14ac:dyDescent="0.25">
      <c r="A87" t="str">
        <f>'rockfish harvests'!A86</f>
        <v>SC</v>
      </c>
      <c r="B87">
        <f>'rockfish harvests'!B86</f>
        <v>2007</v>
      </c>
      <c r="C87" t="str">
        <f>'rockfish harvests'!C86</f>
        <v>CI</v>
      </c>
      <c r="D87">
        <f>'rockfish harvests'!D86</f>
        <v>2559</v>
      </c>
      <c r="E87">
        <v>2365</v>
      </c>
      <c r="F87" s="32">
        <v>0.41886961900000003</v>
      </c>
      <c r="G87" s="32">
        <v>1.4755447E-2</v>
      </c>
      <c r="H87" s="7">
        <f t="shared" si="69"/>
        <v>990.62664893500005</v>
      </c>
      <c r="I87">
        <f t="shared" si="76"/>
        <v>82530.535046574994</v>
      </c>
      <c r="J87">
        <f t="shared" si="70"/>
        <v>287.28128210270677</v>
      </c>
      <c r="K87" s="6">
        <f t="shared" si="71"/>
        <v>563.07131292130521</v>
      </c>
      <c r="M87" s="2">
        <f>'rockfish harvests'!O86</f>
        <v>1782.7422693409471</v>
      </c>
      <c r="N87">
        <f>'rockfish harvests'!P86</f>
        <v>293213.70268298819</v>
      </c>
      <c r="O87" s="32">
        <v>0.39812478499999998</v>
      </c>
      <c r="P87" s="32">
        <v>2.2348521999999999E-2</v>
      </c>
      <c r="Q87" s="13">
        <f t="shared" si="65"/>
        <v>709.75388269177665</v>
      </c>
      <c r="R87" s="2">
        <f t="shared" si="104"/>
        <v>110949.861763268</v>
      </c>
      <c r="S87">
        <f t="shared" si="72"/>
        <v>333.09137149327057</v>
      </c>
      <c r="T87" s="6">
        <f t="shared" si="73"/>
        <v>652.85908812681032</v>
      </c>
      <c r="V87" s="13">
        <f t="shared" si="66"/>
        <v>1700.3805316267767</v>
      </c>
      <c r="W87">
        <f t="shared" si="67"/>
        <v>193480.39680984299</v>
      </c>
      <c r="X87">
        <f t="shared" si="74"/>
        <v>439.86406628621415</v>
      </c>
      <c r="Y87" s="6">
        <f t="shared" si="75"/>
        <v>862.13356992097977</v>
      </c>
      <c r="Z87" s="14">
        <f t="shared" si="103"/>
        <v>0.25868566365282386</v>
      </c>
    </row>
    <row r="88" spans="1:26" x14ac:dyDescent="0.25">
      <c r="A88" t="str">
        <f>'rockfish harvests'!A87</f>
        <v>SC</v>
      </c>
      <c r="B88">
        <f>'rockfish harvests'!B87</f>
        <v>2008</v>
      </c>
      <c r="C88" t="str">
        <f>'rockfish harvests'!C87</f>
        <v>CI</v>
      </c>
      <c r="D88">
        <f>'rockfish harvests'!D87</f>
        <v>2163</v>
      </c>
      <c r="E88">
        <v>2006</v>
      </c>
      <c r="F88" s="32">
        <v>0.41886961900000003</v>
      </c>
      <c r="G88" s="32">
        <v>1.4755447E-2</v>
      </c>
      <c r="H88" s="7">
        <f t="shared" si="69"/>
        <v>840.25245571400001</v>
      </c>
      <c r="I88">
        <f t="shared" si="76"/>
        <v>59376.449924091998</v>
      </c>
      <c r="J88">
        <f t="shared" si="70"/>
        <v>243.67283378352212</v>
      </c>
      <c r="K88" s="6">
        <f t="shared" si="71"/>
        <v>477.59875421570337</v>
      </c>
      <c r="M88" s="2">
        <f>'rockfish harvests'!O87</f>
        <v>1506.8665606035438</v>
      </c>
      <c r="N88">
        <f>'rockfish harvests'!P87</f>
        <v>209486.83209859589</v>
      </c>
      <c r="O88" s="32">
        <v>0.39812478499999998</v>
      </c>
      <c r="P88" s="32">
        <v>2.2348521999999999E-2</v>
      </c>
      <c r="Q88" s="13">
        <f t="shared" si="65"/>
        <v>599.92092546397532</v>
      </c>
      <c r="R88" s="2">
        <f t="shared" si="104"/>
        <v>79268.243093308367</v>
      </c>
      <c r="S88">
        <f t="shared" si="72"/>
        <v>281.54616511916544</v>
      </c>
      <c r="T88" s="6">
        <f t="shared" si="73"/>
        <v>551.8304836335642</v>
      </c>
      <c r="V88" s="13">
        <f t="shared" si="66"/>
        <v>1440.1733811779754</v>
      </c>
      <c r="W88">
        <f t="shared" si="67"/>
        <v>138644.69301740036</v>
      </c>
      <c r="X88">
        <f t="shared" si="74"/>
        <v>372.35022897455076</v>
      </c>
      <c r="Y88" s="6">
        <f t="shared" si="75"/>
        <v>729.80644879011948</v>
      </c>
      <c r="Z88" s="14">
        <f t="shared" si="103"/>
        <v>0.25854541810097242</v>
      </c>
    </row>
    <row r="89" spans="1:26" x14ac:dyDescent="0.25">
      <c r="A89" t="str">
        <f>'rockfish harvests'!A88</f>
        <v>SC</v>
      </c>
      <c r="B89">
        <f>'rockfish harvests'!B88</f>
        <v>2009</v>
      </c>
      <c r="C89" t="str">
        <f>'rockfish harvests'!C88</f>
        <v>CI</v>
      </c>
      <c r="D89">
        <f>'rockfish harvests'!D88</f>
        <v>2918</v>
      </c>
      <c r="E89">
        <v>2662</v>
      </c>
      <c r="F89">
        <f>IF([1]species_comp_Region2_forR!$G72&gt;49,[1]species_comp_Region2_forR!$AD72,[1]species_comp_Region2_forR!$AF72)</f>
        <v>0.42592592600000001</v>
      </c>
      <c r="G89">
        <f>IF([1]species_comp_Region2_forR!$G72&gt;49,[1]species_comp_Region2_forR!$AE72,[1]species_comp_Region2_forR!$AG72)</f>
        <v>4.613453E-3</v>
      </c>
      <c r="H89" s="7">
        <f t="shared" si="69"/>
        <v>1133.8148150120001</v>
      </c>
      <c r="I89">
        <f t="shared" si="76"/>
        <v>32692.053640532002</v>
      </c>
      <c r="J89">
        <f t="shared" si="70"/>
        <v>180.80944013112813</v>
      </c>
      <c r="K89" s="6">
        <f t="shared" si="71"/>
        <v>354.38650265701114</v>
      </c>
      <c r="M89" s="2">
        <f>'rockfish harvests'!O88</f>
        <v>2032.841712362987</v>
      </c>
      <c r="N89">
        <f>'rockfish harvests'!P88</f>
        <v>381253.87419826118</v>
      </c>
      <c r="O89" s="91">
        <v>0.32394366200000002</v>
      </c>
      <c r="P89" s="91">
        <v>3.1286310000000002E-3</v>
      </c>
      <c r="Q89" s="13">
        <f t="shared" si="65"/>
        <v>658.52618856921674</v>
      </c>
      <c r="R89" s="2">
        <f t="shared" si="104"/>
        <v>51744.683644259225</v>
      </c>
      <c r="S89">
        <f t="shared" si="72"/>
        <v>227.47457801754294</v>
      </c>
      <c r="T89" s="6">
        <f t="shared" si="73"/>
        <v>445.85017291438413</v>
      </c>
      <c r="V89" s="13">
        <f t="shared" si="66"/>
        <v>1792.3410035812167</v>
      </c>
      <c r="W89">
        <f t="shared" si="67"/>
        <v>84436.737284791219</v>
      </c>
      <c r="X89">
        <f t="shared" si="74"/>
        <v>290.58000152245717</v>
      </c>
      <c r="Y89" s="6">
        <f t="shared" si="75"/>
        <v>569.53680298401605</v>
      </c>
      <c r="Z89" s="14">
        <f t="shared" si="103"/>
        <v>0.16212316793615666</v>
      </c>
    </row>
    <row r="90" spans="1:26" x14ac:dyDescent="0.25">
      <c r="A90" t="str">
        <f>'rockfish harvests'!A89</f>
        <v>SC</v>
      </c>
      <c r="B90">
        <f>'rockfish harvests'!B89</f>
        <v>2010</v>
      </c>
      <c r="C90" t="str">
        <f>'rockfish harvests'!C89</f>
        <v>CI</v>
      </c>
      <c r="D90">
        <f>'rockfish harvests'!D89</f>
        <v>4422</v>
      </c>
      <c r="E90">
        <v>3249</v>
      </c>
      <c r="F90">
        <f>IF([1]species_comp_Region2_forR!$G73&gt;49,[1]species_comp_Region2_forR!$AD73,[1]species_comp_Region2_forR!$AF73)</f>
        <v>0.26168224299999998</v>
      </c>
      <c r="G90">
        <f>IF([1]species_comp_Region2_forR!$G73&gt;49,[1]species_comp_Region2_forR!$AE73,[1]species_comp_Region2_forR!$AG73)</f>
        <v>6.0376500000000003E-4</v>
      </c>
      <c r="H90" s="7">
        <f t="shared" si="69"/>
        <v>850.20560750699997</v>
      </c>
      <c r="I90">
        <f t="shared" si="76"/>
        <v>6373.3439437650004</v>
      </c>
      <c r="J90">
        <f t="shared" si="70"/>
        <v>79.833225813347923</v>
      </c>
      <c r="K90" s="6">
        <f t="shared" si="71"/>
        <v>156.47312259416194</v>
      </c>
      <c r="M90" s="2">
        <f>'rockfish harvests'!O89</f>
        <v>3080.6120809010035</v>
      </c>
      <c r="N90">
        <f>'rockfish harvests'!P89</f>
        <v>875550.43256812927</v>
      </c>
      <c r="O90" s="91">
        <v>0.25454545499999998</v>
      </c>
      <c r="P90" s="91">
        <v>5.7675399999999996E-4</v>
      </c>
      <c r="Q90" s="13">
        <f t="shared" si="65"/>
        <v>784.15580381144264</v>
      </c>
      <c r="R90" s="2">
        <f t="shared" si="104"/>
        <v>61698.396221187555</v>
      </c>
      <c r="S90">
        <f t="shared" si="72"/>
        <v>248.39161866131386</v>
      </c>
      <c r="T90" s="6">
        <f t="shared" si="73"/>
        <v>486.84757257617514</v>
      </c>
      <c r="V90" s="13">
        <f t="shared" si="66"/>
        <v>1634.3614113184426</v>
      </c>
      <c r="W90">
        <f t="shared" si="67"/>
        <v>68071.740164952556</v>
      </c>
      <c r="X90">
        <f t="shared" si="74"/>
        <v>260.90561543391999</v>
      </c>
      <c r="Y90" s="6">
        <f t="shared" si="75"/>
        <v>511.37500625048318</v>
      </c>
      <c r="Z90" s="14">
        <f t="shared" si="103"/>
        <v>0.15963765029391322</v>
      </c>
    </row>
    <row r="91" spans="1:26" x14ac:dyDescent="0.25">
      <c r="A91" t="str">
        <f>'rockfish harvests'!A90</f>
        <v>SC</v>
      </c>
      <c r="B91">
        <f>'rockfish harvests'!B90</f>
        <v>2011</v>
      </c>
      <c r="C91" t="str">
        <f>'rockfish harvests'!C90</f>
        <v>CI</v>
      </c>
      <c r="D91">
        <f>'rockfish harvests'!D90</f>
        <v>3046</v>
      </c>
      <c r="E91">
        <v>2570</v>
      </c>
      <c r="F91">
        <f>IF([1]species_comp_Region2_forR!$G74&gt;49,[1]species_comp_Region2_forR!$AD74,[1]species_comp_Region2_forR!$AF74)</f>
        <v>0.365853659</v>
      </c>
      <c r="G91">
        <f>IF([1]species_comp_Region2_forR!$G74&gt;49,[1]species_comp_Region2_forR!$AE74,[1]species_comp_Region2_forR!$AG74)</f>
        <v>2.8642559999999999E-3</v>
      </c>
      <c r="H91" s="7">
        <f t="shared" si="69"/>
        <v>940.24390362999998</v>
      </c>
      <c r="I91">
        <f t="shared" si="76"/>
        <v>18918.1244544</v>
      </c>
      <c r="J91">
        <f t="shared" si="70"/>
        <v>137.54317305631713</v>
      </c>
      <c r="K91" s="6">
        <f t="shared" si="71"/>
        <v>269.58461919038155</v>
      </c>
      <c r="M91" s="2">
        <f>'rockfish harvests'!O90</f>
        <v>2195.2886731391591</v>
      </c>
      <c r="N91">
        <f>'rockfish harvests'!P90</f>
        <v>347241.00971171423</v>
      </c>
      <c r="O91" s="91">
        <v>0.32608695700000001</v>
      </c>
      <c r="P91" s="91">
        <v>2.4148820000000001E-3</v>
      </c>
      <c r="Q91" s="13">
        <f t="shared" si="65"/>
        <v>715.85500316051605</v>
      </c>
      <c r="R91" s="2">
        <f t="shared" si="104"/>
        <v>47722.551642632541</v>
      </c>
      <c r="S91">
        <f t="shared" si="72"/>
        <v>218.4549190167906</v>
      </c>
      <c r="T91" s="6">
        <f t="shared" si="73"/>
        <v>428.17164127290954</v>
      </c>
      <c r="V91" s="13">
        <f t="shared" si="66"/>
        <v>1656.0989067905161</v>
      </c>
      <c r="W91">
        <f t="shared" si="67"/>
        <v>66640.676097032541</v>
      </c>
      <c r="X91">
        <f t="shared" si="74"/>
        <v>258.14855431908302</v>
      </c>
      <c r="Y91" s="6">
        <f t="shared" si="75"/>
        <v>505.97116646540269</v>
      </c>
      <c r="Z91" s="14">
        <f t="shared" si="103"/>
        <v>0.1558774981739281</v>
      </c>
    </row>
    <row r="92" spans="1:26" x14ac:dyDescent="0.25">
      <c r="A92" t="str">
        <f>'rockfish harvests'!A91</f>
        <v>SC</v>
      </c>
      <c r="B92">
        <f>'rockfish harvests'!B91</f>
        <v>2012</v>
      </c>
      <c r="C92" t="str">
        <f>'rockfish harvests'!C91</f>
        <v>CI</v>
      </c>
      <c r="D92">
        <f>'rockfish harvests'!D91</f>
        <v>4677</v>
      </c>
      <c r="E92">
        <v>4109</v>
      </c>
      <c r="F92">
        <f>IF([1]species_comp_Region2_forR!$G75&gt;49,[1]species_comp_Region2_forR!$AD75,[1]species_comp_Region2_forR!$AF75)</f>
        <v>0.18421052600000001</v>
      </c>
      <c r="G92">
        <f>IF([1]species_comp_Region2_forR!$G75&gt;49,[1]species_comp_Region2_forR!$AE75,[1]species_comp_Region2_forR!$AG75)</f>
        <v>7.9511600000000001E-4</v>
      </c>
      <c r="H92" s="7">
        <f t="shared" si="69"/>
        <v>756.92105133400003</v>
      </c>
      <c r="I92">
        <f t="shared" si="76"/>
        <v>13424.643925196</v>
      </c>
      <c r="J92">
        <f t="shared" si="70"/>
        <v>115.86476567617957</v>
      </c>
      <c r="K92" s="6">
        <f t="shared" si="71"/>
        <v>227.09494072531197</v>
      </c>
      <c r="M92" s="2">
        <f>'rockfish harvests'!O91</f>
        <v>5339.9412080536913</v>
      </c>
      <c r="N92">
        <f>'rockfish harvests'!P91</f>
        <v>1729256.1604569755</v>
      </c>
      <c r="O92" s="91">
        <v>0.185185185</v>
      </c>
      <c r="P92" s="91">
        <v>7.0182199999999995E-4</v>
      </c>
      <c r="Q92" s="13">
        <f t="shared" si="65"/>
        <v>988.87800050254634</v>
      </c>
      <c r="R92" s="2">
        <f t="shared" si="104"/>
        <v>78101.142081587168</v>
      </c>
      <c r="S92">
        <f t="shared" si="72"/>
        <v>279.46581558678542</v>
      </c>
      <c r="T92" s="6">
        <f t="shared" si="73"/>
        <v>547.75299855009939</v>
      </c>
      <c r="V92" s="13">
        <f t="shared" si="66"/>
        <v>1745.7990518365464</v>
      </c>
      <c r="W92">
        <f t="shared" si="67"/>
        <v>91525.786006783164</v>
      </c>
      <c r="X92">
        <f t="shared" si="74"/>
        <v>302.53228919700979</v>
      </c>
      <c r="Y92" s="6">
        <f t="shared" si="75"/>
        <v>592.96328682613921</v>
      </c>
      <c r="Z92" s="14">
        <f t="shared" si="103"/>
        <v>0.17329158752764343</v>
      </c>
    </row>
    <row r="93" spans="1:26" x14ac:dyDescent="0.25">
      <c r="A93" t="str">
        <f>'rockfish harvests'!A92</f>
        <v>SC</v>
      </c>
      <c r="B93">
        <f>'rockfish harvests'!B92</f>
        <v>2013</v>
      </c>
      <c r="C93" t="str">
        <f>'rockfish harvests'!C92</f>
        <v>CI</v>
      </c>
      <c r="D93">
        <f>'rockfish harvests'!D92</f>
        <v>4808</v>
      </c>
      <c r="E93">
        <v>4380</v>
      </c>
      <c r="F93">
        <f>IF([1]species_comp_Region2_forR!$G76&gt;49,[1]species_comp_Region2_forR!$AD76,[1]species_comp_Region2_forR!$AF76)</f>
        <v>0.40579710099999999</v>
      </c>
      <c r="G93">
        <f>IF([1]species_comp_Region2_forR!$G76&gt;49,[1]species_comp_Region2_forR!$AE76,[1]species_comp_Region2_forR!$AG76)</f>
        <v>3.545968E-3</v>
      </c>
      <c r="H93" s="7">
        <f t="shared" si="69"/>
        <v>1777.3913023800001</v>
      </c>
      <c r="I93">
        <f t="shared" si="76"/>
        <v>68027.268499199999</v>
      </c>
      <c r="J93">
        <f t="shared" si="70"/>
        <v>260.82037592795547</v>
      </c>
      <c r="K93" s="6">
        <f t="shared" si="71"/>
        <v>511.20793681879269</v>
      </c>
      <c r="M93" s="2">
        <f>'rockfish harvests'!O92</f>
        <v>3482.4354718850645</v>
      </c>
      <c r="N93">
        <f>'rockfish harvests'!P92</f>
        <v>863231.70507392555</v>
      </c>
      <c r="O93" s="91">
        <v>0.35135135099999998</v>
      </c>
      <c r="P93" s="91">
        <v>3.1219669999999998E-3</v>
      </c>
      <c r="Q93" s="13">
        <f t="shared" si="65"/>
        <v>1223.5584078171398</v>
      </c>
      <c r="R93" s="2">
        <f t="shared" si="104"/>
        <v>141730.25746093609</v>
      </c>
      <c r="S93">
        <f t="shared" si="72"/>
        <v>376.47079230789751</v>
      </c>
      <c r="T93" s="6">
        <f t="shared" si="73"/>
        <v>737.88275292347907</v>
      </c>
      <c r="V93" s="13">
        <f t="shared" si="66"/>
        <v>3000.9497101971401</v>
      </c>
      <c r="W93">
        <f t="shared" si="67"/>
        <v>209757.52596013609</v>
      </c>
      <c r="X93">
        <f t="shared" si="74"/>
        <v>457.99293221635645</v>
      </c>
      <c r="Y93" s="6">
        <f t="shared" si="75"/>
        <v>897.66614714405864</v>
      </c>
      <c r="Z93" s="14">
        <f t="shared" si="103"/>
        <v>0.15261599708256016</v>
      </c>
    </row>
    <row r="94" spans="1:26" x14ac:dyDescent="0.25">
      <c r="A94" t="str">
        <f>'rockfish harvests'!A93</f>
        <v>SC</v>
      </c>
      <c r="B94">
        <f>'rockfish harvests'!B93</f>
        <v>2014</v>
      </c>
      <c r="C94" t="str">
        <f>'rockfish harvests'!C93</f>
        <v>CI</v>
      </c>
      <c r="D94">
        <f>'rockfish harvests'!D93</f>
        <v>4731</v>
      </c>
      <c r="E94">
        <v>4369</v>
      </c>
      <c r="F94">
        <f>IF([1]species_comp_Region2_forR!$G77&gt;49,[1]species_comp_Region2_forR!$AD77,[1]species_comp_Region2_forR!$AF77)</f>
        <v>0.40410958899999999</v>
      </c>
      <c r="G94">
        <f>IF([1]species_comp_Region2_forR!$G77&gt;49,[1]species_comp_Region2_forR!$AE77,[1]species_comp_Region2_forR!$AG77)</f>
        <v>1.6607239999999999E-3</v>
      </c>
      <c r="H94" s="7">
        <f t="shared" si="69"/>
        <v>1765.5547943409999</v>
      </c>
      <c r="I94">
        <f t="shared" si="76"/>
        <v>31700.167088563998</v>
      </c>
      <c r="J94">
        <f t="shared" si="70"/>
        <v>178.04540737846622</v>
      </c>
      <c r="K94" s="6">
        <f t="shared" si="71"/>
        <v>348.96899846179377</v>
      </c>
      <c r="M94" s="2">
        <f>'rockfish harvests'!O93</f>
        <v>3444.6502099319532</v>
      </c>
      <c r="N94">
        <f>'rockfish harvests'!P93</f>
        <v>609818.57296968682</v>
      </c>
      <c r="O94" s="91">
        <v>0.41860465099999999</v>
      </c>
      <c r="P94" s="91">
        <v>1.1372649999999999E-3</v>
      </c>
      <c r="Q94" s="13">
        <f t="shared" si="65"/>
        <v>1441.9465989456419</v>
      </c>
      <c r="R94" s="2">
        <f t="shared" si="104"/>
        <v>119659.24281149576</v>
      </c>
      <c r="S94">
        <f t="shared" si="72"/>
        <v>345.91797121788244</v>
      </c>
      <c r="T94" s="6">
        <f t="shared" si="73"/>
        <v>677.99922358704953</v>
      </c>
      <c r="V94" s="13">
        <f t="shared" si="66"/>
        <v>3207.5013932866418</v>
      </c>
      <c r="W94">
        <f t="shared" si="67"/>
        <v>151359.40990005975</v>
      </c>
      <c r="X94">
        <f t="shared" si="74"/>
        <v>389.04936691898081</v>
      </c>
      <c r="Y94" s="6">
        <f t="shared" si="75"/>
        <v>762.53675916120233</v>
      </c>
      <c r="Z94" s="14">
        <f t="shared" si="103"/>
        <v>0.12129359249329343</v>
      </c>
    </row>
    <row r="95" spans="1:26" x14ac:dyDescent="0.25">
      <c r="A95" t="str">
        <f>'rockfish harvests'!A94</f>
        <v>SC</v>
      </c>
      <c r="B95">
        <f>'rockfish harvests'!B94</f>
        <v>2015</v>
      </c>
      <c r="C95" t="str">
        <f>'rockfish harvests'!C94</f>
        <v>CI</v>
      </c>
      <c r="D95">
        <f>'rockfish harvests'!D94</f>
        <v>6321</v>
      </c>
      <c r="E95">
        <v>5864</v>
      </c>
      <c r="F95">
        <f>IF([1]species_comp_Region2_forR!$G78&gt;49,[1]species_comp_Region2_forR!$AD78,[1]species_comp_Region2_forR!$AF78)</f>
        <v>0.428571429</v>
      </c>
      <c r="G95">
        <f>IF([1]species_comp_Region2_forR!$G78&gt;49,[1]species_comp_Region2_forR!$AE78,[1]species_comp_Region2_forR!$AG78)</f>
        <v>3.9499670000000004E-3</v>
      </c>
      <c r="H95" s="7">
        <f t="shared" si="69"/>
        <v>2513.1428596559999</v>
      </c>
      <c r="I95">
        <f t="shared" si="76"/>
        <v>135825.52444563201</v>
      </c>
      <c r="J95">
        <f t="shared" si="70"/>
        <v>368.54514573608481</v>
      </c>
      <c r="K95" s="6">
        <f t="shared" si="71"/>
        <v>722.34848564272625</v>
      </c>
      <c r="M95" s="2">
        <f>'rockfish harvests'!O94</f>
        <v>4002.3757374073521</v>
      </c>
      <c r="N95">
        <f>'rockfish harvests'!P94</f>
        <v>811336.58070905623</v>
      </c>
      <c r="O95" s="91">
        <v>0.39583333300000001</v>
      </c>
      <c r="P95" s="91">
        <v>2.5173610000000001E-3</v>
      </c>
      <c r="Q95" s="13">
        <f t="shared" si="65"/>
        <v>1584.2737280562849</v>
      </c>
      <c r="R95" s="2">
        <f t="shared" si="104"/>
        <v>165406.69098656435</v>
      </c>
      <c r="S95">
        <f t="shared" si="72"/>
        <v>406.70221414022859</v>
      </c>
      <c r="T95" s="6">
        <f t="shared" si="73"/>
        <v>797.13633971484808</v>
      </c>
      <c r="V95" s="13">
        <f t="shared" si="66"/>
        <v>4097.416587712285</v>
      </c>
      <c r="W95">
        <f t="shared" si="67"/>
        <v>301232.21543219639</v>
      </c>
      <c r="X95">
        <f t="shared" si="74"/>
        <v>548.84625846606298</v>
      </c>
      <c r="Y95" s="6">
        <f t="shared" si="75"/>
        <v>1075.7386665934835</v>
      </c>
      <c r="Z95" s="14">
        <f t="shared" si="103"/>
        <v>0.13394934264482511</v>
      </c>
    </row>
    <row r="96" spans="1:26" x14ac:dyDescent="0.25">
      <c r="A96" t="str">
        <f>'rockfish harvests'!A95</f>
        <v>SC</v>
      </c>
      <c r="B96">
        <f>'rockfish harvests'!B95</f>
        <v>2016</v>
      </c>
      <c r="C96" t="str">
        <f>'rockfish harvests'!C95</f>
        <v>CI</v>
      </c>
      <c r="D96">
        <f>'rockfish harvests'!D95</f>
        <v>10123</v>
      </c>
      <c r="E96">
        <v>9344</v>
      </c>
      <c r="F96">
        <f>IF([1]species_comp_Region2_forR!$G79&gt;49,[1]species_comp_Region2_forR!$AD79,[1]species_comp_Region2_forR!$AF79)</f>
        <v>0.39047619</v>
      </c>
      <c r="G96">
        <f>IF([1]species_comp_Region2_forR!$G79&gt;49,[1]species_comp_Region2_forR!$AE79,[1]species_comp_Region2_forR!$AG79)</f>
        <v>2.2885050000000001E-3</v>
      </c>
      <c r="H96" s="7">
        <f t="shared" si="69"/>
        <v>3648.6095193599999</v>
      </c>
      <c r="I96">
        <f t="shared" si="76"/>
        <v>199810.14048768001</v>
      </c>
      <c r="J96">
        <f t="shared" si="70"/>
        <v>447.00127571146822</v>
      </c>
      <c r="K96" s="6">
        <f t="shared" si="71"/>
        <v>876.1225003944777</v>
      </c>
      <c r="M96" s="2">
        <f>'rockfish harvests'!O95</f>
        <v>6323.0304871660555</v>
      </c>
      <c r="N96">
        <f>'rockfish harvests'!P95</f>
        <v>1298638.7245062976</v>
      </c>
      <c r="O96" s="91">
        <v>0.31818181800000001</v>
      </c>
      <c r="P96" s="91">
        <v>1.990295E-3</v>
      </c>
      <c r="Q96" s="13">
        <f t="shared" si="65"/>
        <v>2011.8733356759212</v>
      </c>
      <c r="R96" s="2">
        <f t="shared" si="104"/>
        <v>208462.49710514914</v>
      </c>
      <c r="S96">
        <f t="shared" si="72"/>
        <v>456.57693448656511</v>
      </c>
      <c r="T96" s="6">
        <f t="shared" si="73"/>
        <v>894.89079159366759</v>
      </c>
      <c r="V96" s="13">
        <f t="shared" si="66"/>
        <v>5660.4828550359216</v>
      </c>
      <c r="W96">
        <f t="shared" si="67"/>
        <v>408272.63759282918</v>
      </c>
      <c r="X96">
        <f t="shared" si="74"/>
        <v>638.96215662027214</v>
      </c>
      <c r="Y96" s="6">
        <f t="shared" si="75"/>
        <v>1252.3658269757334</v>
      </c>
      <c r="Z96" s="14">
        <f t="shared" si="103"/>
        <v>0.11288121048751366</v>
      </c>
    </row>
    <row r="97" spans="1:26" x14ac:dyDescent="0.25">
      <c r="A97" t="str">
        <f>'rockfish harvests'!A96</f>
        <v>SC</v>
      </c>
      <c r="B97">
        <f>'rockfish harvests'!B96</f>
        <v>2017</v>
      </c>
      <c r="C97" t="str">
        <f>'rockfish harvests'!C96</f>
        <v>CI</v>
      </c>
      <c r="D97">
        <f>'rockfish harvests'!D96</f>
        <v>8376</v>
      </c>
      <c r="E97">
        <v>7453</v>
      </c>
      <c r="F97">
        <f>IF([1]species_comp_Region2_forR!$G80&gt;49,[1]species_comp_Region2_forR!$AD80,[1]species_comp_Region2_forR!$AF80)</f>
        <v>0.60810810800000004</v>
      </c>
      <c r="G97">
        <f>IF([1]species_comp_Region2_forR!$G80&gt;49,[1]species_comp_Region2_forR!$AE80,[1]species_comp_Region2_forR!$AG80)</f>
        <v>3.264557E-3</v>
      </c>
      <c r="H97" s="7">
        <f t="shared" si="69"/>
        <v>4532.2297289240005</v>
      </c>
      <c r="I97">
        <f t="shared" si="76"/>
        <v>181337.02997141299</v>
      </c>
      <c r="J97">
        <f t="shared" si="70"/>
        <v>425.8368583993323</v>
      </c>
      <c r="K97" s="6">
        <f t="shared" si="71"/>
        <v>834.64024246269128</v>
      </c>
      <c r="M97" s="2">
        <f>'rockfish harvests'!O96</f>
        <v>3322.4902609334804</v>
      </c>
      <c r="N97">
        <f>'rockfish harvests'!P96</f>
        <v>525119.78521776723</v>
      </c>
      <c r="O97" s="91">
        <v>0.58441558400000004</v>
      </c>
      <c r="P97" s="91">
        <v>3.195711E-3</v>
      </c>
      <c r="Q97" s="13">
        <f t="shared" si="65"/>
        <v>1941.7150861777525</v>
      </c>
      <c r="R97" s="2">
        <f t="shared" si="104"/>
        <v>212949.37422811438</v>
      </c>
      <c r="S97">
        <f t="shared" si="72"/>
        <v>461.46438023764563</v>
      </c>
      <c r="T97" s="6">
        <f t="shared" si="73"/>
        <v>904.4701852657854</v>
      </c>
      <c r="V97" s="13">
        <f t="shared" si="66"/>
        <v>6473.9448151017532</v>
      </c>
      <c r="W97">
        <f t="shared" si="67"/>
        <v>394286.40419952734</v>
      </c>
      <c r="X97">
        <f t="shared" si="74"/>
        <v>627.92229152939569</v>
      </c>
      <c r="Y97" s="6">
        <f t="shared" si="75"/>
        <v>1230.7276913976154</v>
      </c>
      <c r="Z97" s="14">
        <f t="shared" si="103"/>
        <v>9.6992221815768817E-2</v>
      </c>
    </row>
    <row r="98" spans="1:26" x14ac:dyDescent="0.25">
      <c r="A98" t="str">
        <f>'rockfish harvests'!A97</f>
        <v>SC</v>
      </c>
      <c r="B98">
        <f>'rockfish harvests'!B97</f>
        <v>2018</v>
      </c>
      <c r="C98" t="str">
        <f>'rockfish harvests'!C97</f>
        <v>CI</v>
      </c>
      <c r="D98">
        <f>'rockfish harvests'!D97</f>
        <v>13009</v>
      </c>
      <c r="E98">
        <v>11978</v>
      </c>
      <c r="F98">
        <f>IF([1]species_comp_Region2_forR!$G81&gt;49,[1]species_comp_Region2_forR!$AD81,[1]species_comp_Region2_forR!$AF81)</f>
        <v>0.487804878</v>
      </c>
      <c r="G98">
        <f>IF([1]species_comp_Region2_forR!$G81&gt;49,[1]species_comp_Region2_forR!$AE81,[1]species_comp_Region2_forR!$AG81)</f>
        <v>8.7360599999999997E-4</v>
      </c>
      <c r="H98" s="7">
        <f t="shared" si="69"/>
        <v>5842.9268286839997</v>
      </c>
      <c r="I98">
        <f t="shared" si="76"/>
        <v>125338.422857304</v>
      </c>
      <c r="J98">
        <f t="shared" si="70"/>
        <v>354.0316692858197</v>
      </c>
      <c r="K98" s="6">
        <f t="shared" si="71"/>
        <v>693.90207180020661</v>
      </c>
      <c r="M98" s="2">
        <f>'rockfish harvests'!O97</f>
        <v>10029.600289296046</v>
      </c>
      <c r="N98">
        <f>'rockfish harvests'!P97</f>
        <v>5460886.0967642423</v>
      </c>
      <c r="O98" s="91">
        <v>0.44951140099999998</v>
      </c>
      <c r="P98" s="91">
        <v>8.0866300000000005E-4</v>
      </c>
      <c r="Q98" s="13">
        <f t="shared" si="65"/>
        <v>4508.4196775114706</v>
      </c>
      <c r="R98" s="2">
        <f t="shared" si="104"/>
        <v>1180359.0983023646</v>
      </c>
      <c r="S98">
        <f t="shared" si="72"/>
        <v>1086.4433249380129</v>
      </c>
      <c r="T98" s="6">
        <f t="shared" si="73"/>
        <v>2129.4289168785053</v>
      </c>
      <c r="V98" s="13">
        <f t="shared" si="66"/>
        <v>10351.34650619547</v>
      </c>
      <c r="W98">
        <f t="shared" si="67"/>
        <v>1305697.5211596687</v>
      </c>
      <c r="X98">
        <f t="shared" si="74"/>
        <v>1142.6712218130237</v>
      </c>
      <c r="Y98" s="6">
        <f t="shared" si="75"/>
        <v>2239.6355947535267</v>
      </c>
      <c r="Z98" s="14">
        <f t="shared" si="103"/>
        <v>0.11038865534344872</v>
      </c>
    </row>
    <row r="99" spans="1:26" x14ac:dyDescent="0.25">
      <c r="A99" t="str">
        <f>'rockfish harvests'!A98</f>
        <v>SC</v>
      </c>
      <c r="B99">
        <f>'rockfish harvests'!B98</f>
        <v>2019</v>
      </c>
      <c r="C99" t="str">
        <f>'rockfish harvests'!C98</f>
        <v>CI</v>
      </c>
      <c r="D99">
        <f>'rockfish harvests'!D98</f>
        <v>16061</v>
      </c>
      <c r="E99">
        <v>15076</v>
      </c>
      <c r="F99">
        <f>IF([1]species_comp_Region2_forR!$G82&gt;49,[1]species_comp_Region2_forR!$AD82,[1]species_comp_Region2_forR!$AF82)</f>
        <v>0.8</v>
      </c>
      <c r="G99">
        <f>IF([1]species_comp_Region2_forR!$G82&gt;49,[1]species_comp_Region2_forR!$AE82,[1]species_comp_Region2_forR!$AG82)</f>
        <v>5.9479599999999997E-4</v>
      </c>
      <c r="H99" s="7">
        <f>E99*F99</f>
        <v>12060.800000000001</v>
      </c>
      <c r="I99">
        <f>(E99^2)*G99</f>
        <v>135188.67042169601</v>
      </c>
      <c r="J99">
        <f>SQRT(I99)</f>
        <v>367.6801196987621</v>
      </c>
      <c r="K99" s="6">
        <f>(1.96*J99)</f>
        <v>720.65303460957375</v>
      </c>
      <c r="M99" s="2">
        <f>'rockfish harvests'!O98</f>
        <v>11565.493536535585</v>
      </c>
      <c r="N99">
        <f>'rockfish harvests'!P98</f>
        <v>7400162.779370754</v>
      </c>
      <c r="O99" s="91">
        <v>0.76868327400000003</v>
      </c>
      <c r="P99" s="91">
        <v>6.3503300000000002E-4</v>
      </c>
      <c r="Q99" s="13">
        <f>M99*O99</f>
        <v>8890.2014370900124</v>
      </c>
      <c r="R99" s="2">
        <f>(M99^2)*P99+(O99^2)*N99-(P99*N99)</f>
        <v>4452806.6758795083</v>
      </c>
      <c r="S99">
        <f>SQRT(R99)</f>
        <v>2110.1674520946217</v>
      </c>
      <c r="T99" s="6">
        <f>(1.96*S99)</f>
        <v>4135.9282061054582</v>
      </c>
      <c r="V99" s="13">
        <f>Q99+H99</f>
        <v>20951.001437090013</v>
      </c>
      <c r="W99">
        <f>R99+I99</f>
        <v>4587995.3463012045</v>
      </c>
      <c r="X99">
        <f>SQRT(W99)</f>
        <v>2141.9606313611844</v>
      </c>
      <c r="Y99" s="6">
        <f>(1.96*X99)</f>
        <v>4198.2428374679212</v>
      </c>
      <c r="Z99" s="14">
        <f t="shared" si="103"/>
        <v>0.10223667053782093</v>
      </c>
    </row>
    <row r="100" spans="1:26" x14ac:dyDescent="0.25">
      <c r="A100" t="str">
        <f>'rockfish harvests'!A99</f>
        <v>SC</v>
      </c>
      <c r="B100">
        <f>'rockfish harvests'!B99</f>
        <v>2020</v>
      </c>
      <c r="C100" t="str">
        <f>'rockfish harvests'!C99</f>
        <v>CI</v>
      </c>
      <c r="D100">
        <f>'rockfish harvests'!D99</f>
        <v>9784</v>
      </c>
      <c r="E100">
        <v>9134</v>
      </c>
      <c r="F100">
        <v>0.81456953642384111</v>
      </c>
      <c r="G100">
        <v>1.0069733783605978E-3</v>
      </c>
      <c r="H100" s="7">
        <f t="shared" ref="H100:H101" si="105">E100*F100</f>
        <v>7440.2781456953644</v>
      </c>
      <c r="I100">
        <f t="shared" ref="I100:I101" si="106">(E100^2)*G100</f>
        <v>84011.744649796034</v>
      </c>
      <c r="J100">
        <f t="shared" ref="J100:J102" si="107">SQRT(I100)</f>
        <v>289.84779566144027</v>
      </c>
      <c r="K100" s="6">
        <f t="shared" ref="K100:K102" si="108">(1.96*J100)</f>
        <v>568.10167949642289</v>
      </c>
      <c r="M100" s="2">
        <f>'rockfish harvests'!O99</f>
        <v>10340.813008130081</v>
      </c>
      <c r="N100">
        <f>'rockfish harvests'!P99</f>
        <v>6856537.925024569</v>
      </c>
      <c r="O100" s="91">
        <v>0.77358490599999996</v>
      </c>
      <c r="P100" s="91">
        <v>1.108553E-3</v>
      </c>
      <c r="Q100" s="13">
        <f t="shared" ref="Q100:Q101" si="109">M100*O100</f>
        <v>7999.4968588578849</v>
      </c>
      <c r="R100" s="2">
        <f t="shared" ref="R100:R101" si="110">(M100^2)*P100+(O100^2)*N100-(P100*N100)</f>
        <v>4214122.1328556649</v>
      </c>
      <c r="S100">
        <f t="shared" ref="S100:S102" si="111">SQRT(R100)</f>
        <v>2052.8327094178094</v>
      </c>
      <c r="T100" s="6">
        <f t="shared" ref="T100:T102" si="112">(1.96*S100)</f>
        <v>4023.5521104589061</v>
      </c>
      <c r="V100" s="13">
        <f t="shared" ref="V100:V102" si="113">Q100+H100</f>
        <v>15439.775004553248</v>
      </c>
      <c r="W100">
        <f t="shared" ref="W100:W102" si="114">R100+I100</f>
        <v>4298133.8775054608</v>
      </c>
      <c r="X100">
        <f t="shared" ref="X100:X102" si="115">SQRT(W100)</f>
        <v>2073.1941244141758</v>
      </c>
      <c r="Y100" s="6">
        <f t="shared" ref="Y100:Y102" si="116">(1.96*X100)</f>
        <v>4063.4604838517844</v>
      </c>
      <c r="Z100" s="14">
        <f t="shared" ref="Z100:Z102" si="117">X100/V100</f>
        <v>0.13427618756120363</v>
      </c>
    </row>
    <row r="101" spans="1:26" x14ac:dyDescent="0.25">
      <c r="A101" t="str">
        <f>'rockfish harvests'!A100</f>
        <v>SC</v>
      </c>
      <c r="B101">
        <f>'rockfish harvests'!B100</f>
        <v>2021</v>
      </c>
      <c r="C101" t="str">
        <f>'rockfish harvests'!C100</f>
        <v>CI</v>
      </c>
      <c r="D101">
        <f>'rockfish harvests'!D100</f>
        <v>14326</v>
      </c>
      <c r="E101">
        <v>13225</v>
      </c>
      <c r="F101">
        <v>0.83838383838383834</v>
      </c>
      <c r="G101">
        <v>1.3826161012308203E-3</v>
      </c>
      <c r="H101" s="7">
        <f t="shared" si="105"/>
        <v>11087.626262626261</v>
      </c>
      <c r="I101">
        <f t="shared" si="106"/>
        <v>241820.42024033374</v>
      </c>
      <c r="J101">
        <f t="shared" si="107"/>
        <v>491.75239728986958</v>
      </c>
      <c r="K101" s="6">
        <f t="shared" si="108"/>
        <v>963.83469868814439</v>
      </c>
      <c r="M101" s="2">
        <f>'rockfish harvests'!O100</f>
        <v>7068.2694391332043</v>
      </c>
      <c r="N101">
        <f>'rockfish harvests'!P100</f>
        <v>3061133.8312190818</v>
      </c>
      <c r="O101" s="91">
        <v>0.80582524300000002</v>
      </c>
      <c r="P101" s="91">
        <v>1.5340289999999999E-3</v>
      </c>
      <c r="Q101" s="13">
        <f t="shared" si="109"/>
        <v>5695.7899383789882</v>
      </c>
      <c r="R101" s="2">
        <f t="shared" si="110"/>
        <v>2059705.3691024482</v>
      </c>
      <c r="S101">
        <f t="shared" si="111"/>
        <v>1435.1673662337951</v>
      </c>
      <c r="T101" s="6">
        <f t="shared" si="112"/>
        <v>2812.9280378182384</v>
      </c>
      <c r="V101" s="13">
        <f t="shared" si="113"/>
        <v>16783.41620100525</v>
      </c>
      <c r="W101">
        <f t="shared" si="114"/>
        <v>2301525.789342782</v>
      </c>
      <c r="X101">
        <f t="shared" si="115"/>
        <v>1517.0780432603926</v>
      </c>
      <c r="Y101" s="6">
        <f t="shared" si="116"/>
        <v>2973.4729647903696</v>
      </c>
      <c r="Z101" s="14">
        <f t="shared" si="117"/>
        <v>9.0391492714667149E-2</v>
      </c>
    </row>
    <row r="102" spans="1:26" s="51" customFormat="1" x14ac:dyDescent="0.25">
      <c r="A102" s="51" t="s">
        <v>81</v>
      </c>
      <c r="B102" s="51">
        <v>2022</v>
      </c>
      <c r="C102" s="51" t="s">
        <v>47</v>
      </c>
      <c r="D102">
        <f>'rockfish harvests'!D101</f>
        <v>13586</v>
      </c>
      <c r="E102">
        <v>12464</v>
      </c>
      <c r="F102" s="51">
        <v>0.76646706600000003</v>
      </c>
      <c r="G102" s="51">
        <v>1.078285E-3</v>
      </c>
      <c r="H102" s="7">
        <f t="shared" ref="H102" si="118">E102*F102</f>
        <v>9553.2455106239995</v>
      </c>
      <c r="I102">
        <f t="shared" ref="I102" si="119">(E102^2)*G102</f>
        <v>167512.97220736</v>
      </c>
      <c r="J102">
        <f t="shared" si="107"/>
        <v>409.28348636044433</v>
      </c>
      <c r="K102" s="6">
        <f t="shared" si="108"/>
        <v>802.19563326647085</v>
      </c>
      <c r="M102" s="2">
        <f>'rockfish harvests'!O101</f>
        <v>9088.4127991764581</v>
      </c>
      <c r="N102">
        <f>'rockfish harvests'!P101</f>
        <v>3966049.882434688</v>
      </c>
      <c r="O102" s="91">
        <v>0.74418604700000002</v>
      </c>
      <c r="P102" s="91">
        <v>1.113293E-3</v>
      </c>
      <c r="Q102" s="13">
        <f t="shared" ref="Q102" si="120">M102*O102</f>
        <v>6763.4699945233333</v>
      </c>
      <c r="R102" s="2">
        <f t="shared" ref="R102" si="121">(M102^2)*P102+(O102^2)*N102-(P102*N102)</f>
        <v>2283991.2662161384</v>
      </c>
      <c r="S102">
        <f t="shared" si="111"/>
        <v>1511.2879494709598</v>
      </c>
      <c r="T102" s="6">
        <f t="shared" si="112"/>
        <v>2962.124380963081</v>
      </c>
      <c r="V102" s="13">
        <f t="shared" si="113"/>
        <v>16316.715505147333</v>
      </c>
      <c r="W102">
        <f t="shared" si="114"/>
        <v>2451504.2384234983</v>
      </c>
      <c r="X102">
        <f t="shared" si="115"/>
        <v>1565.7280218554877</v>
      </c>
      <c r="Y102" s="6">
        <f t="shared" si="116"/>
        <v>3068.8269228367558</v>
      </c>
      <c r="Z102" s="14">
        <f t="shared" si="117"/>
        <v>9.5958529237183621E-2</v>
      </c>
    </row>
    <row r="103" spans="1:26" x14ac:dyDescent="0.25">
      <c r="A103" t="str">
        <f>'rockfish harvests'!A102</f>
        <v>SC</v>
      </c>
      <c r="B103">
        <f>'rockfish harvests'!B102</f>
        <v>1998</v>
      </c>
      <c r="C103" t="str">
        <f>'rockfish harvests'!C102</f>
        <v>EASTSIDE</v>
      </c>
      <c r="D103">
        <f>'rockfish harvests'!D102</f>
        <v>157</v>
      </c>
      <c r="E103">
        <v>75</v>
      </c>
      <c r="F103" s="32">
        <v>0.94230769199999997</v>
      </c>
      <c r="G103" s="32">
        <v>2.7272310000000001E-3</v>
      </c>
      <c r="H103" s="7">
        <f t="shared" si="69"/>
        <v>70.673076899999998</v>
      </c>
      <c r="I103">
        <f t="shared" si="76"/>
        <v>15.340674375000001</v>
      </c>
      <c r="J103">
        <f t="shared" si="70"/>
        <v>3.9167172957720604</v>
      </c>
      <c r="K103" s="6">
        <f t="shared" si="71"/>
        <v>7.6767658997132386</v>
      </c>
      <c r="M103" s="2">
        <f>'rockfish harvests'!O102</f>
        <v>22.108315533666314</v>
      </c>
      <c r="N103">
        <f>'rockfish harvests'!P102</f>
        <v>350.7410435791694</v>
      </c>
      <c r="O103" s="27">
        <f>O153</f>
        <v>0.83333333300000001</v>
      </c>
      <c r="P103" s="27">
        <f t="shared" ref="O103:P127" si="122">P153</f>
        <v>1.5605490000000001E-3</v>
      </c>
      <c r="Q103" s="13">
        <f t="shared" si="65"/>
        <v>18.423596270685824</v>
      </c>
      <c r="R103" s="2">
        <f t="shared" si="104"/>
        <v>243.78558179198785</v>
      </c>
      <c r="S103">
        <f t="shared" si="72"/>
        <v>15.613634483744899</v>
      </c>
      <c r="T103" s="6">
        <f t="shared" si="73"/>
        <v>30.602723588140002</v>
      </c>
      <c r="V103" s="13">
        <f t="shared" si="66"/>
        <v>89.096673170685818</v>
      </c>
      <c r="W103">
        <f t="shared" si="67"/>
        <v>259.12625616698784</v>
      </c>
      <c r="X103">
        <f t="shared" si="74"/>
        <v>16.097399049752969</v>
      </c>
      <c r="Y103" s="6">
        <f t="shared" si="75"/>
        <v>31.55090213751582</v>
      </c>
      <c r="Z103" s="14">
        <f t="shared" si="103"/>
        <v>0.18067340201260468</v>
      </c>
    </row>
    <row r="104" spans="1:26" x14ac:dyDescent="0.25">
      <c r="A104" t="str">
        <f>'rockfish harvests'!A103</f>
        <v>SC</v>
      </c>
      <c r="B104">
        <f>'rockfish harvests'!B103</f>
        <v>1999</v>
      </c>
      <c r="C104" t="str">
        <f>'rockfish harvests'!C103</f>
        <v>EASTSIDE</v>
      </c>
      <c r="D104">
        <f>'rockfish harvests'!D103</f>
        <v>121</v>
      </c>
      <c r="E104">
        <v>100</v>
      </c>
      <c r="F104" s="32">
        <v>0.94230769199999997</v>
      </c>
      <c r="G104" s="32">
        <v>2.7272310000000001E-3</v>
      </c>
      <c r="H104" s="7">
        <f t="shared" si="69"/>
        <v>94.230769199999997</v>
      </c>
      <c r="I104">
        <f t="shared" si="76"/>
        <v>27.272310000000001</v>
      </c>
      <c r="J104">
        <f t="shared" si="70"/>
        <v>5.2222897276960802</v>
      </c>
      <c r="K104" s="6">
        <f t="shared" si="71"/>
        <v>10.235687866284318</v>
      </c>
      <c r="M104" s="2">
        <f>'rockfish harvests'!O103</f>
        <v>16.687051745013036</v>
      </c>
      <c r="N104">
        <f>'rockfish harvests'!P103</f>
        <v>206.21704461477333</v>
      </c>
      <c r="O104" s="27">
        <f t="shared" si="122"/>
        <v>0.71300448400000005</v>
      </c>
      <c r="P104" s="27">
        <f t="shared" si="122"/>
        <v>9.2175299999999998E-4</v>
      </c>
      <c r="Q104" s="13">
        <f t="shared" si="65"/>
        <v>11.897942718934321</v>
      </c>
      <c r="R104" s="2">
        <f t="shared" si="104"/>
        <v>104.90225938472285</v>
      </c>
      <c r="S104">
        <f t="shared" si="72"/>
        <v>10.242180401883324</v>
      </c>
      <c r="T104" s="6">
        <f t="shared" si="73"/>
        <v>20.074673587691315</v>
      </c>
      <c r="V104" s="13">
        <f t="shared" si="66"/>
        <v>106.12871191893431</v>
      </c>
      <c r="W104">
        <f t="shared" si="67"/>
        <v>132.17456938472284</v>
      </c>
      <c r="X104">
        <f t="shared" si="74"/>
        <v>11.496719940257867</v>
      </c>
      <c r="Y104" s="6">
        <f t="shared" si="75"/>
        <v>22.533571082905418</v>
      </c>
      <c r="Z104" s="14">
        <f t="shared" si="103"/>
        <v>0.10832808325271635</v>
      </c>
    </row>
    <row r="105" spans="1:26" x14ac:dyDescent="0.25">
      <c r="A105" t="str">
        <f>'rockfish harvests'!A104</f>
        <v>SC</v>
      </c>
      <c r="B105">
        <f>'rockfish harvests'!B104</f>
        <v>2000</v>
      </c>
      <c r="C105" t="str">
        <f>'rockfish harvests'!C104</f>
        <v>EASTSIDE</v>
      </c>
      <c r="D105">
        <f>'rockfish harvests'!D104</f>
        <v>423</v>
      </c>
      <c r="E105">
        <v>380</v>
      </c>
      <c r="F105" s="32">
        <v>0.94230769199999997</v>
      </c>
      <c r="G105" s="32">
        <v>2.7272310000000001E-3</v>
      </c>
      <c r="H105" s="7">
        <f t="shared" si="69"/>
        <v>358.07692295999999</v>
      </c>
      <c r="I105">
        <f t="shared" si="76"/>
        <v>393.81215639999999</v>
      </c>
      <c r="J105">
        <f t="shared" si="70"/>
        <v>19.844700965245107</v>
      </c>
      <c r="K105" s="6">
        <f t="shared" si="71"/>
        <v>38.895613891880409</v>
      </c>
      <c r="M105" s="2">
        <f>'rockfish harvests'!O104</f>
        <v>58.335726348268736</v>
      </c>
      <c r="N105">
        <f>'rockfish harvests'!P104</f>
        <v>2520.1973619204136</v>
      </c>
      <c r="O105" s="27">
        <f t="shared" si="122"/>
        <v>0.743589744</v>
      </c>
      <c r="P105" s="27">
        <f t="shared" si="122"/>
        <v>9.828040000000001E-4</v>
      </c>
      <c r="Q105" s="13">
        <f t="shared" si="65"/>
        <v>43.377847821363204</v>
      </c>
      <c r="R105" s="2">
        <f t="shared" si="104"/>
        <v>1394.3495870349223</v>
      </c>
      <c r="S105">
        <f t="shared" si="72"/>
        <v>37.340990707731926</v>
      </c>
      <c r="T105" s="6">
        <f t="shared" si="73"/>
        <v>73.18834178715457</v>
      </c>
      <c r="V105" s="13">
        <f t="shared" si="66"/>
        <v>401.45477078136321</v>
      </c>
      <c r="W105">
        <f t="shared" si="67"/>
        <v>1788.1617434349223</v>
      </c>
      <c r="X105">
        <f t="shared" si="74"/>
        <v>42.28666153097123</v>
      </c>
      <c r="Y105" s="6">
        <f t="shared" si="75"/>
        <v>82.881856600703614</v>
      </c>
      <c r="Z105" s="14">
        <f t="shared" si="103"/>
        <v>0.10533356335177549</v>
      </c>
    </row>
    <row r="106" spans="1:26" x14ac:dyDescent="0.25">
      <c r="A106" t="str">
        <f>'rockfish harvests'!A105</f>
        <v>SC</v>
      </c>
      <c r="B106">
        <f>'rockfish harvests'!B105</f>
        <v>2001</v>
      </c>
      <c r="C106" t="str">
        <f>'rockfish harvests'!C105</f>
        <v>EASTSIDE</v>
      </c>
      <c r="D106">
        <f>'rockfish harvests'!D105</f>
        <v>298</v>
      </c>
      <c r="E106">
        <v>231</v>
      </c>
      <c r="F106" s="32">
        <v>0.94230769199999997</v>
      </c>
      <c r="G106" s="32">
        <v>2.7272310000000001E-3</v>
      </c>
      <c r="H106" s="7">
        <f t="shared" si="69"/>
        <v>217.67307685200001</v>
      </c>
      <c r="I106">
        <f t="shared" si="76"/>
        <v>145.52777339100001</v>
      </c>
      <c r="J106">
        <f t="shared" si="70"/>
        <v>12.063489270977946</v>
      </c>
      <c r="K106" s="6">
        <f t="shared" si="71"/>
        <v>23.644438971116774</v>
      </c>
      <c r="M106" s="2">
        <f>'rockfish harvests'!O105</f>
        <v>41.097036529040395</v>
      </c>
      <c r="N106">
        <f>'rockfish harvests'!P105</f>
        <v>1250.7956034403612</v>
      </c>
      <c r="O106" s="27">
        <f t="shared" si="122"/>
        <v>0.82022471900000005</v>
      </c>
      <c r="P106" s="27">
        <f t="shared" si="122"/>
        <v>1.6756379999999999E-3</v>
      </c>
      <c r="Q106" s="13">
        <f t="shared" si="65"/>
        <v>33.708805238764896</v>
      </c>
      <c r="R106" s="2">
        <f>(M106^2)*P106+(O106^2)*N106-(P106*N106)</f>
        <v>842.23020973420955</v>
      </c>
      <c r="S106">
        <f t="shared" si="72"/>
        <v>29.021202761674257</v>
      </c>
      <c r="T106" s="6">
        <f t="shared" si="73"/>
        <v>56.881557412881541</v>
      </c>
      <c r="V106" s="13">
        <f t="shared" si="66"/>
        <v>251.38188209076492</v>
      </c>
      <c r="W106">
        <f t="shared" si="67"/>
        <v>987.75798312520953</v>
      </c>
      <c r="X106">
        <f t="shared" si="74"/>
        <v>31.428617263971535</v>
      </c>
      <c r="Y106" s="6">
        <f t="shared" si="75"/>
        <v>61.600089837384211</v>
      </c>
      <c r="Z106" s="14">
        <f t="shared" si="103"/>
        <v>0.12502339867367129</v>
      </c>
    </row>
    <row r="107" spans="1:26" x14ac:dyDescent="0.25">
      <c r="A107" t="str">
        <f>'rockfish harvests'!A106</f>
        <v>SC</v>
      </c>
      <c r="B107">
        <f>'rockfish harvests'!B106</f>
        <v>2002</v>
      </c>
      <c r="C107" t="str">
        <f>'rockfish harvests'!C106</f>
        <v>EASTSIDE</v>
      </c>
      <c r="D107">
        <f>'rockfish harvests'!D106</f>
        <v>319</v>
      </c>
      <c r="E107">
        <v>269</v>
      </c>
      <c r="F107" s="32">
        <v>0.94230769199999997</v>
      </c>
      <c r="G107" s="32">
        <v>2.7272310000000001E-3</v>
      </c>
      <c r="H107" s="7">
        <f t="shared" si="69"/>
        <v>253.48076914799998</v>
      </c>
      <c r="I107">
        <f t="shared" si="76"/>
        <v>197.345162391</v>
      </c>
      <c r="J107">
        <f t="shared" si="70"/>
        <v>14.047959367502456</v>
      </c>
      <c r="K107" s="6">
        <f t="shared" si="71"/>
        <v>27.534000360304812</v>
      </c>
      <c r="M107" s="2">
        <f>'rockfish harvests'!O106</f>
        <v>43.993136418670758</v>
      </c>
      <c r="N107">
        <f>'rockfish harvests'!P106</f>
        <v>1433.2936737274742</v>
      </c>
      <c r="O107" s="27">
        <f t="shared" si="122"/>
        <v>0.60843373499999998</v>
      </c>
      <c r="P107" s="27">
        <f t="shared" si="122"/>
        <v>1.443892E-3</v>
      </c>
      <c r="Q107" s="13">
        <f t="shared" si="65"/>
        <v>26.766908305576372</v>
      </c>
      <c r="R107" s="2">
        <f t="shared" ref="R107:R182" si="123">(M107^2)*P107+(O107^2)*N107-(P107*N107)</f>
        <v>531.3182741237639</v>
      </c>
      <c r="S107">
        <f t="shared" si="72"/>
        <v>23.050342169342386</v>
      </c>
      <c r="T107" s="6">
        <f t="shared" si="73"/>
        <v>45.178670651911077</v>
      </c>
      <c r="V107" s="13">
        <f t="shared" si="66"/>
        <v>280.24767745357633</v>
      </c>
      <c r="W107">
        <f t="shared" si="67"/>
        <v>728.66343651476393</v>
      </c>
      <c r="X107">
        <f t="shared" si="74"/>
        <v>26.993766623329243</v>
      </c>
      <c r="Y107" s="6">
        <f t="shared" si="75"/>
        <v>52.907782581725314</v>
      </c>
      <c r="Z107" s="14">
        <f t="shared" si="103"/>
        <v>9.6321107345486642E-2</v>
      </c>
    </row>
    <row r="108" spans="1:26" x14ac:dyDescent="0.25">
      <c r="A108" t="str">
        <f>'rockfish harvests'!A107</f>
        <v>SC</v>
      </c>
      <c r="B108">
        <f>'rockfish harvests'!B107</f>
        <v>2003</v>
      </c>
      <c r="C108" t="str">
        <f>'rockfish harvests'!C107</f>
        <v>EASTSIDE</v>
      </c>
      <c r="D108">
        <f>'rockfish harvests'!D107</f>
        <v>1012</v>
      </c>
      <c r="E108">
        <v>964</v>
      </c>
      <c r="F108" s="32">
        <v>0.94230769199999997</v>
      </c>
      <c r="G108" s="32">
        <v>2.7272310000000001E-3</v>
      </c>
      <c r="H108" s="7">
        <f t="shared" si="69"/>
        <v>908.38461508799992</v>
      </c>
      <c r="I108">
        <f t="shared" si="76"/>
        <v>2534.4048593759999</v>
      </c>
      <c r="J108">
        <f t="shared" si="70"/>
        <v>50.342872974990215</v>
      </c>
      <c r="K108" s="6">
        <f t="shared" si="71"/>
        <v>98.672031030980818</v>
      </c>
      <c r="M108" s="2">
        <f>'rockfish harvests'!O107</f>
        <v>139.56443277647281</v>
      </c>
      <c r="N108">
        <f>'rockfish harvests'!P107</f>
        <v>14424.967484458195</v>
      </c>
      <c r="O108" s="27">
        <f t="shared" si="122"/>
        <v>0.73262032099999996</v>
      </c>
      <c r="P108" s="27">
        <f t="shared" si="122"/>
        <v>1.05316E-3</v>
      </c>
      <c r="Q108" s="13">
        <f t="shared" si="65"/>
        <v>102.24773954088243</v>
      </c>
      <c r="R108" s="2">
        <f t="shared" si="123"/>
        <v>7747.6712564009713</v>
      </c>
      <c r="S108">
        <f t="shared" si="72"/>
        <v>88.020856939710441</v>
      </c>
      <c r="T108" s="6">
        <f t="shared" si="73"/>
        <v>172.52087960183246</v>
      </c>
      <c r="V108" s="13">
        <f t="shared" si="66"/>
        <v>1010.6323546288824</v>
      </c>
      <c r="W108">
        <f t="shared" si="67"/>
        <v>10282.07611577697</v>
      </c>
      <c r="X108">
        <f t="shared" si="74"/>
        <v>101.40057256138631</v>
      </c>
      <c r="Y108" s="6">
        <f t="shared" si="75"/>
        <v>198.74512222031717</v>
      </c>
      <c r="Z108" s="14">
        <f t="shared" si="103"/>
        <v>0.10033378814457405</v>
      </c>
    </row>
    <row r="109" spans="1:26" x14ac:dyDescent="0.25">
      <c r="A109" t="str">
        <f>'rockfish harvests'!A108</f>
        <v>SC</v>
      </c>
      <c r="B109">
        <f>'rockfish harvests'!B108</f>
        <v>2004</v>
      </c>
      <c r="C109" t="str">
        <f>'rockfish harvests'!C108</f>
        <v>EASTSIDE</v>
      </c>
      <c r="D109">
        <f>'rockfish harvests'!D108</f>
        <v>730</v>
      </c>
      <c r="E109">
        <v>672</v>
      </c>
      <c r="F109" s="32">
        <v>0.94230769199999997</v>
      </c>
      <c r="G109" s="32">
        <v>2.7272310000000001E-3</v>
      </c>
      <c r="H109" s="7">
        <f t="shared" si="69"/>
        <v>633.23076902399998</v>
      </c>
      <c r="I109">
        <f t="shared" si="76"/>
        <v>1231.573883904</v>
      </c>
      <c r="J109">
        <f t="shared" si="70"/>
        <v>35.093786970117662</v>
      </c>
      <c r="K109" s="6">
        <f t="shared" si="71"/>
        <v>68.783822461430617</v>
      </c>
      <c r="M109" s="2">
        <f>'rockfish harvests'!O108</f>
        <v>100.67394854429358</v>
      </c>
      <c r="N109">
        <f>'rockfish harvests'!P108</f>
        <v>7505.8440731652699</v>
      </c>
      <c r="O109" s="27">
        <f t="shared" si="122"/>
        <v>0.77966101700000001</v>
      </c>
      <c r="P109" s="27">
        <f t="shared" si="122"/>
        <v>1.4682880000000001E-3</v>
      </c>
      <c r="Q109" s="13">
        <f t="shared" si="65"/>
        <v>78.491553107449604</v>
      </c>
      <c r="R109" s="2">
        <f t="shared" si="123"/>
        <v>4566.447921317379</v>
      </c>
      <c r="S109">
        <f t="shared" si="72"/>
        <v>67.575497936140877</v>
      </c>
      <c r="T109" s="6">
        <f t="shared" si="73"/>
        <v>132.44797595483612</v>
      </c>
      <c r="V109" s="13">
        <f t="shared" si="66"/>
        <v>711.72232213144957</v>
      </c>
      <c r="W109">
        <f t="shared" si="67"/>
        <v>5798.0218052213786</v>
      </c>
      <c r="X109">
        <f t="shared" si="74"/>
        <v>76.144742466051966</v>
      </c>
      <c r="Y109" s="6">
        <f t="shared" si="75"/>
        <v>149.24369523346186</v>
      </c>
      <c r="Z109" s="14">
        <f t="shared" si="103"/>
        <v>0.10698658746295248</v>
      </c>
    </row>
    <row r="110" spans="1:26" x14ac:dyDescent="0.25">
      <c r="A110" t="str">
        <f>'rockfish harvests'!A109</f>
        <v>SC</v>
      </c>
      <c r="B110">
        <f>'rockfish harvests'!B109</f>
        <v>2005</v>
      </c>
      <c r="C110" t="str">
        <f>'rockfish harvests'!C109</f>
        <v>EASTSIDE</v>
      </c>
      <c r="D110">
        <f>'rockfish harvests'!D109</f>
        <v>1242</v>
      </c>
      <c r="E110">
        <v>1074</v>
      </c>
      <c r="F110" s="32">
        <v>0.94230769199999997</v>
      </c>
      <c r="G110" s="32">
        <v>2.7272310000000001E-3</v>
      </c>
      <c r="H110" s="7">
        <f t="shared" si="69"/>
        <v>1012.0384612079999</v>
      </c>
      <c r="I110">
        <f t="shared" si="76"/>
        <v>3145.7955049560001</v>
      </c>
      <c r="J110">
        <f t="shared" si="70"/>
        <v>56.087391675455905</v>
      </c>
      <c r="K110" s="6">
        <f t="shared" si="71"/>
        <v>109.93128768389357</v>
      </c>
      <c r="M110" s="2">
        <f>'rockfish harvests'!O109</f>
        <v>171.28362204385303</v>
      </c>
      <c r="N110">
        <f>'rockfish harvests'!P109</f>
        <v>21726.862182169472</v>
      </c>
      <c r="O110" s="27">
        <f t="shared" si="122"/>
        <v>0.82183908000000006</v>
      </c>
      <c r="P110" s="27">
        <f t="shared" si="122"/>
        <v>8.4635600000000004E-4</v>
      </c>
      <c r="Q110" s="13">
        <f t="shared" si="65"/>
        <v>140.76757435958791</v>
      </c>
      <c r="R110" s="2">
        <f t="shared" si="123"/>
        <v>14681.187613220343</v>
      </c>
      <c r="S110">
        <f t="shared" si="72"/>
        <v>121.16595071727183</v>
      </c>
      <c r="T110" s="6">
        <f t="shared" si="73"/>
        <v>237.48526340585278</v>
      </c>
      <c r="V110" s="13">
        <f t="shared" si="66"/>
        <v>1152.806035567588</v>
      </c>
      <c r="W110">
        <f t="shared" si="67"/>
        <v>17826.983118176344</v>
      </c>
      <c r="X110">
        <f t="shared" si="74"/>
        <v>133.51772585756675</v>
      </c>
      <c r="Y110" s="6">
        <f t="shared" si="75"/>
        <v>261.69474268083081</v>
      </c>
      <c r="Z110" s="14">
        <f t="shared" si="103"/>
        <v>0.11581976649855831</v>
      </c>
    </row>
    <row r="111" spans="1:26" x14ac:dyDescent="0.25">
      <c r="A111" t="str">
        <f>'rockfish harvests'!A110</f>
        <v>SC</v>
      </c>
      <c r="B111">
        <f>'rockfish harvests'!B110</f>
        <v>2006</v>
      </c>
      <c r="C111" t="str">
        <f>'rockfish harvests'!C110</f>
        <v>EASTSIDE</v>
      </c>
      <c r="D111">
        <f>'rockfish harvests'!D110</f>
        <v>1516</v>
      </c>
      <c r="E111">
        <v>1356</v>
      </c>
      <c r="F111" s="32">
        <v>0.94230769199999997</v>
      </c>
      <c r="G111" s="32">
        <v>2.7272310000000001E-3</v>
      </c>
      <c r="H111" s="7">
        <f t="shared" si="69"/>
        <v>1277.769230352</v>
      </c>
      <c r="I111">
        <f t="shared" si="76"/>
        <v>5014.6578200160002</v>
      </c>
      <c r="J111">
        <f t="shared" si="70"/>
        <v>70.814248707558846</v>
      </c>
      <c r="K111" s="6">
        <f t="shared" si="71"/>
        <v>138.79592746681533</v>
      </c>
      <c r="M111" s="2">
        <f>'rockfish harvests'!O110</f>
        <v>209.07083012760154</v>
      </c>
      <c r="N111">
        <f>'rockfish harvests'!P110</f>
        <v>32370.709657002288</v>
      </c>
      <c r="O111" s="27">
        <f t="shared" si="122"/>
        <v>0.79807692299999999</v>
      </c>
      <c r="P111" s="27">
        <f t="shared" si="122"/>
        <v>1.564565E-3</v>
      </c>
      <c r="Q111" s="13">
        <f t="shared" si="65"/>
        <v>166.85460479729193</v>
      </c>
      <c r="R111" s="2">
        <f t="shared" si="123"/>
        <v>20635.513721435182</v>
      </c>
      <c r="S111">
        <f t="shared" si="72"/>
        <v>143.65066557950638</v>
      </c>
      <c r="T111" s="6">
        <f t="shared" si="73"/>
        <v>281.55530453583248</v>
      </c>
      <c r="V111" s="13">
        <f t="shared" si="66"/>
        <v>1444.6238351492921</v>
      </c>
      <c r="W111">
        <f t="shared" si="67"/>
        <v>25650.171541451182</v>
      </c>
      <c r="X111">
        <f t="shared" si="74"/>
        <v>160.15670932387187</v>
      </c>
      <c r="Y111" s="6">
        <f t="shared" si="75"/>
        <v>313.90715027478888</v>
      </c>
      <c r="Z111" s="14">
        <f t="shared" si="103"/>
        <v>0.11086395325003118</v>
      </c>
    </row>
    <row r="112" spans="1:26" x14ac:dyDescent="0.25">
      <c r="A112" t="str">
        <f>'rockfish harvests'!A111</f>
        <v>SC</v>
      </c>
      <c r="B112">
        <f>'rockfish harvests'!B111</f>
        <v>2007</v>
      </c>
      <c r="C112" t="str">
        <f>'rockfish harvests'!C111</f>
        <v>EASTSIDE</v>
      </c>
      <c r="D112">
        <f>'rockfish harvests'!D111</f>
        <v>3481</v>
      </c>
      <c r="E112">
        <v>3310</v>
      </c>
      <c r="F112" s="32">
        <v>0.94230769199999997</v>
      </c>
      <c r="G112" s="32">
        <v>2.7272310000000001E-3</v>
      </c>
      <c r="H112" s="7">
        <f t="shared" si="69"/>
        <v>3119.0384605199997</v>
      </c>
      <c r="I112">
        <f t="shared" si="76"/>
        <v>29879.8155591</v>
      </c>
      <c r="J112">
        <f t="shared" si="70"/>
        <v>172.85778998674024</v>
      </c>
      <c r="K112" s="6">
        <f t="shared" si="71"/>
        <v>338.80126837401087</v>
      </c>
      <c r="M112" s="2">
        <f>'rockfish harvests'!O111</f>
        <v>480.0630340858711</v>
      </c>
      <c r="N112">
        <f>'rockfish harvests'!P111</f>
        <v>170671.83757600674</v>
      </c>
      <c r="O112" s="27">
        <f t="shared" si="122"/>
        <v>0.89411764699999996</v>
      </c>
      <c r="P112" s="27">
        <f t="shared" si="122"/>
        <v>1.127039E-3</v>
      </c>
      <c r="Q112" s="13">
        <f t="shared" si="65"/>
        <v>429.23283044853986</v>
      </c>
      <c r="R112" s="2">
        <f t="shared" si="123"/>
        <v>136510.3646173208</v>
      </c>
      <c r="S112">
        <f t="shared" si="72"/>
        <v>369.47309051853938</v>
      </c>
      <c r="T112" s="6">
        <f t="shared" si="73"/>
        <v>724.16725741633718</v>
      </c>
      <c r="V112" s="13">
        <f t="shared" si="66"/>
        <v>3548.2712909685397</v>
      </c>
      <c r="W112">
        <f t="shared" si="67"/>
        <v>166390.18017642081</v>
      </c>
      <c r="X112">
        <f t="shared" si="74"/>
        <v>407.90952449828973</v>
      </c>
      <c r="Y112" s="6">
        <f t="shared" si="75"/>
        <v>799.50266801664782</v>
      </c>
      <c r="Z112" s="14">
        <f t="shared" si="103"/>
        <v>0.11496007239822588</v>
      </c>
    </row>
    <row r="113" spans="1:26" x14ac:dyDescent="0.25">
      <c r="A113" t="str">
        <f>'rockfish harvests'!A112</f>
        <v>SC</v>
      </c>
      <c r="B113">
        <f>'rockfish harvests'!B112</f>
        <v>2008</v>
      </c>
      <c r="C113" t="str">
        <f>'rockfish harvests'!C112</f>
        <v>EASTSIDE</v>
      </c>
      <c r="D113">
        <f>'rockfish harvests'!D112</f>
        <v>2311</v>
      </c>
      <c r="E113">
        <v>2098</v>
      </c>
      <c r="F113" s="32">
        <v>0.94230769199999997</v>
      </c>
      <c r="G113" s="32">
        <v>2.7272310000000001E-3</v>
      </c>
      <c r="H113" s="7">
        <f t="shared" si="69"/>
        <v>1976.9615378159999</v>
      </c>
      <c r="I113">
        <f t="shared" si="76"/>
        <v>12004.190878524001</v>
      </c>
      <c r="J113">
        <f t="shared" si="70"/>
        <v>109.56363848706377</v>
      </c>
      <c r="K113" s="6">
        <f t="shared" si="71"/>
        <v>214.74473143464499</v>
      </c>
      <c r="M113" s="2">
        <f>'rockfish harvests'!O112</f>
        <v>318.70889737789366</v>
      </c>
      <c r="N113">
        <f>'rockfish harvests'!P112</f>
        <v>75223.529863537799</v>
      </c>
      <c r="O113" s="27">
        <f t="shared" si="122"/>
        <v>0.693333333</v>
      </c>
      <c r="P113" s="27">
        <f t="shared" si="122"/>
        <v>2.873273E-3</v>
      </c>
      <c r="Q113" s="13">
        <f t="shared" si="65"/>
        <v>220.97150207576996</v>
      </c>
      <c r="R113" s="2">
        <f t="shared" si="123"/>
        <v>36236.502593305631</v>
      </c>
      <c r="S113">
        <f t="shared" si="72"/>
        <v>190.35887841996137</v>
      </c>
      <c r="T113" s="6">
        <f t="shared" si="73"/>
        <v>373.10340170312429</v>
      </c>
      <c r="V113" s="13">
        <f t="shared" si="66"/>
        <v>2197.93303989177</v>
      </c>
      <c r="W113">
        <f t="shared" si="67"/>
        <v>48240.693471829632</v>
      </c>
      <c r="X113">
        <f t="shared" si="74"/>
        <v>219.63764129089901</v>
      </c>
      <c r="Y113" s="6">
        <f t="shared" si="75"/>
        <v>430.48977693016207</v>
      </c>
      <c r="Z113" s="14">
        <f t="shared" si="103"/>
        <v>9.9929177688558857E-2</v>
      </c>
    </row>
    <row r="114" spans="1:26" x14ac:dyDescent="0.25">
      <c r="A114" t="str">
        <f>'rockfish harvests'!A113</f>
        <v>SC</v>
      </c>
      <c r="B114">
        <f>'rockfish harvests'!B113</f>
        <v>2009</v>
      </c>
      <c r="C114" t="str">
        <f>'rockfish harvests'!C113</f>
        <v>EASTSIDE</v>
      </c>
      <c r="D114">
        <f>'rockfish harvests'!D113</f>
        <v>2296</v>
      </c>
      <c r="E114">
        <v>2247</v>
      </c>
      <c r="F114">
        <f>IF([1]species_comp_Region2_forR!$G126&gt;49,[1]species_comp_Region2_forR!$AD126,[1]species_comp_Region2_forR!$AF126)</f>
        <v>1</v>
      </c>
      <c r="G114">
        <f>IF([1]species_comp_Region2_forR!$G126&gt;49,[1]species_comp_Region2_forR!$AE126,[1]species_comp_Region2_forR!$AG126)</f>
        <v>0</v>
      </c>
      <c r="H114" s="7">
        <f t="shared" si="69"/>
        <v>2247</v>
      </c>
      <c r="I114">
        <f t="shared" si="76"/>
        <v>0</v>
      </c>
      <c r="J114">
        <f t="shared" si="70"/>
        <v>0</v>
      </c>
      <c r="K114" s="6">
        <f t="shared" si="71"/>
        <v>0</v>
      </c>
      <c r="M114" s="2">
        <f>'rockfish harvests'!O113</f>
        <v>316.64025459958657</v>
      </c>
      <c r="N114">
        <f>'rockfish harvests'!P113</f>
        <v>74250.19273710491</v>
      </c>
      <c r="O114" s="27">
        <f t="shared" si="122"/>
        <v>0.55882352899999999</v>
      </c>
      <c r="P114" s="27">
        <f t="shared" si="122"/>
        <v>3.6796979999999999E-3</v>
      </c>
      <c r="Q114" s="13">
        <f t="shared" si="65"/>
        <v>176.94602449879943</v>
      </c>
      <c r="R114" s="2">
        <f t="shared" si="123"/>
        <v>23282.839731054672</v>
      </c>
      <c r="S114">
        <f t="shared" si="72"/>
        <v>152.58715454144451</v>
      </c>
      <c r="T114" s="6">
        <f t="shared" si="73"/>
        <v>299.07082290123122</v>
      </c>
      <c r="V114" s="13">
        <f t="shared" si="66"/>
        <v>2423.9460244987995</v>
      </c>
      <c r="W114">
        <f t="shared" si="67"/>
        <v>23282.839731054672</v>
      </c>
      <c r="X114">
        <f t="shared" si="74"/>
        <v>152.58715454144451</v>
      </c>
      <c r="Y114" s="6">
        <f t="shared" si="75"/>
        <v>299.07082290123122</v>
      </c>
      <c r="Z114" s="14">
        <f t="shared" si="103"/>
        <v>6.2949897810944455E-2</v>
      </c>
    </row>
    <row r="115" spans="1:26" x14ac:dyDescent="0.25">
      <c r="A115" t="str">
        <f>'rockfish harvests'!A114</f>
        <v>SC</v>
      </c>
      <c r="B115">
        <f>'rockfish harvests'!B114</f>
        <v>2010</v>
      </c>
      <c r="C115" t="str">
        <f>'rockfish harvests'!C114</f>
        <v>EASTSIDE</v>
      </c>
      <c r="D115">
        <f>'rockfish harvests'!D114</f>
        <v>2555</v>
      </c>
      <c r="E115">
        <v>1663</v>
      </c>
      <c r="F115" s="32">
        <v>0.94230769199999997</v>
      </c>
      <c r="G115" s="32">
        <v>2.7272310000000001E-3</v>
      </c>
      <c r="H115" s="7">
        <f t="shared" si="69"/>
        <v>1567.057691796</v>
      </c>
      <c r="I115">
        <f t="shared" si="76"/>
        <v>7542.3455094390001</v>
      </c>
      <c r="J115">
        <f t="shared" si="70"/>
        <v>86.846678171585822</v>
      </c>
      <c r="K115" s="6">
        <f t="shared" si="71"/>
        <v>170.2194892163082</v>
      </c>
      <c r="M115" s="2">
        <f>'rockfish harvests'!O114</f>
        <v>352.35881990502776</v>
      </c>
      <c r="N115">
        <f>'rockfish harvests'!P114</f>
        <v>91946.589896274556</v>
      </c>
      <c r="O115" s="27">
        <f t="shared" si="122"/>
        <v>0.74806438500000005</v>
      </c>
      <c r="P115" s="27">
        <f t="shared" si="122"/>
        <v>6.3493509999999996E-3</v>
      </c>
      <c r="Q115" s="13">
        <f t="shared" si="65"/>
        <v>263.58708391158035</v>
      </c>
      <c r="R115" s="2">
        <f t="shared" si="123"/>
        <v>51657.85504219358</v>
      </c>
      <c r="S115">
        <f t="shared" si="72"/>
        <v>227.28364446698222</v>
      </c>
      <c r="T115" s="6">
        <f t="shared" si="73"/>
        <v>445.47594315528517</v>
      </c>
      <c r="V115" s="13">
        <f t="shared" si="66"/>
        <v>1830.6447757075803</v>
      </c>
      <c r="W115">
        <f t="shared" si="67"/>
        <v>59200.200551632581</v>
      </c>
      <c r="X115">
        <f t="shared" si="74"/>
        <v>243.31091334264599</v>
      </c>
      <c r="Y115" s="6">
        <f t="shared" si="75"/>
        <v>476.88939015158616</v>
      </c>
      <c r="Z115" s="14">
        <f t="shared" si="103"/>
        <v>0.13290995422560967</v>
      </c>
    </row>
    <row r="116" spans="1:26" x14ac:dyDescent="0.25">
      <c r="A116" t="str">
        <f>'rockfish harvests'!A115</f>
        <v>SC</v>
      </c>
      <c r="B116">
        <f>'rockfish harvests'!B115</f>
        <v>2011</v>
      </c>
      <c r="C116" t="str">
        <f>'rockfish harvests'!C115</f>
        <v>EASTSIDE</v>
      </c>
      <c r="D116">
        <f>'rockfish harvests'!D115</f>
        <v>1928</v>
      </c>
      <c r="E116">
        <v>1853</v>
      </c>
      <c r="F116" s="32">
        <v>0.94230769199999997</v>
      </c>
      <c r="G116" s="32">
        <v>2.7272310000000001E-3</v>
      </c>
      <c r="H116" s="7">
        <f t="shared" si="69"/>
        <v>1746.096153276</v>
      </c>
      <c r="I116">
        <f t="shared" si="76"/>
        <v>9364.2449066789995</v>
      </c>
      <c r="J116">
        <f t="shared" si="70"/>
        <v>96.76902865420837</v>
      </c>
      <c r="K116" s="6">
        <f t="shared" si="71"/>
        <v>189.66729616224839</v>
      </c>
      <c r="M116" s="2">
        <f>'rockfish harvests'!O115</f>
        <v>51.46120422098079</v>
      </c>
      <c r="N116">
        <f>'rockfish harvests'!P115</f>
        <v>1649.9620849615694</v>
      </c>
      <c r="O116" s="27">
        <f t="shared" si="122"/>
        <v>0.71830985899999999</v>
      </c>
      <c r="P116" s="27">
        <f t="shared" si="122"/>
        <v>2.890583E-3</v>
      </c>
      <c r="Q116" s="13">
        <f t="shared" si="65"/>
        <v>36.965090347942919</v>
      </c>
      <c r="R116" s="2">
        <f t="shared" si="123"/>
        <v>854.21502543867553</v>
      </c>
      <c r="S116">
        <f t="shared" si="72"/>
        <v>29.226957170370568</v>
      </c>
      <c r="T116" s="6">
        <f t="shared" si="73"/>
        <v>57.284836053926313</v>
      </c>
      <c r="V116" s="13">
        <f t="shared" si="66"/>
        <v>1783.061243623943</v>
      </c>
      <c r="W116">
        <f t="shared" si="67"/>
        <v>10218.459932117676</v>
      </c>
      <c r="X116">
        <f t="shared" si="74"/>
        <v>101.08639835367406</v>
      </c>
      <c r="Y116" s="6">
        <f t="shared" si="75"/>
        <v>198.12934077320114</v>
      </c>
      <c r="Z116" s="14">
        <f t="shared" si="103"/>
        <v>5.6692611493379362E-2</v>
      </c>
    </row>
    <row r="117" spans="1:26" x14ac:dyDescent="0.25">
      <c r="A117" t="str">
        <f>'rockfish harvests'!A116</f>
        <v>SC</v>
      </c>
      <c r="B117">
        <f>'rockfish harvests'!B116</f>
        <v>2012</v>
      </c>
      <c r="C117" t="str">
        <f>'rockfish harvests'!C116</f>
        <v>EASTSIDE</v>
      </c>
      <c r="D117">
        <f>'rockfish harvests'!D116</f>
        <v>3433</v>
      </c>
      <c r="E117">
        <v>3210</v>
      </c>
      <c r="F117" s="32">
        <v>0.94230769199999997</v>
      </c>
      <c r="G117" s="32">
        <v>2.7272310000000001E-3</v>
      </c>
      <c r="H117" s="7">
        <f t="shared" si="69"/>
        <v>3024.8076913199998</v>
      </c>
      <c r="I117">
        <f t="shared" si="76"/>
        <v>28101.660947100001</v>
      </c>
      <c r="J117">
        <f t="shared" si="70"/>
        <v>167.63550025904419</v>
      </c>
      <c r="K117" s="6">
        <f t="shared" si="71"/>
        <v>328.56558050772662</v>
      </c>
      <c r="M117" s="2">
        <f>'rockfish harvests'!O116</f>
        <v>276.3989021043003</v>
      </c>
      <c r="N117">
        <f>'rockfish harvests'!P116</f>
        <v>25117.984568882985</v>
      </c>
      <c r="O117" s="27">
        <f t="shared" si="122"/>
        <v>0.74509803900000005</v>
      </c>
      <c r="P117" s="27">
        <f t="shared" si="122"/>
        <v>1.2495189999999999E-3</v>
      </c>
      <c r="Q117" s="13">
        <f t="shared" si="65"/>
        <v>205.94427993966715</v>
      </c>
      <c r="R117" s="2">
        <f t="shared" si="123"/>
        <v>14008.852110231493</v>
      </c>
      <c r="S117">
        <f t="shared" si="72"/>
        <v>118.35899674393787</v>
      </c>
      <c r="T117" s="6">
        <f t="shared" si="73"/>
        <v>231.9836336181182</v>
      </c>
      <c r="V117" s="13">
        <f t="shared" si="66"/>
        <v>3230.7519712596668</v>
      </c>
      <c r="W117">
        <f t="shared" si="67"/>
        <v>42110.513057331496</v>
      </c>
      <c r="X117">
        <f t="shared" si="74"/>
        <v>205.20846244083478</v>
      </c>
      <c r="Y117" s="6">
        <f t="shared" si="75"/>
        <v>402.20858638403615</v>
      </c>
      <c r="Z117" s="14">
        <f t="shared" si="103"/>
        <v>6.3517244364885192E-2</v>
      </c>
    </row>
    <row r="118" spans="1:26" x14ac:dyDescent="0.25">
      <c r="A118" t="str">
        <f>'rockfish harvests'!A117</f>
        <v>SC</v>
      </c>
      <c r="B118">
        <f>'rockfish harvests'!B117</f>
        <v>2013</v>
      </c>
      <c r="C118" t="str">
        <f>'rockfish harvests'!C117</f>
        <v>EASTSIDE</v>
      </c>
      <c r="D118">
        <f>'rockfish harvests'!D117</f>
        <v>2207</v>
      </c>
      <c r="E118">
        <v>2081</v>
      </c>
      <c r="F118" s="32">
        <v>0.94230769199999997</v>
      </c>
      <c r="G118" s="32">
        <v>2.7272310000000001E-3</v>
      </c>
      <c r="H118" s="7">
        <f t="shared" si="69"/>
        <v>1960.9423070519999</v>
      </c>
      <c r="I118">
        <f t="shared" si="76"/>
        <v>11810.440206591</v>
      </c>
      <c r="J118">
        <f t="shared" si="70"/>
        <v>108.67584923335544</v>
      </c>
      <c r="K118" s="6">
        <f t="shared" si="71"/>
        <v>213.00466449737664</v>
      </c>
      <c r="M118" s="2">
        <f>'rockfish harvests'!O117</f>
        <v>351.77988614800779</v>
      </c>
      <c r="N118">
        <f>'rockfish harvests'!P117</f>
        <v>93936.264893907151</v>
      </c>
      <c r="O118" s="27">
        <f t="shared" si="122"/>
        <v>0.66871165600000004</v>
      </c>
      <c r="P118" s="27">
        <f t="shared" si="122"/>
        <v>1.3675079999999999E-3</v>
      </c>
      <c r="Q118" s="13">
        <f t="shared" si="65"/>
        <v>235.23931021352575</v>
      </c>
      <c r="R118" s="2">
        <f t="shared" si="123"/>
        <v>42046.744724471871</v>
      </c>
      <c r="S118">
        <f t="shared" si="72"/>
        <v>205.05302905461278</v>
      </c>
      <c r="T118" s="6">
        <f t="shared" si="73"/>
        <v>401.90393694704102</v>
      </c>
      <c r="V118" s="13">
        <f t="shared" si="66"/>
        <v>2196.1816172655258</v>
      </c>
      <c r="W118">
        <f t="shared" si="67"/>
        <v>53857.184931062875</v>
      </c>
      <c r="X118">
        <f t="shared" si="74"/>
        <v>232.07150822766434</v>
      </c>
      <c r="Y118" s="6">
        <f t="shared" si="75"/>
        <v>454.86015612622208</v>
      </c>
      <c r="Z118" s="14">
        <f t="shared" si="103"/>
        <v>0.10567045384735414</v>
      </c>
    </row>
    <row r="119" spans="1:26" x14ac:dyDescent="0.25">
      <c r="A119" t="str">
        <f>'rockfish harvests'!A118</f>
        <v>SC</v>
      </c>
      <c r="B119">
        <f>'rockfish harvests'!B118</f>
        <v>2014</v>
      </c>
      <c r="C119" t="str">
        <f>'rockfish harvests'!C118</f>
        <v>EASTSIDE</v>
      </c>
      <c r="D119">
        <f>'rockfish harvests'!D118</f>
        <v>3551</v>
      </c>
      <c r="E119">
        <v>3385</v>
      </c>
      <c r="F119" s="32">
        <v>0.94230769199999997</v>
      </c>
      <c r="G119" s="32">
        <v>2.7272310000000001E-3</v>
      </c>
      <c r="H119" s="7">
        <f t="shared" si="69"/>
        <v>3189.7115374199998</v>
      </c>
      <c r="I119">
        <f t="shared" si="76"/>
        <v>31249.226424975001</v>
      </c>
      <c r="J119">
        <f t="shared" si="70"/>
        <v>176.77450728251233</v>
      </c>
      <c r="K119" s="6">
        <f t="shared" si="71"/>
        <v>346.47803427372418</v>
      </c>
      <c r="M119" s="2">
        <f>'rockfish harvests'!O118</f>
        <v>250.87949818421885</v>
      </c>
      <c r="N119">
        <f>'rockfish harvests'!P118</f>
        <v>23714.551436006946</v>
      </c>
      <c r="O119" s="27">
        <f t="shared" si="122"/>
        <v>0.77777777800000003</v>
      </c>
      <c r="P119" s="27">
        <f t="shared" si="122"/>
        <v>1.382716E-3</v>
      </c>
      <c r="Q119" s="13">
        <f t="shared" si="65"/>
        <v>195.12849864347677</v>
      </c>
      <c r="R119" s="2">
        <f t="shared" si="123"/>
        <v>14400.078143738738</v>
      </c>
      <c r="S119">
        <f t="shared" si="72"/>
        <v>120.00032559846969</v>
      </c>
      <c r="T119" s="6">
        <f t="shared" si="73"/>
        <v>235.20063817300058</v>
      </c>
      <c r="V119" s="13">
        <f t="shared" si="66"/>
        <v>3384.8400360634764</v>
      </c>
      <c r="W119">
        <f t="shared" si="67"/>
        <v>45649.304568713735</v>
      </c>
      <c r="X119">
        <f t="shared" si="74"/>
        <v>213.65697875031776</v>
      </c>
      <c r="Y119" s="6">
        <f t="shared" si="75"/>
        <v>418.76767835062282</v>
      </c>
      <c r="Z119" s="14">
        <f t="shared" si="103"/>
        <v>6.3121735879370519E-2</v>
      </c>
    </row>
    <row r="120" spans="1:26" x14ac:dyDescent="0.25">
      <c r="A120" t="str">
        <f>'rockfish harvests'!A119</f>
        <v>SC</v>
      </c>
      <c r="B120">
        <f>'rockfish harvests'!B119</f>
        <v>2015</v>
      </c>
      <c r="C120" t="str">
        <f>'rockfish harvests'!C119</f>
        <v>EASTSIDE</v>
      </c>
      <c r="D120">
        <f>'rockfish harvests'!D119</f>
        <v>2787</v>
      </c>
      <c r="E120">
        <v>2635</v>
      </c>
      <c r="F120" s="32">
        <v>0.94230769199999997</v>
      </c>
      <c r="G120" s="32">
        <v>2.7272310000000001E-3</v>
      </c>
      <c r="H120" s="7">
        <f t="shared" si="69"/>
        <v>2482.98076842</v>
      </c>
      <c r="I120">
        <f t="shared" si="76"/>
        <v>18935.778459975001</v>
      </c>
      <c r="J120">
        <f t="shared" si="70"/>
        <v>137.60733432479171</v>
      </c>
      <c r="K120" s="6">
        <f t="shared" si="71"/>
        <v>269.71037527659172</v>
      </c>
      <c r="M120" s="2">
        <f>'rockfish harvests'!O119</f>
        <v>932.19872110181996</v>
      </c>
      <c r="N120">
        <f>'rockfish harvests'!P119</f>
        <v>360398.18316320516</v>
      </c>
      <c r="O120" s="27">
        <f t="shared" si="122"/>
        <v>0.73157894700000003</v>
      </c>
      <c r="P120" s="27">
        <f t="shared" si="122"/>
        <v>5.1813E-4</v>
      </c>
      <c r="Q120" s="13">
        <f t="shared" si="65"/>
        <v>681.97695877841613</v>
      </c>
      <c r="R120" s="2">
        <f t="shared" si="123"/>
        <v>193151.42175349046</v>
      </c>
      <c r="S120">
        <f t="shared" si="72"/>
        <v>439.48995637385212</v>
      </c>
      <c r="T120" s="6">
        <f t="shared" si="73"/>
        <v>861.40031449275011</v>
      </c>
      <c r="V120" s="13">
        <f t="shared" si="66"/>
        <v>3164.9577271984163</v>
      </c>
      <c r="W120">
        <f t="shared" si="67"/>
        <v>212087.20021346546</v>
      </c>
      <c r="X120">
        <f t="shared" si="74"/>
        <v>460.5292609742246</v>
      </c>
      <c r="Y120" s="6">
        <f t="shared" si="75"/>
        <v>902.63735150948014</v>
      </c>
      <c r="Z120" s="14">
        <f t="shared" si="103"/>
        <v>0.14550881896987602</v>
      </c>
    </row>
    <row r="121" spans="1:26" x14ac:dyDescent="0.25">
      <c r="A121" t="str">
        <f>'rockfish harvests'!A120</f>
        <v>SC</v>
      </c>
      <c r="B121">
        <f>'rockfish harvests'!B120</f>
        <v>2016</v>
      </c>
      <c r="C121" t="str">
        <f>'rockfish harvests'!C120</f>
        <v>EASTSIDE</v>
      </c>
      <c r="D121">
        <f>'rockfish harvests'!D120</f>
        <v>3561</v>
      </c>
      <c r="E121">
        <v>3392</v>
      </c>
      <c r="F121">
        <f>IF([1]species_comp_Region2_forR!$G133&gt;49,[1]species_comp_Region2_forR!$AD133,[1]species_comp_Region2_forR!$AF133)</f>
        <v>0.90384615400000001</v>
      </c>
      <c r="G121">
        <f>IF([1]species_comp_Region2_forR!$G133&gt;49,[1]species_comp_Region2_forR!$AE133,[1]species_comp_Region2_forR!$AG133)</f>
        <v>1.704084E-3</v>
      </c>
      <c r="H121" s="7">
        <f t="shared" si="69"/>
        <v>3065.846154368</v>
      </c>
      <c r="I121">
        <f t="shared" si="76"/>
        <v>19606.617931776</v>
      </c>
      <c r="J121">
        <f t="shared" si="70"/>
        <v>140.02363347583864</v>
      </c>
      <c r="K121" s="6">
        <f t="shared" si="71"/>
        <v>274.44632161264371</v>
      </c>
      <c r="M121" s="2">
        <f>'rockfish harvests'!O120</f>
        <v>418.19068471337596</v>
      </c>
      <c r="N121">
        <f>'rockfish harvests'!P120</f>
        <v>86017.579810230731</v>
      </c>
      <c r="O121" s="27">
        <f t="shared" si="122"/>
        <v>0.83437499999999998</v>
      </c>
      <c r="P121" s="27">
        <f t="shared" si="122"/>
        <v>4.3320799999999998E-4</v>
      </c>
      <c r="Q121" s="13">
        <f t="shared" si="65"/>
        <v>348.92785255772304</v>
      </c>
      <c r="R121" s="2">
        <f t="shared" si="123"/>
        <v>59922.357240243415</v>
      </c>
      <c r="S121">
        <f t="shared" si="72"/>
        <v>244.79043535286141</v>
      </c>
      <c r="T121" s="6">
        <f t="shared" si="73"/>
        <v>479.78925329160836</v>
      </c>
      <c r="V121" s="13">
        <f t="shared" si="66"/>
        <v>3414.7740069257229</v>
      </c>
      <c r="W121">
        <f t="shared" si="67"/>
        <v>79528.975172019418</v>
      </c>
      <c r="X121">
        <f t="shared" si="74"/>
        <v>282.00882108902096</v>
      </c>
      <c r="Y121" s="6">
        <f t="shared" si="75"/>
        <v>552.73728933448103</v>
      </c>
      <c r="Z121" s="14">
        <f t="shared" si="103"/>
        <v>8.2584914994977915E-2</v>
      </c>
    </row>
    <row r="122" spans="1:26" x14ac:dyDescent="0.25">
      <c r="A122" t="str">
        <f>'rockfish harvests'!A121</f>
        <v>SC</v>
      </c>
      <c r="B122">
        <f>'rockfish harvests'!B121</f>
        <v>2017</v>
      </c>
      <c r="C122" t="str">
        <f>'rockfish harvests'!C121</f>
        <v>EASTSIDE</v>
      </c>
      <c r="D122">
        <f>'rockfish harvests'!D121</f>
        <v>3933</v>
      </c>
      <c r="E122">
        <v>3877</v>
      </c>
      <c r="F122">
        <f>IF([1]species_comp_Region2_forR!$G134&gt;49,[1]species_comp_Region2_forR!$AD134,[1]species_comp_Region2_forR!$AF134)</f>
        <v>0.92307692299999999</v>
      </c>
      <c r="G122">
        <f>IF([1]species_comp_Region2_forR!$G134&gt;49,[1]species_comp_Region2_forR!$AE134,[1]species_comp_Region2_forR!$AG134)</f>
        <v>6.1211999999999996E-4</v>
      </c>
      <c r="H122" s="7">
        <f t="shared" si="69"/>
        <v>3578.7692304709999</v>
      </c>
      <c r="I122">
        <f t="shared" si="76"/>
        <v>9200.8546834799999</v>
      </c>
      <c r="J122">
        <f t="shared" si="70"/>
        <v>95.921085708409279</v>
      </c>
      <c r="K122" s="6">
        <f t="shared" si="71"/>
        <v>188.00532798848218</v>
      </c>
      <c r="M122" s="2">
        <f>'rockfish harvests'!O121</f>
        <v>1353.8031716417918</v>
      </c>
      <c r="N122">
        <f>'rockfish harvests'!P121</f>
        <v>628325.57356668822</v>
      </c>
      <c r="O122" s="27">
        <f t="shared" si="122"/>
        <v>0.712121212</v>
      </c>
      <c r="P122" s="27">
        <f t="shared" si="122"/>
        <v>6.2311400000000002E-4</v>
      </c>
      <c r="Q122" s="13">
        <f t="shared" si="65"/>
        <v>964.07195539899681</v>
      </c>
      <c r="R122" s="2">
        <f t="shared" si="123"/>
        <v>319384.85579332808</v>
      </c>
      <c r="S122">
        <f t="shared" si="72"/>
        <v>565.1414475981461</v>
      </c>
      <c r="T122" s="6">
        <f t="shared" si="73"/>
        <v>1107.6772372923663</v>
      </c>
      <c r="V122" s="13">
        <f t="shared" si="66"/>
        <v>4542.8411858699965</v>
      </c>
      <c r="W122">
        <f t="shared" si="67"/>
        <v>328585.71047680808</v>
      </c>
      <c r="X122">
        <f t="shared" si="74"/>
        <v>573.22396188296955</v>
      </c>
      <c r="Y122" s="6">
        <f t="shared" si="75"/>
        <v>1123.5189652906204</v>
      </c>
      <c r="Z122" s="14">
        <f t="shared" si="103"/>
        <v>0.12618181847648979</v>
      </c>
    </row>
    <row r="123" spans="1:26" x14ac:dyDescent="0.25">
      <c r="A123" t="str">
        <f>'rockfish harvests'!A122</f>
        <v>SC</v>
      </c>
      <c r="B123">
        <f>'rockfish harvests'!B122</f>
        <v>2018</v>
      </c>
      <c r="C123" t="str">
        <f>'rockfish harvests'!C122</f>
        <v>EASTSIDE</v>
      </c>
      <c r="D123">
        <f>'rockfish harvests'!D122</f>
        <v>3914</v>
      </c>
      <c r="E123">
        <v>3690</v>
      </c>
      <c r="F123" s="32">
        <v>0.94230769199999997</v>
      </c>
      <c r="G123" s="32">
        <v>2.7272310000000001E-3</v>
      </c>
      <c r="H123" s="7">
        <f t="shared" si="69"/>
        <v>3477.1153834799998</v>
      </c>
      <c r="I123">
        <f t="shared" si="76"/>
        <v>37134.2500191</v>
      </c>
      <c r="J123">
        <f t="shared" si="70"/>
        <v>192.70249095198537</v>
      </c>
      <c r="K123" s="6">
        <f t="shared" si="71"/>
        <v>377.6968822658913</v>
      </c>
      <c r="M123" s="2">
        <f>'rockfish harvests'!O122</f>
        <v>302.2796271637817</v>
      </c>
      <c r="N123">
        <f>'rockfish harvests'!P122</f>
        <v>37596.448991886558</v>
      </c>
      <c r="O123" s="27">
        <f t="shared" si="122"/>
        <v>0.75919732399999995</v>
      </c>
      <c r="P123" s="27">
        <f t="shared" si="122"/>
        <v>6.13479E-4</v>
      </c>
      <c r="Q123" s="13">
        <f t="shared" si="65"/>
        <v>229.48988404246077</v>
      </c>
      <c r="R123" s="2">
        <f t="shared" si="123"/>
        <v>21702.853722571788</v>
      </c>
      <c r="S123">
        <f t="shared" si="72"/>
        <v>147.31888447368786</v>
      </c>
      <c r="T123" s="6">
        <f t="shared" si="73"/>
        <v>288.74501356842819</v>
      </c>
      <c r="V123" s="13">
        <f t="shared" si="66"/>
        <v>3706.6052675224605</v>
      </c>
      <c r="W123">
        <f t="shared" si="67"/>
        <v>58837.103741671788</v>
      </c>
      <c r="X123">
        <f t="shared" si="74"/>
        <v>242.56360762008754</v>
      </c>
      <c r="Y123" s="6">
        <f t="shared" si="75"/>
        <v>475.42467093537158</v>
      </c>
      <c r="Z123" s="14">
        <f t="shared" si="103"/>
        <v>6.5440906196688159E-2</v>
      </c>
    </row>
    <row r="124" spans="1:26" x14ac:dyDescent="0.25">
      <c r="A124" t="str">
        <f>'rockfish harvests'!A123</f>
        <v>SC</v>
      </c>
      <c r="B124">
        <f>'rockfish harvests'!B123</f>
        <v>2019</v>
      </c>
      <c r="C124" t="str">
        <f>'rockfish harvests'!C123</f>
        <v>EASTSIDE</v>
      </c>
      <c r="D124">
        <f>'rockfish harvests'!D123</f>
        <v>5680</v>
      </c>
      <c r="E124">
        <v>5564</v>
      </c>
      <c r="F124" s="32">
        <f>IF([1]species_comp_Region2_forR!$G136&gt;49,[1]species_comp_Region2_forR!$AD136,[1]species_comp_Region2_forR!$AF136)</f>
        <v>0.94230769199999997</v>
      </c>
      <c r="G124" s="32">
        <f>IF([1]species_comp_Region2_forR!$G136&gt;49,[1]species_comp_Region2_forR!$AE136,[1]species_comp_Region2_forR!$AG136)</f>
        <v>2.7314359999999998E-3</v>
      </c>
      <c r="H124" s="7">
        <f>E124*F124</f>
        <v>5242.9999982879999</v>
      </c>
      <c r="I124">
        <f>(E124^2)*G124</f>
        <v>84560.057905855996</v>
      </c>
      <c r="J124">
        <f>SQRT(I124)</f>
        <v>290.7921214645541</v>
      </c>
      <c r="K124" s="6">
        <f>(1.96*J124)</f>
        <v>569.95255807052604</v>
      </c>
      <c r="M124" s="2">
        <f>'rockfish harvests'!O123</f>
        <v>1827.1545603495351</v>
      </c>
      <c r="N124">
        <f>'rockfish harvests'!P123</f>
        <v>1939226.0896531206</v>
      </c>
      <c r="O124" s="27">
        <f>O174</f>
        <v>0.78749999999999998</v>
      </c>
      <c r="P124" s="27">
        <f t="shared" si="122"/>
        <v>7.0018299999999995E-4</v>
      </c>
      <c r="Q124" s="13">
        <f>M124*O124</f>
        <v>1438.884216275259</v>
      </c>
      <c r="R124" s="2">
        <f>(M124^2)*P124+(O124^2)*N124-(P124*N124)</f>
        <v>1203602.9231158588</v>
      </c>
      <c r="S124">
        <f>SQRT(R124)</f>
        <v>1097.0883843683055</v>
      </c>
      <c r="T124" s="6">
        <f>(1.96*S124)</f>
        <v>2150.2932333618787</v>
      </c>
      <c r="V124" s="13">
        <f>Q124+H124</f>
        <v>6681.8842145632589</v>
      </c>
      <c r="W124">
        <f>R124+I124</f>
        <v>1288162.9810217149</v>
      </c>
      <c r="X124">
        <f>SQRT(W124)</f>
        <v>1134.9726785353535</v>
      </c>
      <c r="Y124" s="6">
        <f>(1.96*X124)</f>
        <v>2224.5464499292925</v>
      </c>
      <c r="Z124" s="14">
        <f t="shared" si="103"/>
        <v>0.1698581780363187</v>
      </c>
    </row>
    <row r="125" spans="1:26" x14ac:dyDescent="0.25">
      <c r="A125" t="str">
        <f>'rockfish harvests'!A124</f>
        <v>SC</v>
      </c>
      <c r="B125">
        <f>'rockfish harvests'!B124</f>
        <v>2020</v>
      </c>
      <c r="C125" t="str">
        <f>'rockfish harvests'!C124</f>
        <v>EASTSIDE</v>
      </c>
      <c r="D125">
        <f>'rockfish harvests'!D124</f>
        <v>1507</v>
      </c>
      <c r="E125">
        <v>1436</v>
      </c>
      <c r="F125" s="32">
        <v>0.94230769199999997</v>
      </c>
      <c r="G125" s="32">
        <v>2.7272310000000001E-3</v>
      </c>
      <c r="H125" s="7">
        <f t="shared" ref="H125:H126" si="124">E125*F125</f>
        <v>1353.153845712</v>
      </c>
      <c r="I125">
        <f t="shared" ref="I125:I126" si="125">(E125^2)*G125</f>
        <v>5623.8121361760004</v>
      </c>
      <c r="J125">
        <f t="shared" ref="J125:J127" si="126">SQRT(I125)</f>
        <v>74.992080489715718</v>
      </c>
      <c r="K125" s="6">
        <f t="shared" ref="K125:K127" si="127">(1.96*J125)</f>
        <v>146.9844777598428</v>
      </c>
      <c r="M125" s="2">
        <f>'rockfish harvests'!O124</f>
        <v>285.07252075141969</v>
      </c>
      <c r="N125">
        <f>'rockfish harvests'!P124</f>
        <v>20342.54532916598</v>
      </c>
      <c r="O125" s="27">
        <f t="shared" si="122"/>
        <v>0.72222222199999997</v>
      </c>
      <c r="P125" s="27">
        <f t="shared" si="122"/>
        <v>1.8749280000000001E-3</v>
      </c>
      <c r="Q125" s="13">
        <f t="shared" ref="Q125" si="128">M125*O125</f>
        <v>205.88570936823143</v>
      </c>
      <c r="R125" s="2">
        <f t="shared" ref="R125" si="129">(M125^2)*P125+(O125^2)*N125-(P125*N125)</f>
        <v>10724.999826585878</v>
      </c>
      <c r="S125">
        <f t="shared" ref="S125" si="130">SQRT(R125)</f>
        <v>103.56157504878863</v>
      </c>
      <c r="T125" s="6">
        <f t="shared" ref="T125" si="131">(1.96*S125)</f>
        <v>202.98068709562571</v>
      </c>
      <c r="V125" s="13">
        <f t="shared" ref="V125" si="132">Q125+H125</f>
        <v>1559.0395550802314</v>
      </c>
      <c r="W125">
        <f t="shared" ref="W125" si="133">R125+I125</f>
        <v>16348.811962761878</v>
      </c>
      <c r="X125">
        <f t="shared" ref="X125" si="134">SQRT(W125)</f>
        <v>127.86247284782927</v>
      </c>
      <c r="Y125" s="6">
        <f t="shared" ref="Y125" si="135">(1.96*X125)</f>
        <v>250.61044678174537</v>
      </c>
      <c r="Z125" s="14">
        <f t="shared" ref="Z125:Z126" si="136">X125/V125</f>
        <v>8.2013616929205627E-2</v>
      </c>
    </row>
    <row r="126" spans="1:26" x14ac:dyDescent="0.25">
      <c r="A126" t="str">
        <f>'rockfish harvests'!A125</f>
        <v>SC</v>
      </c>
      <c r="B126">
        <f>'rockfish harvests'!B125</f>
        <v>2021</v>
      </c>
      <c r="C126" t="str">
        <f>'rockfish harvests'!C125</f>
        <v>EASTSIDE</v>
      </c>
      <c r="D126">
        <f>'rockfish harvests'!D125</f>
        <v>2885</v>
      </c>
      <c r="E126">
        <v>2698</v>
      </c>
      <c r="F126" s="32">
        <v>0.94230769199999997</v>
      </c>
      <c r="G126" s="32">
        <v>2.7272310000000001E-3</v>
      </c>
      <c r="H126" s="7">
        <f t="shared" si="124"/>
        <v>2542.3461530159998</v>
      </c>
      <c r="I126">
        <f t="shared" si="125"/>
        <v>19852.070804124</v>
      </c>
      <c r="J126">
        <f t="shared" si="126"/>
        <v>140.89737685324025</v>
      </c>
      <c r="K126" s="6">
        <f t="shared" si="127"/>
        <v>276.15885863235087</v>
      </c>
      <c r="M126" s="2">
        <f>'rockfish harvests'!O125</f>
        <v>450.56951620479094</v>
      </c>
      <c r="N126">
        <f>'rockfish harvests'!P125</f>
        <v>34555.289276141099</v>
      </c>
      <c r="O126" s="27">
        <f t="shared" si="122"/>
        <v>0.89705882400000003</v>
      </c>
      <c r="P126" s="27">
        <f t="shared" si="122"/>
        <v>4.5489800000000002E-4</v>
      </c>
      <c r="Q126" s="13">
        <f>M126*O126</f>
        <v>404.18736033691874</v>
      </c>
      <c r="R126" s="2">
        <f>(M126^2)*P126+(O126^2)*N126-(P126*N126)</f>
        <v>27883.774522449181</v>
      </c>
      <c r="S126">
        <f>SQRT(R126)</f>
        <v>166.98435412471787</v>
      </c>
      <c r="T126" s="6">
        <f>(1.96*S126)</f>
        <v>327.28933408444703</v>
      </c>
      <c r="V126" s="13">
        <f>Q126+H126</f>
        <v>2946.5335133529184</v>
      </c>
      <c r="W126">
        <f>R126+I126</f>
        <v>47735.845326573181</v>
      </c>
      <c r="X126">
        <f>SQRT(W126)</f>
        <v>218.48534350517241</v>
      </c>
      <c r="Y126" s="6">
        <f>(1.96*X126)</f>
        <v>428.23127327013793</v>
      </c>
      <c r="Z126" s="14">
        <f t="shared" si="136"/>
        <v>7.4149960458638614E-2</v>
      </c>
    </row>
    <row r="127" spans="1:26" s="51" customFormat="1" x14ac:dyDescent="0.25">
      <c r="A127" s="51" t="s">
        <v>81</v>
      </c>
      <c r="B127" s="51">
        <v>2022</v>
      </c>
      <c r="C127" s="51" t="s">
        <v>48</v>
      </c>
      <c r="D127">
        <f>'rockfish harvests'!D126</f>
        <v>1829</v>
      </c>
      <c r="E127" s="6">
        <v>1702</v>
      </c>
      <c r="F127" s="32">
        <v>0.94230769199999997</v>
      </c>
      <c r="G127" s="32">
        <v>2.7272310000000001E-3</v>
      </c>
      <c r="H127" s="7">
        <f t="shared" ref="H127" si="137">E127*F127</f>
        <v>1603.8076917839999</v>
      </c>
      <c r="I127">
        <f t="shared" ref="I127" si="138">(E127^2)*G127</f>
        <v>7900.2536697240002</v>
      </c>
      <c r="J127">
        <f t="shared" si="126"/>
        <v>88.883371165387288</v>
      </c>
      <c r="K127" s="6">
        <f t="shared" si="127"/>
        <v>174.21140748415908</v>
      </c>
      <c r="M127" s="2">
        <f>'rockfish harvests'!O126</f>
        <v>698.24578009149718</v>
      </c>
      <c r="N127">
        <f>'rockfish harvests'!P126</f>
        <v>79508.793444844647</v>
      </c>
      <c r="O127" s="27">
        <f t="shared" si="122"/>
        <v>0.946428571</v>
      </c>
      <c r="P127" s="27">
        <f t="shared" si="122"/>
        <v>4.5677100000000002E-4</v>
      </c>
      <c r="Q127" s="13">
        <f>M127*O127</f>
        <v>660.8397558587759</v>
      </c>
      <c r="R127" s="2">
        <f>(M127^2)*P127+(O127^2)*N127-(P127*N127)</f>
        <v>71404.556303758291</v>
      </c>
      <c r="S127">
        <f>SQRT(R127)</f>
        <v>267.21630995086787</v>
      </c>
      <c r="T127" s="6">
        <f>(1.96*S127)</f>
        <v>523.74396750370101</v>
      </c>
      <c r="V127" s="13">
        <f>Q127+H127</f>
        <v>2264.6474476427757</v>
      </c>
      <c r="W127">
        <f>R127+I127</f>
        <v>79304.80997348229</v>
      </c>
      <c r="X127">
        <f>SQRT(W127)</f>
        <v>281.61109703540143</v>
      </c>
      <c r="Y127" s="6">
        <f>(1.96*X127)</f>
        <v>551.95775018938684</v>
      </c>
      <c r="Z127" s="14">
        <f t="shared" ref="Z127" si="139">X127/V127</f>
        <v>0.12435096567835517</v>
      </c>
    </row>
    <row r="128" spans="1:26" x14ac:dyDescent="0.25">
      <c r="A128" t="str">
        <f>'rockfish harvests'!A127</f>
        <v>SC</v>
      </c>
      <c r="B128">
        <f>'rockfish harvests'!B127</f>
        <v>1998</v>
      </c>
      <c r="C128" t="str">
        <f>'rockfish harvests'!C127</f>
        <v>NG</v>
      </c>
      <c r="D128">
        <f>'rockfish harvests'!D127</f>
        <v>5169</v>
      </c>
      <c r="E128">
        <v>3927</v>
      </c>
      <c r="F128">
        <f>IF([1]species_comp_Region2_forR!$G169&gt;49,[1]species_comp_Region2_forR!$AD169,[1]species_comp_Region2_forR!$AF169)</f>
        <v>0.88760331599999998</v>
      </c>
      <c r="G128">
        <f>IF([1]species_comp_Region2_forR!$G169&gt;49,[1]species_comp_Region2_forR!$AE169,[1]species_comp_Region2_forR!$AG169)</f>
        <v>9.97637E-4</v>
      </c>
      <c r="H128" s="7">
        <f t="shared" ref="H128:H181" si="140">E128*F128</f>
        <v>3485.6182219319999</v>
      </c>
      <c r="I128">
        <f t="shared" ref="I128:I182" si="141">(E128^2)*G128</f>
        <v>15384.888399572999</v>
      </c>
      <c r="J128">
        <f t="shared" ref="J128:J181" si="142">SQRT(I128)</f>
        <v>124.0358351428046</v>
      </c>
      <c r="K128" s="6">
        <f t="shared" ref="K128:K181" si="143">(1.96*J128)</f>
        <v>243.110236879897</v>
      </c>
      <c r="M128" s="2">
        <f>'rockfish harvests'!O127</f>
        <v>2556.220955913016</v>
      </c>
      <c r="N128">
        <f>'rockfish harvests'!P127</f>
        <v>380846.86521831615</v>
      </c>
      <c r="O128">
        <f>IF([1]species_comp_Region2_forR!$D196&gt;49,[1]species_comp_Region2_forR!$N196,[1]species_comp_Region2_forR!$P196)</f>
        <v>0.77499063599999995</v>
      </c>
      <c r="P128">
        <f>IF([1]species_comp_Region2_forR!$D196&gt;49,[1]species_comp_Region2_forR!$O196,[1]species_comp_Region2_forR!$Q196)</f>
        <v>1.063294E-3</v>
      </c>
      <c r="Q128" s="13">
        <f t="shared" ref="Q128:Q180" si="144">M128*O128</f>
        <v>1981.0473043795562</v>
      </c>
      <c r="R128" s="2">
        <f t="shared" si="123"/>
        <v>235283.51396165017</v>
      </c>
      <c r="S128">
        <f t="shared" ref="S128:S181" si="145">SQRT(R128)</f>
        <v>485.06031992078073</v>
      </c>
      <c r="T128" s="6">
        <f t="shared" ref="T128:T181" si="146">(1.96*S128)</f>
        <v>950.71822704473016</v>
      </c>
      <c r="V128" s="13">
        <f t="shared" ref="V128:V180" si="147">Q128+H128</f>
        <v>5466.6655263115563</v>
      </c>
      <c r="W128">
        <f t="shared" ref="W128:W180" si="148">R128+I128</f>
        <v>250668.40236122318</v>
      </c>
      <c r="X128">
        <f t="shared" ref="X128:X181" si="149">SQRT(W128)</f>
        <v>500.66795619574373</v>
      </c>
      <c r="Y128" s="6">
        <f t="shared" ref="Y128:Y181" si="150">(1.96*X128)</f>
        <v>981.30919414365769</v>
      </c>
      <c r="Z128" s="14">
        <f>X128/V128</f>
        <v>9.1585620848025823E-2</v>
      </c>
    </row>
    <row r="129" spans="1:26" x14ac:dyDescent="0.25">
      <c r="A129" t="str">
        <f>'rockfish harvests'!A128</f>
        <v>SC</v>
      </c>
      <c r="B129">
        <f>'rockfish harvests'!B128</f>
        <v>1999</v>
      </c>
      <c r="C129" t="str">
        <f>'rockfish harvests'!C128</f>
        <v>NG</v>
      </c>
      <c r="D129">
        <f>'rockfish harvests'!D128</f>
        <v>9276</v>
      </c>
      <c r="E129">
        <v>8138</v>
      </c>
      <c r="F129">
        <f>IF([1]species_comp_Region2_forR!$G170&gt;49,[1]species_comp_Region2_forR!$AD170,[1]species_comp_Region2_forR!$AF170)</f>
        <v>0.93184353799999997</v>
      </c>
      <c r="G129">
        <f>IF([1]species_comp_Region2_forR!$G170&gt;49,[1]species_comp_Region2_forR!$AE170,[1]species_comp_Region2_forR!$AG170)</f>
        <v>2.6463000000000002E-4</v>
      </c>
      <c r="H129" s="7">
        <f t="shared" si="140"/>
        <v>7583.3427122439998</v>
      </c>
      <c r="I129">
        <f t="shared" si="141"/>
        <v>17525.662653720003</v>
      </c>
      <c r="J129">
        <f t="shared" si="142"/>
        <v>132.38452573363702</v>
      </c>
      <c r="K129" s="6">
        <f t="shared" si="143"/>
        <v>259.47367043792855</v>
      </c>
      <c r="M129" s="2">
        <f>'rockfish harvests'!O128</f>
        <v>4587.2519998160442</v>
      </c>
      <c r="N129">
        <f>'rockfish harvests'!P128</f>
        <v>1226475.2843498222</v>
      </c>
      <c r="O129">
        <f>IF([1]species_comp_Region2_forR!$D197&gt;49,[1]species_comp_Region2_forR!$N197,[1]species_comp_Region2_forR!$P197)</f>
        <v>0.57976282899999998</v>
      </c>
      <c r="P129">
        <f>IF([1]species_comp_Region2_forR!$D197&gt;49,[1]species_comp_Region2_forR!$O197,[1]species_comp_Region2_forR!$Q197)</f>
        <v>1.624253E-3</v>
      </c>
      <c r="Q129" s="13">
        <f t="shared" si="144"/>
        <v>2659.5181967492572</v>
      </c>
      <c r="R129" s="2">
        <f t="shared" si="123"/>
        <v>444435.78506218694</v>
      </c>
      <c r="S129">
        <f t="shared" si="145"/>
        <v>666.66017209833899</v>
      </c>
      <c r="T129" s="6">
        <f t="shared" si="146"/>
        <v>1306.6539373127443</v>
      </c>
      <c r="V129" s="13">
        <f t="shared" si="147"/>
        <v>10242.860908993258</v>
      </c>
      <c r="W129">
        <f t="shared" si="148"/>
        <v>461961.44771590695</v>
      </c>
      <c r="X129">
        <f t="shared" si="149"/>
        <v>679.67745859040156</v>
      </c>
      <c r="Y129" s="6">
        <f t="shared" si="150"/>
        <v>1332.167818837187</v>
      </c>
      <c r="Z129" s="14">
        <f t="shared" ref="Z129:Z174" si="151">X129/V129</f>
        <v>6.6356212842219015E-2</v>
      </c>
    </row>
    <row r="130" spans="1:26" x14ac:dyDescent="0.25">
      <c r="A130" t="str">
        <f>'rockfish harvests'!A129</f>
        <v>SC</v>
      </c>
      <c r="B130">
        <f>'rockfish harvests'!B129</f>
        <v>2000</v>
      </c>
      <c r="C130" t="str">
        <f>'rockfish harvests'!C129</f>
        <v>NG</v>
      </c>
      <c r="D130">
        <f>'rockfish harvests'!D129</f>
        <v>13107</v>
      </c>
      <c r="E130">
        <v>10703</v>
      </c>
      <c r="F130">
        <f>IF([1]species_comp_Region2_forR!$G171&gt;49,[1]species_comp_Region2_forR!$AD171,[1]species_comp_Region2_forR!$AF171)</f>
        <v>0.87924992300000004</v>
      </c>
      <c r="G130">
        <f>IF([1]species_comp_Region2_forR!$G171&gt;49,[1]species_comp_Region2_forR!$AE171,[1]species_comp_Region2_forR!$AG171)</f>
        <v>1.083362E-3</v>
      </c>
      <c r="H130" s="7">
        <f t="shared" si="140"/>
        <v>9410.6119258689996</v>
      </c>
      <c r="I130">
        <f t="shared" si="141"/>
        <v>124103.67697065801</v>
      </c>
      <c r="J130">
        <f t="shared" si="142"/>
        <v>352.28351788106409</v>
      </c>
      <c r="K130" s="6">
        <f t="shared" si="143"/>
        <v>690.47569504688556</v>
      </c>
      <c r="M130" s="2">
        <f>'rockfish harvests'!O129</f>
        <v>6481.7930100893609</v>
      </c>
      <c r="N130">
        <f>'rockfish harvests'!P129</f>
        <v>2448747.0158551079</v>
      </c>
      <c r="O130">
        <f>IF([1]species_comp_Region2_forR!$D198&gt;49,[1]species_comp_Region2_forR!$N198,[1]species_comp_Region2_forR!$P198)</f>
        <v>0.74264705900000005</v>
      </c>
      <c r="P130">
        <f>IF([1]species_comp_Region2_forR!$D198&gt;49,[1]species_comp_Region2_forR!$O198,[1]species_comp_Region2_forR!$Q198)</f>
        <v>1.4157219999999999E-3</v>
      </c>
      <c r="Q130" s="13">
        <f t="shared" si="144"/>
        <v>4813.6845159896211</v>
      </c>
      <c r="R130" s="2">
        <f t="shared" si="123"/>
        <v>1406557.2415550614</v>
      </c>
      <c r="S130">
        <f t="shared" si="145"/>
        <v>1185.9836599022187</v>
      </c>
      <c r="T130" s="6">
        <f t="shared" si="146"/>
        <v>2324.5279734083488</v>
      </c>
      <c r="V130" s="13">
        <f t="shared" si="147"/>
        <v>14224.29644185862</v>
      </c>
      <c r="W130">
        <f t="shared" si="148"/>
        <v>1530660.9185257195</v>
      </c>
      <c r="X130">
        <f t="shared" si="149"/>
        <v>1237.1988193195625</v>
      </c>
      <c r="Y130" s="6">
        <f t="shared" si="150"/>
        <v>2424.9096858663424</v>
      </c>
      <c r="Z130" s="14">
        <f t="shared" si="151"/>
        <v>8.697785682241474E-2</v>
      </c>
    </row>
    <row r="131" spans="1:26" x14ac:dyDescent="0.25">
      <c r="A131" t="str">
        <f>'rockfish harvests'!A130</f>
        <v>SC</v>
      </c>
      <c r="B131">
        <f>'rockfish harvests'!B130</f>
        <v>2001</v>
      </c>
      <c r="C131" t="str">
        <f>'rockfish harvests'!C130</f>
        <v>NG</v>
      </c>
      <c r="D131">
        <f>'rockfish harvests'!D130</f>
        <v>20907</v>
      </c>
      <c r="E131">
        <v>18457</v>
      </c>
      <c r="F131">
        <f>IF([1]species_comp_Region2_forR!$G172&gt;49,[1]species_comp_Region2_forR!$AD172,[1]species_comp_Region2_forR!$AF172)</f>
        <v>0.91030543200000003</v>
      </c>
      <c r="G131">
        <f>IF([1]species_comp_Region2_forR!$G172&gt;49,[1]species_comp_Region2_forR!$AE172,[1]species_comp_Region2_forR!$AG172)</f>
        <v>5.0400900000000003E-4</v>
      </c>
      <c r="H131" s="7">
        <f t="shared" si="140"/>
        <v>16801.507358424002</v>
      </c>
      <c r="I131">
        <f t="shared" si="141"/>
        <v>171696.133843641</v>
      </c>
      <c r="J131">
        <f t="shared" si="142"/>
        <v>414.36232194016026</v>
      </c>
      <c r="K131" s="6">
        <f t="shared" si="143"/>
        <v>812.1501510027141</v>
      </c>
      <c r="M131" s="2">
        <f>'rockfish harvests'!O130</f>
        <v>10339.120047450848</v>
      </c>
      <c r="N131">
        <f>'rockfish harvests'!P130</f>
        <v>6230469.2850139625</v>
      </c>
      <c r="O131">
        <f>IF([1]species_comp_Region2_forR!$D199&gt;49,[1]species_comp_Region2_forR!$N199,[1]species_comp_Region2_forR!$P199)</f>
        <v>0.73493975899999997</v>
      </c>
      <c r="P131">
        <f>IF([1]species_comp_Region2_forR!$D199&gt;49,[1]species_comp_Region2_forR!$O199,[1]species_comp_Region2_forR!$Q199)</f>
        <v>1.1806259999999999E-3</v>
      </c>
      <c r="Q131" s="13">
        <f t="shared" si="144"/>
        <v>7598.6303959455945</v>
      </c>
      <c r="R131" s="2">
        <f t="shared" si="123"/>
        <v>3484153.5571516324</v>
      </c>
      <c r="S131">
        <f t="shared" si="145"/>
        <v>1866.5887488013079</v>
      </c>
      <c r="T131" s="6">
        <f t="shared" si="146"/>
        <v>3658.5139476505633</v>
      </c>
      <c r="V131" s="13">
        <f t="shared" si="147"/>
        <v>24400.137754369596</v>
      </c>
      <c r="W131">
        <f t="shared" si="148"/>
        <v>3655849.6909952732</v>
      </c>
      <c r="X131">
        <f t="shared" si="149"/>
        <v>1912.027638658833</v>
      </c>
      <c r="Y131" s="6">
        <f t="shared" si="150"/>
        <v>3747.5741717713126</v>
      </c>
      <c r="Z131" s="14">
        <f t="shared" si="151"/>
        <v>7.8361346067254298E-2</v>
      </c>
    </row>
    <row r="132" spans="1:26" x14ac:dyDescent="0.25">
      <c r="A132" t="str">
        <f>'rockfish harvests'!A131</f>
        <v>SC</v>
      </c>
      <c r="B132">
        <f>'rockfish harvests'!B131</f>
        <v>2002</v>
      </c>
      <c r="C132" t="str">
        <f>'rockfish harvests'!C131</f>
        <v>NG</v>
      </c>
      <c r="D132">
        <f>'rockfish harvests'!D131</f>
        <v>17318</v>
      </c>
      <c r="E132">
        <v>15088</v>
      </c>
      <c r="F132">
        <f>IF([1]species_comp_Region2_forR!$G173&gt;49,[1]species_comp_Region2_forR!$AD173,[1]species_comp_Region2_forR!$AF173)</f>
        <v>0.88527489999999998</v>
      </c>
      <c r="G132">
        <f>IF([1]species_comp_Region2_forR!$G173&gt;49,[1]species_comp_Region2_forR!$AE173,[1]species_comp_Region2_forR!$AG173)</f>
        <v>4.83635E-4</v>
      </c>
      <c r="H132" s="7">
        <f t="shared" si="140"/>
        <v>13357.027691199999</v>
      </c>
      <c r="I132">
        <f t="shared" si="141"/>
        <v>110098.41666944</v>
      </c>
      <c r="J132">
        <f t="shared" si="142"/>
        <v>331.81081457577602</v>
      </c>
      <c r="K132" s="6">
        <f t="shared" si="143"/>
        <v>650.34919656852094</v>
      </c>
      <c r="M132" s="2">
        <f>'rockfish harvests'!O131</f>
        <v>8564.2550811572073</v>
      </c>
      <c r="N132">
        <f>'rockfish harvests'!P131</f>
        <v>4274967.2451758217</v>
      </c>
      <c r="O132">
        <f>IF([1]species_comp_Region2_forR!$D200&gt;49,[1]species_comp_Region2_forR!$N200,[1]species_comp_Region2_forR!$P200)</f>
        <v>0.75615469700000004</v>
      </c>
      <c r="P132">
        <f>IF([1]species_comp_Region2_forR!$D200&gt;49,[1]species_comp_Region2_forR!$O200,[1]species_comp_Region2_forR!$Q200)</f>
        <v>6.6325499999999996E-4</v>
      </c>
      <c r="Q132" s="13">
        <f t="shared" si="144"/>
        <v>6475.9017059231392</v>
      </c>
      <c r="R132" s="2">
        <f t="shared" si="123"/>
        <v>2490109.7208573963</v>
      </c>
      <c r="S132">
        <f t="shared" si="145"/>
        <v>1578.0081498070269</v>
      </c>
      <c r="T132" s="6">
        <f t="shared" si="146"/>
        <v>3092.8959736217726</v>
      </c>
      <c r="V132" s="13">
        <f t="shared" si="147"/>
        <v>19832.929397123138</v>
      </c>
      <c r="W132">
        <f t="shared" si="148"/>
        <v>2600208.1375268362</v>
      </c>
      <c r="X132">
        <f t="shared" si="149"/>
        <v>1612.5160890753421</v>
      </c>
      <c r="Y132" s="6">
        <f t="shared" si="150"/>
        <v>3160.5315345876702</v>
      </c>
      <c r="Z132" s="14">
        <f t="shared" si="151"/>
        <v>8.1304988122896521E-2</v>
      </c>
    </row>
    <row r="133" spans="1:26" x14ac:dyDescent="0.25">
      <c r="A133" t="str">
        <f>'rockfish harvests'!A132</f>
        <v>SC</v>
      </c>
      <c r="B133">
        <f>'rockfish harvests'!B132</f>
        <v>2003</v>
      </c>
      <c r="C133" t="str">
        <f>'rockfish harvests'!C132</f>
        <v>NG</v>
      </c>
      <c r="D133">
        <f>'rockfish harvests'!D132</f>
        <v>17020</v>
      </c>
      <c r="E133">
        <v>13573</v>
      </c>
      <c r="F133">
        <f>IF([1]species_comp_Region2_forR!$G174&gt;49,[1]species_comp_Region2_forR!$AD174,[1]species_comp_Region2_forR!$AF174)</f>
        <v>0.892801917</v>
      </c>
      <c r="G133">
        <f>IF([1]species_comp_Region2_forR!$G174&gt;49,[1]species_comp_Region2_forR!$AE174,[1]species_comp_Region2_forR!$AG174)</f>
        <v>1.9027200000000001E-4</v>
      </c>
      <c r="H133" s="7">
        <f t="shared" si="140"/>
        <v>12118.000419440999</v>
      </c>
      <c r="I133">
        <f t="shared" si="141"/>
        <v>35053.112071488002</v>
      </c>
      <c r="J133">
        <f t="shared" si="142"/>
        <v>187.22476351030065</v>
      </c>
      <c r="K133" s="6">
        <f t="shared" si="143"/>
        <v>366.96053648018926</v>
      </c>
      <c r="M133" s="2">
        <f>'rockfish harvests'!O132</f>
        <v>8416.8854071657042</v>
      </c>
      <c r="N133">
        <f>'rockfish harvests'!P132</f>
        <v>4129109.8070434225</v>
      </c>
      <c r="O133">
        <f>IF([1]species_comp_Region2_forR!$D201&gt;49,[1]species_comp_Region2_forR!$N201,[1]species_comp_Region2_forR!$P201)</f>
        <v>0.80010162399999996</v>
      </c>
      <c r="P133">
        <f>IF([1]species_comp_Region2_forR!$D201&gt;49,[1]species_comp_Region2_forR!$O201,[1]species_comp_Region2_forR!$Q201)</f>
        <v>5.2267700000000004E-4</v>
      </c>
      <c r="Q133" s="13">
        <f t="shared" si="144"/>
        <v>6734.3636832951806</v>
      </c>
      <c r="R133" s="2">
        <f t="shared" si="123"/>
        <v>2678172.0235309792</v>
      </c>
      <c r="S133">
        <f t="shared" si="145"/>
        <v>1636.5121519655695</v>
      </c>
      <c r="T133" s="6">
        <f t="shared" si="146"/>
        <v>3207.563817852516</v>
      </c>
      <c r="V133" s="13">
        <f t="shared" si="147"/>
        <v>18852.364102736181</v>
      </c>
      <c r="W133">
        <f t="shared" si="148"/>
        <v>2713225.1356024672</v>
      </c>
      <c r="X133">
        <f t="shared" si="149"/>
        <v>1647.1870372251194</v>
      </c>
      <c r="Y133" s="6">
        <f t="shared" si="150"/>
        <v>3228.4865929612338</v>
      </c>
      <c r="Z133" s="14">
        <f t="shared" si="151"/>
        <v>8.7372969684266347E-2</v>
      </c>
    </row>
    <row r="134" spans="1:26" x14ac:dyDescent="0.25">
      <c r="A134" t="str">
        <f>'rockfish harvests'!A133</f>
        <v>SC</v>
      </c>
      <c r="B134">
        <f>'rockfish harvests'!B133</f>
        <v>2004</v>
      </c>
      <c r="C134" t="str">
        <f>'rockfish harvests'!C133</f>
        <v>NG</v>
      </c>
      <c r="D134">
        <f>'rockfish harvests'!D133</f>
        <v>19434</v>
      </c>
      <c r="E134">
        <v>15959</v>
      </c>
      <c r="F134">
        <f>IF([1]species_comp_Region2_forR!$G175&gt;49,[1]species_comp_Region2_forR!$AD175,[1]species_comp_Region2_forR!$AF175)</f>
        <v>0.90127856799999995</v>
      </c>
      <c r="G134">
        <f>IF([1]species_comp_Region2_forR!$G175&gt;49,[1]species_comp_Region2_forR!$AE175,[1]species_comp_Region2_forR!$AG175)</f>
        <v>1.4011899999999999E-4</v>
      </c>
      <c r="H134" s="7">
        <f t="shared" si="140"/>
        <v>14383.504666711999</v>
      </c>
      <c r="I134">
        <f t="shared" si="141"/>
        <v>35686.863412038998</v>
      </c>
      <c r="J134">
        <f t="shared" si="142"/>
        <v>188.9096699802289</v>
      </c>
      <c r="K134" s="6">
        <f t="shared" si="143"/>
        <v>370.26295316124862</v>
      </c>
      <c r="M134" s="2">
        <f>'rockfish harvests'!O133</f>
        <v>9610.6786723183504</v>
      </c>
      <c r="N134">
        <f>'rockfish harvests'!P133</f>
        <v>5383462.8158731172</v>
      </c>
      <c r="O134">
        <f>IF([1]species_comp_Region2_forR!$D202&gt;49,[1]species_comp_Region2_forR!$N202,[1]species_comp_Region2_forR!$P202)</f>
        <v>0.72031376300000005</v>
      </c>
      <c r="P134">
        <f>IF([1]species_comp_Region2_forR!$D202&gt;49,[1]species_comp_Region2_forR!$O202,[1]species_comp_Region2_forR!$Q202)</f>
        <v>4.58911E-4</v>
      </c>
      <c r="Q134" s="13">
        <f t="shared" si="144"/>
        <v>6922.7041194414751</v>
      </c>
      <c r="R134" s="2">
        <f t="shared" si="123"/>
        <v>2833136.8535570819</v>
      </c>
      <c r="S134">
        <f t="shared" si="145"/>
        <v>1683.1924588581908</v>
      </c>
      <c r="T134" s="6">
        <f t="shared" si="146"/>
        <v>3299.0572193620537</v>
      </c>
      <c r="V134" s="13">
        <f t="shared" si="147"/>
        <v>21306.208786153475</v>
      </c>
      <c r="W134">
        <f t="shared" si="148"/>
        <v>2868823.7169691208</v>
      </c>
      <c r="X134">
        <f t="shared" si="149"/>
        <v>1693.7602300706913</v>
      </c>
      <c r="Y134" s="6">
        <f t="shared" si="150"/>
        <v>3319.770050938555</v>
      </c>
      <c r="Z134" s="14">
        <f t="shared" si="151"/>
        <v>7.9496087129843379E-2</v>
      </c>
    </row>
    <row r="135" spans="1:26" x14ac:dyDescent="0.25">
      <c r="A135" t="str">
        <f>'rockfish harvests'!A134</f>
        <v>SC</v>
      </c>
      <c r="B135">
        <f>'rockfish harvests'!B134</f>
        <v>2005</v>
      </c>
      <c r="C135" t="str">
        <f>'rockfish harvests'!C134</f>
        <v>NG</v>
      </c>
      <c r="D135">
        <f>'rockfish harvests'!D134</f>
        <v>22792</v>
      </c>
      <c r="E135">
        <v>18621</v>
      </c>
      <c r="F135">
        <f>IF([1]species_comp_Region2_forR!$G176&gt;49,[1]species_comp_Region2_forR!$AD176,[1]species_comp_Region2_forR!$AF176)</f>
        <v>0.91241422000000005</v>
      </c>
      <c r="G135">
        <f>IF([1]species_comp_Region2_forR!$G176&gt;49,[1]species_comp_Region2_forR!$AE176,[1]species_comp_Region2_forR!$AG176)</f>
        <v>2.19545E-4</v>
      </c>
      <c r="H135" s="7">
        <f t="shared" si="140"/>
        <v>16990.06519062</v>
      </c>
      <c r="I135">
        <f t="shared" si="141"/>
        <v>76125.393573345005</v>
      </c>
      <c r="J135">
        <f t="shared" si="142"/>
        <v>275.90830645949211</v>
      </c>
      <c r="K135" s="6">
        <f t="shared" si="143"/>
        <v>540.78028066060449</v>
      </c>
      <c r="M135" s="2">
        <f>'rockfish harvests'!O134</f>
        <v>11271.307414813207</v>
      </c>
      <c r="N135">
        <f>'rockfish harvests'!P134</f>
        <v>7404610.0706118569</v>
      </c>
      <c r="O135">
        <f>IF([1]species_comp_Region2_forR!$D203&gt;49,[1]species_comp_Region2_forR!$N203,[1]species_comp_Region2_forR!$P203)</f>
        <v>0.65745444099999995</v>
      </c>
      <c r="P135">
        <f>IF([1]species_comp_Region2_forR!$D203&gt;49,[1]species_comp_Region2_forR!$O203,[1]species_comp_Region2_forR!$Q203)</f>
        <v>9.2678200000000002E-4</v>
      </c>
      <c r="Q135" s="13">
        <f t="shared" si="144"/>
        <v>7410.3711157451717</v>
      </c>
      <c r="R135" s="2">
        <f t="shared" si="123"/>
        <v>3311493.7400895543</v>
      </c>
      <c r="S135">
        <f t="shared" si="145"/>
        <v>1819.7510104653204</v>
      </c>
      <c r="T135" s="6">
        <f t="shared" si="146"/>
        <v>3566.7119805120278</v>
      </c>
      <c r="V135" s="13">
        <f t="shared" si="147"/>
        <v>24400.436306365173</v>
      </c>
      <c r="W135">
        <f t="shared" si="148"/>
        <v>3387619.1336628995</v>
      </c>
      <c r="X135">
        <f t="shared" si="149"/>
        <v>1840.5485958438858</v>
      </c>
      <c r="Y135" s="6">
        <f t="shared" si="150"/>
        <v>3607.4752478540158</v>
      </c>
      <c r="Z135" s="14">
        <f t="shared" si="151"/>
        <v>7.5430970689805033E-2</v>
      </c>
    </row>
    <row r="136" spans="1:26" x14ac:dyDescent="0.25">
      <c r="A136" t="str">
        <f>'rockfish harvests'!A135</f>
        <v>SC</v>
      </c>
      <c r="B136">
        <f>'rockfish harvests'!B135</f>
        <v>2006</v>
      </c>
      <c r="C136" t="str">
        <f>'rockfish harvests'!C135</f>
        <v>NG</v>
      </c>
      <c r="D136">
        <f>'rockfish harvests'!D135</f>
        <v>19998</v>
      </c>
      <c r="E136">
        <v>15867</v>
      </c>
      <c r="F136">
        <f>IF([1]species_comp_Region2_forR!$G177&gt;49,[1]species_comp_Region2_forR!$AD177,[1]species_comp_Region2_forR!$AF177)</f>
        <v>0.91806032699999995</v>
      </c>
      <c r="G136">
        <f>IF([1]species_comp_Region2_forR!$G177&gt;49,[1]species_comp_Region2_forR!$AE177,[1]species_comp_Region2_forR!$AG177)</f>
        <v>1.3174399999999999E-4</v>
      </c>
      <c r="H136" s="7">
        <f t="shared" si="140"/>
        <v>14566.863208508999</v>
      </c>
      <c r="I136">
        <f t="shared" si="141"/>
        <v>33168.091955616001</v>
      </c>
      <c r="J136">
        <f t="shared" si="142"/>
        <v>182.12109146283964</v>
      </c>
      <c r="K136" s="6">
        <f t="shared" si="143"/>
        <v>356.95733926716571</v>
      </c>
      <c r="M136" s="2">
        <f>'rockfish harvests'!O135</f>
        <v>9889.5930888660259</v>
      </c>
      <c r="N136">
        <f>'rockfish harvests'!P135</f>
        <v>5700467.1719220383</v>
      </c>
      <c r="O136">
        <f>IF([1]species_comp_Region2_forR!$D204&gt;49,[1]species_comp_Region2_forR!$N204,[1]species_comp_Region2_forR!$P204)</f>
        <v>0.59946611999999999</v>
      </c>
      <c r="P136">
        <f>IF([1]species_comp_Region2_forR!$D204&gt;49,[1]species_comp_Region2_forR!$O204,[1]species_comp_Region2_forR!$Q204)</f>
        <v>7.7204699999999999E-4</v>
      </c>
      <c r="Q136" s="13">
        <f t="shared" si="144"/>
        <v>5928.4759973613318</v>
      </c>
      <c r="R136" s="2">
        <f t="shared" si="123"/>
        <v>2119626.0641288073</v>
      </c>
      <c r="S136">
        <f t="shared" si="145"/>
        <v>1455.8935620878358</v>
      </c>
      <c r="T136" s="6">
        <f t="shared" si="146"/>
        <v>2853.551381692158</v>
      </c>
      <c r="V136" s="13">
        <f t="shared" si="147"/>
        <v>20495.339205870332</v>
      </c>
      <c r="W136">
        <f t="shared" si="148"/>
        <v>2152794.1560844234</v>
      </c>
      <c r="X136">
        <f t="shared" si="149"/>
        <v>1467.2403198128191</v>
      </c>
      <c r="Y136" s="6">
        <f t="shared" si="150"/>
        <v>2875.7910268331252</v>
      </c>
      <c r="Z136" s="14">
        <f t="shared" si="151"/>
        <v>7.1588974696870006E-2</v>
      </c>
    </row>
    <row r="137" spans="1:26" x14ac:dyDescent="0.25">
      <c r="A137" t="str">
        <f>'rockfish harvests'!A136</f>
        <v>SC</v>
      </c>
      <c r="B137">
        <f>'rockfish harvests'!B136</f>
        <v>2007</v>
      </c>
      <c r="C137" t="str">
        <f>'rockfish harvests'!C136</f>
        <v>NG</v>
      </c>
      <c r="D137">
        <f>'rockfish harvests'!D136</f>
        <v>23861</v>
      </c>
      <c r="E137">
        <v>19743</v>
      </c>
      <c r="F137">
        <f>IF([1]species_comp_Region2_forR!$G178&gt;49,[1]species_comp_Region2_forR!$AD178,[1]species_comp_Region2_forR!$AF178)</f>
        <v>0.96377290800000004</v>
      </c>
      <c r="G137">
        <f>IF([1]species_comp_Region2_forR!$G178&gt;49,[1]species_comp_Region2_forR!$AE178,[1]species_comp_Region2_forR!$AG178)</f>
        <v>6.5752699999999998E-5</v>
      </c>
      <c r="H137" s="7">
        <f t="shared" si="140"/>
        <v>19027.768522644001</v>
      </c>
      <c r="I137">
        <f t="shared" si="141"/>
        <v>25629.4851440823</v>
      </c>
      <c r="J137">
        <f t="shared" si="142"/>
        <v>160.09211455934457</v>
      </c>
      <c r="K137" s="6">
        <f t="shared" si="143"/>
        <v>313.78054453631535</v>
      </c>
      <c r="M137" s="2">
        <f>'rockfish harvests'!O136</f>
        <v>11799.959030574668</v>
      </c>
      <c r="N137">
        <f>'rockfish harvests'!P136</f>
        <v>8115487.2982604261</v>
      </c>
      <c r="O137">
        <f>IF([1]species_comp_Region2_forR!$D205&gt;49,[1]species_comp_Region2_forR!$N205,[1]species_comp_Region2_forR!$P205)</f>
        <v>0.69551280599999998</v>
      </c>
      <c r="P137">
        <f>IF([1]species_comp_Region2_forR!$D205&gt;49,[1]species_comp_Region2_forR!$O205,[1]species_comp_Region2_forR!$Q205)</f>
        <v>8.3048900000000001E-4</v>
      </c>
      <c r="Q137" s="13">
        <f t="shared" si="144"/>
        <v>8207.0226160400271</v>
      </c>
      <c r="R137" s="2">
        <f t="shared" si="123"/>
        <v>4034666.7709259931</v>
      </c>
      <c r="S137">
        <f t="shared" si="145"/>
        <v>2008.6479957737724</v>
      </c>
      <c r="T137" s="6">
        <f t="shared" si="146"/>
        <v>3936.9500717165938</v>
      </c>
      <c r="V137" s="13">
        <f t="shared" si="147"/>
        <v>27234.791138684028</v>
      </c>
      <c r="W137">
        <f t="shared" si="148"/>
        <v>4060296.2560700756</v>
      </c>
      <c r="X137">
        <f t="shared" si="149"/>
        <v>2015.0176813293911</v>
      </c>
      <c r="Y137" s="6">
        <f t="shared" si="150"/>
        <v>3949.4346554056065</v>
      </c>
      <c r="Z137" s="14">
        <f t="shared" si="151"/>
        <v>7.3986896799339869E-2</v>
      </c>
    </row>
    <row r="138" spans="1:26" x14ac:dyDescent="0.25">
      <c r="A138" t="str">
        <f>'rockfish harvests'!A137</f>
        <v>SC</v>
      </c>
      <c r="B138">
        <f>'rockfish harvests'!B137</f>
        <v>2008</v>
      </c>
      <c r="C138" t="str">
        <f>'rockfish harvests'!C137</f>
        <v>NG</v>
      </c>
      <c r="D138">
        <f>'rockfish harvests'!D137</f>
        <v>25596</v>
      </c>
      <c r="E138">
        <v>20867</v>
      </c>
      <c r="F138">
        <f>IF([1]species_comp_Region2_forR!$G179&gt;49,[1]species_comp_Region2_forR!$AD179,[1]species_comp_Region2_forR!$AF179)</f>
        <v>0.95413883899999996</v>
      </c>
      <c r="G138">
        <f>IF([1]species_comp_Region2_forR!$G179&gt;49,[1]species_comp_Region2_forR!$AE179,[1]species_comp_Region2_forR!$AG179)</f>
        <v>7.6366300000000001E-5</v>
      </c>
      <c r="H138" s="7">
        <f t="shared" si="140"/>
        <v>19910.015153412998</v>
      </c>
      <c r="I138">
        <f t="shared" si="141"/>
        <v>33252.3069916807</v>
      </c>
      <c r="J138">
        <f t="shared" si="142"/>
        <v>182.35215104758348</v>
      </c>
      <c r="K138" s="6">
        <f t="shared" si="143"/>
        <v>357.41021605326358</v>
      </c>
      <c r="M138" s="2">
        <f>'rockfish harvests'!O137</f>
        <v>12657.967031833927</v>
      </c>
      <c r="N138">
        <f>'rockfish harvests'!P137</f>
        <v>9338594.6288435515</v>
      </c>
      <c r="O138">
        <f>IF([1]species_comp_Region2_forR!$D206&gt;49,[1]species_comp_Region2_forR!$N206,[1]species_comp_Region2_forR!$P206)</f>
        <v>0.69406392699999997</v>
      </c>
      <c r="P138">
        <f>IF([1]species_comp_Region2_forR!$D206&gt;49,[1]species_comp_Region2_forR!$O206,[1]species_comp_Region2_forR!$Q206)</f>
        <v>9.7403300000000002E-4</v>
      </c>
      <c r="Q138" s="13">
        <f t="shared" si="144"/>
        <v>8785.4383059511892</v>
      </c>
      <c r="R138" s="2">
        <f t="shared" si="123"/>
        <v>4645599.5107049681</v>
      </c>
      <c r="S138">
        <f t="shared" si="145"/>
        <v>2155.3652847498884</v>
      </c>
      <c r="T138" s="6">
        <f t="shared" si="146"/>
        <v>4224.5159581097814</v>
      </c>
      <c r="V138" s="13">
        <f t="shared" si="147"/>
        <v>28695.453459364187</v>
      </c>
      <c r="W138">
        <f t="shared" si="148"/>
        <v>4678851.8176966486</v>
      </c>
      <c r="X138">
        <f t="shared" si="149"/>
        <v>2163.0653752710869</v>
      </c>
      <c r="Y138" s="6">
        <f t="shared" si="150"/>
        <v>4239.6081355313299</v>
      </c>
      <c r="Z138" s="14">
        <f t="shared" si="151"/>
        <v>7.5380072955955113E-2</v>
      </c>
    </row>
    <row r="139" spans="1:26" x14ac:dyDescent="0.25">
      <c r="A139" t="str">
        <f>'rockfish harvests'!A138</f>
        <v>SC</v>
      </c>
      <c r="B139">
        <f>'rockfish harvests'!B138</f>
        <v>2009</v>
      </c>
      <c r="C139" t="str">
        <f>'rockfish harvests'!C138</f>
        <v>NG</v>
      </c>
      <c r="D139">
        <f>'rockfish harvests'!D138</f>
        <v>21909</v>
      </c>
      <c r="E139">
        <v>18588</v>
      </c>
      <c r="F139">
        <f>IF([1]species_comp_Region2_forR!$G180&gt;49,[1]species_comp_Region2_forR!$AD180,[1]species_comp_Region2_forR!$AF180)</f>
        <v>0.82317551899999997</v>
      </c>
      <c r="G139">
        <f>IF([1]species_comp_Region2_forR!$G180&gt;49,[1]species_comp_Region2_forR!$AE180,[1]species_comp_Region2_forR!$AG180)</f>
        <v>1.8425000000000001E-4</v>
      </c>
      <c r="H139" s="7">
        <f t="shared" si="140"/>
        <v>15301.186547171999</v>
      </c>
      <c r="I139">
        <f t="shared" si="141"/>
        <v>63660.907332000002</v>
      </c>
      <c r="J139">
        <f t="shared" si="142"/>
        <v>252.31113200174107</v>
      </c>
      <c r="K139" s="6">
        <f t="shared" si="143"/>
        <v>494.52981872341252</v>
      </c>
      <c r="M139" s="2">
        <f>'rockfish harvests'!O138</f>
        <v>10834.638213019593</v>
      </c>
      <c r="N139">
        <f>'rockfish harvests'!P138</f>
        <v>6841989.9451254793</v>
      </c>
      <c r="O139">
        <f>IF([1]species_comp_Region2_forR!$D207&gt;49,[1]species_comp_Region2_forR!$N207,[1]species_comp_Region2_forR!$P207)</f>
        <v>0.67383496099999995</v>
      </c>
      <c r="P139">
        <f>IF([1]species_comp_Region2_forR!$D207&gt;49,[1]species_comp_Region2_forR!$O207,[1]species_comp_Region2_forR!$Q207)</f>
        <v>3.9743500000000002E-4</v>
      </c>
      <c r="Q139" s="13">
        <f t="shared" si="144"/>
        <v>7300.7580177191667</v>
      </c>
      <c r="R139" s="2">
        <f t="shared" si="123"/>
        <v>3150565.2596082874</v>
      </c>
      <c r="S139">
        <f t="shared" si="145"/>
        <v>1774.9831716408714</v>
      </c>
      <c r="T139" s="6">
        <f t="shared" si="146"/>
        <v>3478.967016416108</v>
      </c>
      <c r="V139" s="13">
        <f t="shared" si="147"/>
        <v>22601.944564891164</v>
      </c>
      <c r="W139">
        <f t="shared" si="148"/>
        <v>3214226.1669402872</v>
      </c>
      <c r="X139">
        <f t="shared" si="149"/>
        <v>1792.8263069634736</v>
      </c>
      <c r="Y139" s="6">
        <f t="shared" si="150"/>
        <v>3513.939561648408</v>
      </c>
      <c r="Z139" s="14">
        <f t="shared" si="151"/>
        <v>7.9321772594220435E-2</v>
      </c>
    </row>
    <row r="140" spans="1:26" x14ac:dyDescent="0.25">
      <c r="A140" t="str">
        <f>'rockfish harvests'!A139</f>
        <v>SC</v>
      </c>
      <c r="B140">
        <f>'rockfish harvests'!B139</f>
        <v>2010</v>
      </c>
      <c r="C140" t="str">
        <f>'rockfish harvests'!C139</f>
        <v>NG</v>
      </c>
      <c r="D140">
        <f>'rockfish harvests'!D139</f>
        <v>27027</v>
      </c>
      <c r="E140">
        <v>20838</v>
      </c>
      <c r="F140">
        <f>IF([1]species_comp_Region2_forR!$G181&gt;49,[1]species_comp_Region2_forR!$AD181,[1]species_comp_Region2_forR!$AF181)</f>
        <v>0.85620829099999995</v>
      </c>
      <c r="G140">
        <f>IF([1]species_comp_Region2_forR!$G181&gt;49,[1]species_comp_Region2_forR!$AE181,[1]species_comp_Region2_forR!$AG181)</f>
        <v>1.43158E-4</v>
      </c>
      <c r="H140" s="7">
        <f t="shared" si="140"/>
        <v>17841.668367857998</v>
      </c>
      <c r="I140">
        <f t="shared" si="141"/>
        <v>62162.388006551999</v>
      </c>
      <c r="J140">
        <f t="shared" si="142"/>
        <v>249.32386168706756</v>
      </c>
      <c r="K140" s="6">
        <f t="shared" si="143"/>
        <v>488.67476890665239</v>
      </c>
      <c r="M140" s="2">
        <f>'rockfish harvests'!O139</f>
        <v>13365.638184457552</v>
      </c>
      <c r="N140">
        <f>'rockfish harvests'!P139</f>
        <v>10411972.30311189</v>
      </c>
      <c r="O140">
        <f>IF([1]species_comp_Region2_forR!$D208&gt;49,[1]species_comp_Region2_forR!$N208,[1]species_comp_Region2_forR!$P208)</f>
        <v>0.676178744</v>
      </c>
      <c r="P140">
        <f>IF([1]species_comp_Region2_forR!$D208&gt;49,[1]species_comp_Region2_forR!$O208,[1]species_comp_Region2_forR!$Q208)</f>
        <v>4.0176300000000002E-4</v>
      </c>
      <c r="Q140" s="13">
        <f t="shared" si="144"/>
        <v>9037.5604403249472</v>
      </c>
      <c r="R140" s="2">
        <f t="shared" si="123"/>
        <v>4828125.8759514298</v>
      </c>
      <c r="S140">
        <f t="shared" si="145"/>
        <v>2197.2996782304026</v>
      </c>
      <c r="T140" s="6">
        <f t="shared" si="146"/>
        <v>4306.7073693315888</v>
      </c>
      <c r="V140" s="13">
        <f t="shared" si="147"/>
        <v>26879.228808182947</v>
      </c>
      <c r="W140">
        <f t="shared" si="148"/>
        <v>4890288.263957982</v>
      </c>
      <c r="X140">
        <f t="shared" si="149"/>
        <v>2211.3996165229796</v>
      </c>
      <c r="Y140" s="6">
        <f t="shared" si="150"/>
        <v>4334.3432483850402</v>
      </c>
      <c r="Z140" s="14">
        <f t="shared" si="151"/>
        <v>8.2271691360793611E-2</v>
      </c>
    </row>
    <row r="141" spans="1:26" x14ac:dyDescent="0.25">
      <c r="A141" t="str">
        <f>'rockfish harvests'!A140</f>
        <v>SC</v>
      </c>
      <c r="B141">
        <f>'rockfish harvests'!B140</f>
        <v>2011</v>
      </c>
      <c r="C141" t="str">
        <f>'rockfish harvests'!C140</f>
        <v>NG</v>
      </c>
      <c r="D141">
        <f>'rockfish harvests'!D140</f>
        <v>30322</v>
      </c>
      <c r="E141">
        <v>24713</v>
      </c>
      <c r="F141">
        <f>IF([1]species_comp_Region2_forR!$G182&gt;49,[1]species_comp_Region2_forR!$AD182,[1]species_comp_Region2_forR!$AF182)</f>
        <v>0.79315106300000005</v>
      </c>
      <c r="G141">
        <f>IF([1]species_comp_Region2_forR!$G182&gt;49,[1]species_comp_Region2_forR!$AE182,[1]species_comp_Region2_forR!$AG182)</f>
        <v>2.3238299999999999E-4</v>
      </c>
      <c r="H141" s="7">
        <f t="shared" si="140"/>
        <v>19601.142219919002</v>
      </c>
      <c r="I141">
        <f t="shared" si="141"/>
        <v>141923.820105327</v>
      </c>
      <c r="J141">
        <f t="shared" si="142"/>
        <v>376.72777984285551</v>
      </c>
      <c r="K141" s="6">
        <f t="shared" si="143"/>
        <v>738.38644849199682</v>
      </c>
      <c r="M141" s="2">
        <f>'rockfish harvests'!O140</f>
        <v>21882.405010282295</v>
      </c>
      <c r="N141">
        <f>'rockfish harvests'!P140</f>
        <v>8183614.275682712</v>
      </c>
      <c r="O141">
        <f>IF([1]species_comp_Region2_forR!$D209&gt;49,[1]species_comp_Region2_forR!$N209,[1]species_comp_Region2_forR!$P209)</f>
        <v>0.49397571499999998</v>
      </c>
      <c r="P141">
        <f>IF([1]species_comp_Region2_forR!$D209&gt;49,[1]species_comp_Region2_forR!$O209,[1]species_comp_Region2_forR!$Q209)</f>
        <v>6.4757400000000004E-4</v>
      </c>
      <c r="Q141" s="13">
        <f t="shared" si="144"/>
        <v>10809.376660873779</v>
      </c>
      <c r="R141" s="2">
        <f t="shared" si="123"/>
        <v>2301684.755055672</v>
      </c>
      <c r="S141">
        <f t="shared" si="145"/>
        <v>1517.1304344240386</v>
      </c>
      <c r="T141" s="6">
        <f t="shared" si="146"/>
        <v>2973.5756514711156</v>
      </c>
      <c r="V141" s="13">
        <f t="shared" si="147"/>
        <v>30410.518880792781</v>
      </c>
      <c r="W141">
        <f t="shared" si="148"/>
        <v>2443608.5751609989</v>
      </c>
      <c r="X141">
        <f t="shared" si="149"/>
        <v>1563.2045851906266</v>
      </c>
      <c r="Y141" s="6">
        <f t="shared" si="150"/>
        <v>3063.8809869736283</v>
      </c>
      <c r="Z141" s="14">
        <f t="shared" si="151"/>
        <v>5.1403417064940095E-2</v>
      </c>
    </row>
    <row r="142" spans="1:26" x14ac:dyDescent="0.25">
      <c r="A142" t="str">
        <f>'rockfish harvests'!A141</f>
        <v>SC</v>
      </c>
      <c r="B142">
        <f>'rockfish harvests'!B141</f>
        <v>2012</v>
      </c>
      <c r="C142" t="str">
        <f>'rockfish harvests'!C141</f>
        <v>NG</v>
      </c>
      <c r="D142">
        <f>'rockfish harvests'!D141</f>
        <v>27771</v>
      </c>
      <c r="E142">
        <v>22056</v>
      </c>
      <c r="F142">
        <f>IF([1]species_comp_Region2_forR!$G183&gt;49,[1]species_comp_Region2_forR!$AD183,[1]species_comp_Region2_forR!$AF183)</f>
        <v>0.88672560300000003</v>
      </c>
      <c r="G142">
        <f>IF([1]species_comp_Region2_forR!$G183&gt;49,[1]species_comp_Region2_forR!$AE183,[1]species_comp_Region2_forR!$AG183)</f>
        <v>1.5405400000000001E-4</v>
      </c>
      <c r="H142" s="7">
        <f t="shared" si="140"/>
        <v>19557.619899768</v>
      </c>
      <c r="I142">
        <f t="shared" si="141"/>
        <v>74942.208169344012</v>
      </c>
      <c r="J142">
        <f t="shared" si="142"/>
        <v>273.75574545449092</v>
      </c>
      <c r="K142" s="6">
        <f t="shared" si="143"/>
        <v>536.56126109080219</v>
      </c>
      <c r="M142" s="2">
        <f>'rockfish harvests'!O141</f>
        <v>13248.802237331009</v>
      </c>
      <c r="N142">
        <f>'rockfish harvests'!P141</f>
        <v>2524598.6215632036</v>
      </c>
      <c r="O142">
        <f>IF([1]species_comp_Region2_forR!$D210&gt;49,[1]species_comp_Region2_forR!$N210,[1]species_comp_Region2_forR!$P210)</f>
        <v>0.62068968700000005</v>
      </c>
      <c r="P142">
        <f>IF([1]species_comp_Region2_forR!$D210&gt;49,[1]species_comp_Region2_forR!$O210,[1]species_comp_Region2_forR!$Q210)</f>
        <v>4.5188900000000002E-4</v>
      </c>
      <c r="Q142" s="13">
        <f t="shared" si="144"/>
        <v>8223.3949138138832</v>
      </c>
      <c r="R142" s="2">
        <f t="shared" si="123"/>
        <v>1050795.5593197304</v>
      </c>
      <c r="S142">
        <f t="shared" si="145"/>
        <v>1025.0831962917598</v>
      </c>
      <c r="T142" s="6">
        <f t="shared" si="146"/>
        <v>2009.1630647318491</v>
      </c>
      <c r="V142" s="13">
        <f t="shared" si="147"/>
        <v>27781.014813581882</v>
      </c>
      <c r="W142">
        <f t="shared" si="148"/>
        <v>1125737.7674890745</v>
      </c>
      <c r="X142">
        <f t="shared" si="149"/>
        <v>1061.0079017090657</v>
      </c>
      <c r="Y142" s="6">
        <f t="shared" si="150"/>
        <v>2079.5754873497685</v>
      </c>
      <c r="Z142" s="14">
        <f t="shared" si="151"/>
        <v>3.8191833841517864E-2</v>
      </c>
    </row>
    <row r="143" spans="1:26" x14ac:dyDescent="0.25">
      <c r="A143" t="str">
        <f>'rockfish harvests'!A142</f>
        <v>SC</v>
      </c>
      <c r="B143">
        <f>'rockfish harvests'!B142</f>
        <v>2013</v>
      </c>
      <c r="C143" t="str">
        <f>'rockfish harvests'!C142</f>
        <v>NG</v>
      </c>
      <c r="D143">
        <f>'rockfish harvests'!D142</f>
        <v>30558</v>
      </c>
      <c r="E143">
        <v>25257</v>
      </c>
      <c r="F143">
        <f>IF([1]species_comp_Region2_forR!$G184&gt;49,[1]species_comp_Region2_forR!$AD184,[1]species_comp_Region2_forR!$AF184)</f>
        <v>0.81632559500000001</v>
      </c>
      <c r="G143">
        <f>IF([1]species_comp_Region2_forR!$G184&gt;49,[1]species_comp_Region2_forR!$AE184,[1]species_comp_Region2_forR!$AG184)</f>
        <v>1.53468E-4</v>
      </c>
      <c r="H143" s="7">
        <f t="shared" si="140"/>
        <v>20617.935552915002</v>
      </c>
      <c r="I143">
        <f t="shared" si="141"/>
        <v>97899.700207932008</v>
      </c>
      <c r="J143">
        <f t="shared" si="142"/>
        <v>312.88927787307125</v>
      </c>
      <c r="K143" s="6">
        <f t="shared" si="143"/>
        <v>613.26298463121964</v>
      </c>
      <c r="M143" s="2">
        <f>'rockfish harvests'!O142</f>
        <v>17157.239835728957</v>
      </c>
      <c r="N143">
        <f>'rockfish harvests'!P142</f>
        <v>3987660.0085104108</v>
      </c>
      <c r="O143">
        <f>IF([1]species_comp_Region2_forR!$D211&gt;49,[1]species_comp_Region2_forR!$N211,[1]species_comp_Region2_forR!$P211)</f>
        <v>0.78481222799999995</v>
      </c>
      <c r="P143">
        <f>IF([1]species_comp_Region2_forR!$D211&gt;49,[1]species_comp_Region2_forR!$O211,[1]species_comp_Region2_forR!$Q211)</f>
        <v>2.61833E-4</v>
      </c>
      <c r="Q143" s="13">
        <f t="shared" si="144"/>
        <v>13465.211621808796</v>
      </c>
      <c r="R143" s="2">
        <f t="shared" si="123"/>
        <v>2532152.2683579857</v>
      </c>
      <c r="S143">
        <f t="shared" si="145"/>
        <v>1591.2737879943809</v>
      </c>
      <c r="T143" s="6">
        <f t="shared" si="146"/>
        <v>3118.8966244689864</v>
      </c>
      <c r="V143" s="13">
        <f t="shared" si="147"/>
        <v>34083.147174723796</v>
      </c>
      <c r="W143">
        <f t="shared" si="148"/>
        <v>2630051.9685659176</v>
      </c>
      <c r="X143">
        <f t="shared" si="149"/>
        <v>1621.7434965388077</v>
      </c>
      <c r="Y143" s="6">
        <f t="shared" si="150"/>
        <v>3178.6172532160631</v>
      </c>
      <c r="Z143" s="14">
        <f t="shared" si="151"/>
        <v>4.7581976166259067E-2</v>
      </c>
    </row>
    <row r="144" spans="1:26" x14ac:dyDescent="0.25">
      <c r="A144" t="str">
        <f>'rockfish harvests'!A143</f>
        <v>SC</v>
      </c>
      <c r="B144">
        <f>'rockfish harvests'!B143</f>
        <v>2014</v>
      </c>
      <c r="C144" t="str">
        <f>'rockfish harvests'!C143</f>
        <v>NG</v>
      </c>
      <c r="D144">
        <f>'rockfish harvests'!D143</f>
        <v>37025</v>
      </c>
      <c r="E144">
        <v>31936</v>
      </c>
      <c r="F144">
        <f>IF([1]species_comp_Region2_forR!$G185&gt;49,[1]species_comp_Region2_forR!$AD185,[1]species_comp_Region2_forR!$AF185)</f>
        <v>0.84300274100000006</v>
      </c>
      <c r="G144">
        <f>IF([1]species_comp_Region2_forR!$G185&gt;49,[1]species_comp_Region2_forR!$AE185,[1]species_comp_Region2_forR!$AG185)</f>
        <v>1.7391499999999999E-4</v>
      </c>
      <c r="H144" s="7">
        <f t="shared" si="140"/>
        <v>26922.135536576003</v>
      </c>
      <c r="I144">
        <f t="shared" si="141"/>
        <v>177377.31651583998</v>
      </c>
      <c r="J144">
        <f t="shared" si="142"/>
        <v>421.16186498285902</v>
      </c>
      <c r="K144" s="6">
        <f t="shared" si="143"/>
        <v>825.47725536640371</v>
      </c>
      <c r="M144" s="2">
        <f>'rockfish harvests'!O143</f>
        <v>21744.197040285006</v>
      </c>
      <c r="N144">
        <f>'rockfish harvests'!P143</f>
        <v>6732768.2681420343</v>
      </c>
      <c r="O144">
        <f>IF([1]species_comp_Region2_forR!$D212&gt;49,[1]species_comp_Region2_forR!$N212,[1]species_comp_Region2_forR!$P212)</f>
        <v>0.67737336199999998</v>
      </c>
      <c r="P144">
        <f>IF([1]species_comp_Region2_forR!$D212&gt;49,[1]species_comp_Region2_forR!$O212,[1]species_comp_Region2_forR!$Q212)</f>
        <v>4.1389900000000002E-4</v>
      </c>
      <c r="Q144" s="13">
        <f t="shared" si="144"/>
        <v>14728.939853168304</v>
      </c>
      <c r="R144" s="2">
        <f t="shared" si="123"/>
        <v>3282136.4604819031</v>
      </c>
      <c r="S144">
        <f t="shared" si="145"/>
        <v>1811.6667630891459</v>
      </c>
      <c r="T144" s="6">
        <f t="shared" si="146"/>
        <v>3550.8668556547259</v>
      </c>
      <c r="V144" s="13">
        <f t="shared" si="147"/>
        <v>41651.075389744306</v>
      </c>
      <c r="W144">
        <f t="shared" si="148"/>
        <v>3459513.7769977432</v>
      </c>
      <c r="X144">
        <f t="shared" si="149"/>
        <v>1859.9768216291684</v>
      </c>
      <c r="Y144" s="6">
        <f t="shared" si="150"/>
        <v>3645.5545703931698</v>
      </c>
      <c r="Z144" s="14">
        <f t="shared" si="151"/>
        <v>4.4656153634082353E-2</v>
      </c>
    </row>
    <row r="145" spans="1:26" x14ac:dyDescent="0.25">
      <c r="A145" t="str">
        <f>'rockfish harvests'!A144</f>
        <v>SC</v>
      </c>
      <c r="B145">
        <f>'rockfish harvests'!B144</f>
        <v>2015</v>
      </c>
      <c r="C145" t="str">
        <f>'rockfish harvests'!C144</f>
        <v>NG</v>
      </c>
      <c r="D145">
        <f>'rockfish harvests'!D144</f>
        <v>45883</v>
      </c>
      <c r="E145">
        <v>39744</v>
      </c>
      <c r="F145">
        <f>IF([1]species_comp_Region2_forR!$G186&gt;49,[1]species_comp_Region2_forR!$AD186,[1]species_comp_Region2_forR!$AF186)</f>
        <v>0.82899436900000001</v>
      </c>
      <c r="G145">
        <f>IF([1]species_comp_Region2_forR!$G186&gt;49,[1]species_comp_Region2_forR!$AE186,[1]species_comp_Region2_forR!$AG186)</f>
        <v>3.3672900000000002E-4</v>
      </c>
      <c r="H145" s="7">
        <f t="shared" si="140"/>
        <v>32947.552201536004</v>
      </c>
      <c r="I145">
        <f t="shared" si="141"/>
        <v>531892.25795174402</v>
      </c>
      <c r="J145">
        <f t="shared" si="142"/>
        <v>729.30943909409541</v>
      </c>
      <c r="K145" s="6">
        <f t="shared" si="143"/>
        <v>1429.446500624427</v>
      </c>
      <c r="M145" s="2">
        <f>'rockfish harvests'!O144</f>
        <v>24091.13981323161</v>
      </c>
      <c r="N145">
        <f>'rockfish harvests'!P144</f>
        <v>7216831.4803412473</v>
      </c>
      <c r="O145">
        <f>IF([1]species_comp_Region2_forR!$D213&gt;49,[1]species_comp_Region2_forR!$N213,[1]species_comp_Region2_forR!$P213)</f>
        <v>0.72616414699999998</v>
      </c>
      <c r="P145">
        <f>IF([1]species_comp_Region2_forR!$D213&gt;49,[1]species_comp_Region2_forR!$O213,[1]species_comp_Region2_forR!$Q213)</f>
        <v>3.8536799999999997E-4</v>
      </c>
      <c r="Q145" s="13">
        <f t="shared" si="144"/>
        <v>17494.121992733071</v>
      </c>
      <c r="R145" s="2">
        <f t="shared" si="123"/>
        <v>4026418.8405947774</v>
      </c>
      <c r="S145">
        <f t="shared" si="145"/>
        <v>2006.5938404656727</v>
      </c>
      <c r="T145" s="6">
        <f t="shared" si="146"/>
        <v>3932.9239273127182</v>
      </c>
      <c r="V145" s="13">
        <f t="shared" si="147"/>
        <v>50441.674194269071</v>
      </c>
      <c r="W145">
        <f t="shared" si="148"/>
        <v>4558311.0985465217</v>
      </c>
      <c r="X145">
        <f t="shared" si="149"/>
        <v>2135.0201634988184</v>
      </c>
      <c r="Y145" s="6">
        <f t="shared" si="150"/>
        <v>4184.6395204576838</v>
      </c>
      <c r="Z145" s="14">
        <f t="shared" si="151"/>
        <v>4.2326512702097994E-2</v>
      </c>
    </row>
    <row r="146" spans="1:26" x14ac:dyDescent="0.25">
      <c r="A146" t="str">
        <f>'rockfish harvests'!A145</f>
        <v>SC</v>
      </c>
      <c r="B146">
        <f>'rockfish harvests'!B145</f>
        <v>2016</v>
      </c>
      <c r="C146" t="str">
        <f>'rockfish harvests'!C145</f>
        <v>NG</v>
      </c>
      <c r="D146">
        <f>'rockfish harvests'!D145</f>
        <v>56991</v>
      </c>
      <c r="E146">
        <v>49153</v>
      </c>
      <c r="F146">
        <f>IF([1]species_comp_Region2_forR!$G187&gt;49,[1]species_comp_Region2_forR!$AD187,[1]species_comp_Region2_forR!$AF187)</f>
        <v>0.852560981</v>
      </c>
      <c r="G146">
        <f>IF([1]species_comp_Region2_forR!$G187&gt;49,[1]species_comp_Region2_forR!$AE187,[1]species_comp_Region2_forR!$AG187)</f>
        <v>1.05987E-4</v>
      </c>
      <c r="H146" s="7">
        <f t="shared" si="140"/>
        <v>41905.929899092996</v>
      </c>
      <c r="I146">
        <f t="shared" si="141"/>
        <v>256066.43712768299</v>
      </c>
      <c r="J146">
        <f t="shared" si="142"/>
        <v>506.03007531932627</v>
      </c>
      <c r="K146" s="6">
        <f t="shared" si="143"/>
        <v>991.81894762587945</v>
      </c>
      <c r="M146" s="2">
        <f>'rockfish harvests'!O145</f>
        <v>21657.041703490948</v>
      </c>
      <c r="N146">
        <f>'rockfish harvests'!P145</f>
        <v>6461271.9983784193</v>
      </c>
      <c r="O146">
        <f>IF([1]species_comp_Region2_forR!$D214&gt;49,[1]species_comp_Region2_forR!$N214,[1]species_comp_Region2_forR!$P214)</f>
        <v>0.60664232900000004</v>
      </c>
      <c r="P146">
        <f>IF([1]species_comp_Region2_forR!$D214&gt;49,[1]species_comp_Region2_forR!$O214,[1]species_comp_Region2_forR!$Q214)</f>
        <v>5.3028299999999999E-4</v>
      </c>
      <c r="Q146" s="13">
        <f t="shared" si="144"/>
        <v>13138.078218255876</v>
      </c>
      <c r="R146" s="2">
        <f t="shared" si="123"/>
        <v>2623135.4508412182</v>
      </c>
      <c r="S146">
        <f t="shared" si="145"/>
        <v>1619.6096600234323</v>
      </c>
      <c r="T146" s="6">
        <f t="shared" si="146"/>
        <v>3174.4349336459272</v>
      </c>
      <c r="V146" s="13">
        <f t="shared" si="147"/>
        <v>55044.008117348872</v>
      </c>
      <c r="W146">
        <f t="shared" si="148"/>
        <v>2879201.8879689011</v>
      </c>
      <c r="X146">
        <f t="shared" si="149"/>
        <v>1696.8211125421858</v>
      </c>
      <c r="Y146" s="6">
        <f t="shared" si="150"/>
        <v>3325.7693805826843</v>
      </c>
      <c r="Z146" s="14">
        <f t="shared" si="151"/>
        <v>3.0826627103984067E-2</v>
      </c>
    </row>
    <row r="147" spans="1:26" x14ac:dyDescent="0.25">
      <c r="A147" t="str">
        <f>'rockfish harvests'!A146</f>
        <v>SC</v>
      </c>
      <c r="B147">
        <f>'rockfish harvests'!B146</f>
        <v>2017</v>
      </c>
      <c r="C147" t="str">
        <f>'rockfish harvests'!C146</f>
        <v>NG</v>
      </c>
      <c r="D147">
        <f>'rockfish harvests'!D146</f>
        <v>38626</v>
      </c>
      <c r="E147">
        <v>32335</v>
      </c>
      <c r="F147">
        <f>IF([1]species_comp_Region2_forR!$G188&gt;49,[1]species_comp_Region2_forR!$AD188,[1]species_comp_Region2_forR!$AF188)</f>
        <v>0.82740575500000002</v>
      </c>
      <c r="G147">
        <f>IF([1]species_comp_Region2_forR!$G188&gt;49,[1]species_comp_Region2_forR!$AE188,[1]species_comp_Region2_forR!$AG188)</f>
        <v>3.0384100000000001E-4</v>
      </c>
      <c r="H147" s="7">
        <f t="shared" si="140"/>
        <v>26754.165087925001</v>
      </c>
      <c r="I147">
        <f t="shared" si="141"/>
        <v>317681.633596225</v>
      </c>
      <c r="J147">
        <f t="shared" si="142"/>
        <v>563.63253418892077</v>
      </c>
      <c r="K147" s="6">
        <f t="shared" si="143"/>
        <v>1104.7197670102846</v>
      </c>
      <c r="M147" s="2">
        <f>'rockfish harvests'!O146</f>
        <v>15237.511532831981</v>
      </c>
      <c r="N147">
        <f>'rockfish harvests'!P146</f>
        <v>3824430.6766507281</v>
      </c>
      <c r="O147">
        <f>IF([1]species_comp_Region2_forR!$D215&gt;49,[1]species_comp_Region2_forR!$N215,[1]species_comp_Region2_forR!$P215)</f>
        <v>0.67233394599999996</v>
      </c>
      <c r="P147">
        <f>IF([1]species_comp_Region2_forR!$D215&gt;49,[1]species_comp_Region2_forR!$O215,[1]species_comp_Region2_forR!$Q215)</f>
        <v>1.0391560000000001E-3</v>
      </c>
      <c r="Q147" s="13">
        <f t="shared" si="144"/>
        <v>10244.696256089434</v>
      </c>
      <c r="R147" s="2">
        <f t="shared" si="123"/>
        <v>1966067.5097900117</v>
      </c>
      <c r="S147">
        <f t="shared" si="145"/>
        <v>1402.1652933195899</v>
      </c>
      <c r="T147" s="6">
        <f t="shared" si="146"/>
        <v>2748.243974906396</v>
      </c>
      <c r="V147" s="13">
        <f t="shared" si="147"/>
        <v>36998.861344014433</v>
      </c>
      <c r="W147">
        <f t="shared" si="148"/>
        <v>2283749.1433862369</v>
      </c>
      <c r="X147">
        <f t="shared" si="149"/>
        <v>1511.2078425505331</v>
      </c>
      <c r="Y147" s="6">
        <f t="shared" si="150"/>
        <v>2961.9673713990446</v>
      </c>
      <c r="Z147" s="14">
        <f t="shared" si="151"/>
        <v>4.0844712179095528E-2</v>
      </c>
    </row>
    <row r="148" spans="1:26" x14ac:dyDescent="0.25">
      <c r="A148" t="str">
        <f>'rockfish harvests'!A147</f>
        <v>SC</v>
      </c>
      <c r="B148">
        <f>'rockfish harvests'!B147</f>
        <v>2018</v>
      </c>
      <c r="C148" t="str">
        <f>'rockfish harvests'!C147</f>
        <v>NG</v>
      </c>
      <c r="D148">
        <f>'rockfish harvests'!D147</f>
        <v>50115</v>
      </c>
      <c r="E148">
        <v>41846</v>
      </c>
      <c r="F148">
        <f>IF([1]species_comp_Region2_forR!$G189&gt;49,[1]species_comp_Region2_forR!$AD189,[1]species_comp_Region2_forR!$AF189)</f>
        <v>0.82521329899999996</v>
      </c>
      <c r="G148">
        <f>IF([1]species_comp_Region2_forR!$G189&gt;49,[1]species_comp_Region2_forR!$AE189,[1]species_comp_Region2_forR!$AG189)</f>
        <v>1.6988999999999999E-4</v>
      </c>
      <c r="H148" s="7">
        <f t="shared" si="140"/>
        <v>34531.875709954002</v>
      </c>
      <c r="I148">
        <f t="shared" si="141"/>
        <v>297492.29207123996</v>
      </c>
      <c r="J148">
        <f t="shared" si="142"/>
        <v>545.42853983930831</v>
      </c>
      <c r="K148" s="6">
        <f t="shared" si="143"/>
        <v>1069.0399380850442</v>
      </c>
      <c r="M148" s="2">
        <f>'rockfish harvests'!O147</f>
        <v>18807.337515014005</v>
      </c>
      <c r="N148">
        <f>'rockfish harvests'!P147</f>
        <v>5909265.1225642972</v>
      </c>
      <c r="O148">
        <f>IF([1]species_comp_Region2_forR!$D216&gt;49,[1]species_comp_Region2_forR!$N216,[1]species_comp_Region2_forR!$P216)</f>
        <v>0.56036244700000004</v>
      </c>
      <c r="P148">
        <f>IF([1]species_comp_Region2_forR!$D216&gt;49,[1]species_comp_Region2_forR!$O216,[1]species_comp_Region2_forR!$Q216)</f>
        <v>6.7494899999999999E-4</v>
      </c>
      <c r="Q148" s="13">
        <f t="shared" si="144"/>
        <v>10538.925671468149</v>
      </c>
      <c r="R148" s="2">
        <f t="shared" si="123"/>
        <v>2090296.8999633621</v>
      </c>
      <c r="S148">
        <f t="shared" si="145"/>
        <v>1445.7859108330535</v>
      </c>
      <c r="T148" s="6">
        <f t="shared" si="146"/>
        <v>2833.7403852327848</v>
      </c>
      <c r="V148" s="13">
        <f t="shared" si="147"/>
        <v>45070.801381422149</v>
      </c>
      <c r="W148" s="2">
        <f>R148+I148</f>
        <v>2387789.1920346022</v>
      </c>
      <c r="X148">
        <f t="shared" si="149"/>
        <v>1545.2472915474086</v>
      </c>
      <c r="Y148" s="6">
        <f t="shared" si="150"/>
        <v>3028.6846914329208</v>
      </c>
      <c r="Z148" s="14">
        <f t="shared" si="151"/>
        <v>3.4284886094444911E-2</v>
      </c>
    </row>
    <row r="149" spans="1:26" x14ac:dyDescent="0.25">
      <c r="A149" t="str">
        <f>'rockfish harvests'!A148</f>
        <v>SC</v>
      </c>
      <c r="B149">
        <f>'rockfish harvests'!B148</f>
        <v>2019</v>
      </c>
      <c r="C149" t="str">
        <f>'rockfish harvests'!C148</f>
        <v>NG</v>
      </c>
      <c r="D149">
        <f>'rockfish harvests'!D148</f>
        <v>64565</v>
      </c>
      <c r="E149">
        <v>55039</v>
      </c>
      <c r="F149">
        <f>IF([1]species_comp_Region2_forR!$G190&gt;49,[1]species_comp_Region2_forR!$AD190,[1]species_comp_Region2_forR!$AF190)</f>
        <v>0.78021243900000004</v>
      </c>
      <c r="G149">
        <f>IF([1]species_comp_Region2_forR!$G190&gt;49,[1]species_comp_Region2_forR!$AE190,[1]species_comp_Region2_forR!$AG190)</f>
        <v>1.88856E-4</v>
      </c>
      <c r="H149" s="7">
        <f>E149*F149</f>
        <v>42942.112430121</v>
      </c>
      <c r="I149">
        <f>(E149^2)*G149</f>
        <v>572099.87948997598</v>
      </c>
      <c r="J149">
        <f>SQRT(I149)</f>
        <v>756.37284423092296</v>
      </c>
      <c r="K149" s="6">
        <f>(1.96*J149)</f>
        <v>1482.490774692609</v>
      </c>
      <c r="M149" s="2">
        <f>'rockfish harvests'!O148</f>
        <v>30264.472570734768</v>
      </c>
      <c r="N149">
        <f>'rockfish harvests'!P148</f>
        <v>14426596.252648354</v>
      </c>
      <c r="O149">
        <f>IF([1]species_comp_Region2_forR!$D217&gt;49,[1]species_comp_Region2_forR!$N217,[1]species_comp_Region2_forR!$P217)</f>
        <v>0.51586905000000005</v>
      </c>
      <c r="P149">
        <f>IF([1]species_comp_Region2_forR!$D217&gt;49,[1]species_comp_Region2_forR!$O217,[1]species_comp_Region2_forR!$Q217)</f>
        <v>6.9567700000000001E-4</v>
      </c>
      <c r="Q149" s="13">
        <f>M149*O149</f>
        <v>15612.504713816004</v>
      </c>
      <c r="R149" s="2">
        <f>(M149^2)*P149+(O149^2)*N149-(P149*N149)</f>
        <v>4466379.4007600285</v>
      </c>
      <c r="S149">
        <f>SQRT(R149)</f>
        <v>2113.3810353932931</v>
      </c>
      <c r="T149" s="6">
        <f>(1.96*S149)</f>
        <v>4142.2268293708548</v>
      </c>
      <c r="V149" s="13">
        <f>Q149+H149</f>
        <v>58554.617143937008</v>
      </c>
      <c r="W149">
        <f>R149+I149</f>
        <v>5038479.2802500045</v>
      </c>
      <c r="X149">
        <f>SQRT(W149)</f>
        <v>2244.6557153046888</v>
      </c>
      <c r="Y149" s="6">
        <f>(1.96*X149)</f>
        <v>4399.5252019971904</v>
      </c>
      <c r="Z149" s="14">
        <f t="shared" si="151"/>
        <v>3.8334393166416764E-2</v>
      </c>
    </row>
    <row r="150" spans="1:26" x14ac:dyDescent="0.25">
      <c r="A150" t="str">
        <f>'rockfish harvests'!A149</f>
        <v>SC</v>
      </c>
      <c r="B150">
        <f>'rockfish harvests'!B149</f>
        <v>2020</v>
      </c>
      <c r="C150" t="str">
        <f>'rockfish harvests'!C149</f>
        <v>NG</v>
      </c>
      <c r="D150">
        <f>'rockfish harvests'!D149</f>
        <v>43363</v>
      </c>
      <c r="E150">
        <v>37152</v>
      </c>
      <c r="F150">
        <v>0.83391731549317816</v>
      </c>
      <c r="G150">
        <v>2.9157731876595651E-4</v>
      </c>
      <c r="H150" s="7">
        <f t="shared" ref="H150:H151" si="152">E150*F150</f>
        <v>30981.696105202554</v>
      </c>
      <c r="I150">
        <f t="shared" ref="I150:I151" si="153">(E150^2)*G150</f>
        <v>402455.74767444673</v>
      </c>
      <c r="J150">
        <f t="shared" ref="J150:J152" si="154">SQRT(I150)</f>
        <v>634.39400034556343</v>
      </c>
      <c r="K150" s="6">
        <f t="shared" ref="K150:K152" si="155">(1.96*J150)</f>
        <v>1243.4122406773042</v>
      </c>
      <c r="M150" s="2">
        <f>'rockfish harvests'!O149</f>
        <v>14406.767557261875</v>
      </c>
      <c r="N150">
        <f>'rockfish harvests'!P149</f>
        <v>3787465.8304927479</v>
      </c>
      <c r="O150">
        <v>0.53973360766829914</v>
      </c>
      <c r="P150">
        <v>9.4098954705174888E-4</v>
      </c>
      <c r="Q150" s="13">
        <f t="shared" ref="Q150:Q151" si="156">M150*O150</f>
        <v>7775.8166285195612</v>
      </c>
      <c r="R150" s="2">
        <f t="shared" ref="R150:R151" si="157">(M150^2)*P150+(O150^2)*N150-(P150*N150)</f>
        <v>1295078.7109426018</v>
      </c>
      <c r="S150">
        <f t="shared" ref="S150:S152" si="158">SQRT(R150)</f>
        <v>1138.0152507513253</v>
      </c>
      <c r="T150" s="6">
        <f t="shared" ref="T150:T152" si="159">(1.96*S150)</f>
        <v>2230.5098914725977</v>
      </c>
      <c r="V150" s="13">
        <f t="shared" ref="V150:V151" si="160">Q150+H150</f>
        <v>38757.512733722113</v>
      </c>
      <c r="W150">
        <f t="shared" ref="W150:W151" si="161">R150+I150</f>
        <v>1697534.4586170486</v>
      </c>
      <c r="X150">
        <f t="shared" ref="X150:X151" si="162">SQRT(W150)</f>
        <v>1302.894646015958</v>
      </c>
      <c r="Y150" s="6">
        <f t="shared" ref="Y150:Y151" si="163">(1.96*X150)</f>
        <v>2553.6735061912777</v>
      </c>
      <c r="Z150" s="14">
        <f t="shared" ref="Z150:Z151" si="164">X150/V150</f>
        <v>3.3616570159372902E-2</v>
      </c>
    </row>
    <row r="151" spans="1:26" x14ac:dyDescent="0.25">
      <c r="A151" t="str">
        <f>'rockfish harvests'!A150</f>
        <v>SC</v>
      </c>
      <c r="B151">
        <f>'rockfish harvests'!B150</f>
        <v>2021</v>
      </c>
      <c r="C151" t="str">
        <f>'rockfish harvests'!C150</f>
        <v>NG</v>
      </c>
      <c r="D151">
        <f>'rockfish harvests'!D150</f>
        <v>83097</v>
      </c>
      <c r="E151">
        <v>73272</v>
      </c>
      <c r="F151">
        <v>0.89477406574136154</v>
      </c>
      <c r="G151">
        <v>1.4137152705410685E-4</v>
      </c>
      <c r="H151" s="7">
        <f t="shared" si="152"/>
        <v>65561.885345001036</v>
      </c>
      <c r="I151">
        <f t="shared" si="153"/>
        <v>758993.47298476566</v>
      </c>
      <c r="J151">
        <f t="shared" si="154"/>
        <v>871.20231461168976</v>
      </c>
      <c r="K151" s="6">
        <f t="shared" si="155"/>
        <v>1707.5565366389119</v>
      </c>
      <c r="M151" s="2">
        <f>'rockfish harvests'!O150</f>
        <v>24593.025482509038</v>
      </c>
      <c r="N151">
        <f>'rockfish harvests'!P150</f>
        <v>11012636.577756885</v>
      </c>
      <c r="O151">
        <v>0.65172611940440628</v>
      </c>
      <c r="P151">
        <v>1.3430720987602357E-3</v>
      </c>
      <c r="Q151" s="13">
        <f t="shared" si="156"/>
        <v>16027.917062129292</v>
      </c>
      <c r="R151" s="2">
        <f t="shared" si="157"/>
        <v>5475105.5710489862</v>
      </c>
      <c r="S151">
        <f t="shared" si="158"/>
        <v>2339.8943504032368</v>
      </c>
      <c r="T151" s="6">
        <f t="shared" si="159"/>
        <v>4586.1929267903442</v>
      </c>
      <c r="V151" s="13">
        <f t="shared" si="160"/>
        <v>81589.802407130323</v>
      </c>
      <c r="W151">
        <f t="shared" si="161"/>
        <v>6234099.0440337518</v>
      </c>
      <c r="X151">
        <f t="shared" si="162"/>
        <v>2496.817783506388</v>
      </c>
      <c r="Y151" s="6">
        <f t="shared" si="163"/>
        <v>4893.7628556725203</v>
      </c>
      <c r="Z151" s="14">
        <f t="shared" si="164"/>
        <v>3.0602081508266838E-2</v>
      </c>
    </row>
    <row r="152" spans="1:26" s="51" customFormat="1" x14ac:dyDescent="0.25">
      <c r="A152" s="51" t="s">
        <v>81</v>
      </c>
      <c r="B152" s="51">
        <v>2022</v>
      </c>
      <c r="C152" s="51" t="s">
        <v>49</v>
      </c>
      <c r="D152">
        <f>'rockfish harvests'!D151</f>
        <v>86545</v>
      </c>
      <c r="E152">
        <v>76808</v>
      </c>
      <c r="F152" s="51">
        <v>0.8594790397079175</v>
      </c>
      <c r="G152" s="51">
        <v>1.5523755785433607E-4</v>
      </c>
      <c r="H152" s="7">
        <f t="shared" ref="H152" si="165">E152*F152</f>
        <v>66014.866081885732</v>
      </c>
      <c r="I152">
        <f t="shared" ref="I152" si="166">(E152^2)*G152</f>
        <v>915819.13908505428</v>
      </c>
      <c r="J152">
        <f t="shared" si="154"/>
        <v>956.98439855885545</v>
      </c>
      <c r="K152" s="6">
        <f t="shared" si="155"/>
        <v>1875.6894211753565</v>
      </c>
      <c r="M152" s="2">
        <f>'rockfish harvests'!O151</f>
        <v>23511.656725947614</v>
      </c>
      <c r="N152">
        <f>'rockfish harvests'!P151</f>
        <v>12484731.197476877</v>
      </c>
      <c r="O152" s="104">
        <v>0.61115746208081856</v>
      </c>
      <c r="P152">
        <v>7.5442545594841713E-4</v>
      </c>
      <c r="Q152" s="13">
        <f t="shared" ref="Q152" si="167">M152*O152</f>
        <v>14369.324453945552</v>
      </c>
      <c r="R152" s="2">
        <f t="shared" ref="R152" si="168">(M152^2)*P152+(O152^2)*N152-(P152*N152)</f>
        <v>5070841.0258847298</v>
      </c>
      <c r="S152">
        <f t="shared" si="158"/>
        <v>2251.8527984494744</v>
      </c>
      <c r="T152" s="6">
        <f t="shared" si="159"/>
        <v>4413.6314849609698</v>
      </c>
      <c r="V152" s="13">
        <f t="shared" ref="V152" si="169">Q152+H152</f>
        <v>80384.19053583128</v>
      </c>
      <c r="W152">
        <f t="shared" ref="W152" si="170">R152+I152</f>
        <v>5986660.1649697842</v>
      </c>
      <c r="X152">
        <f t="shared" ref="X152" si="171">SQRT(W152)</f>
        <v>2446.7652451695858</v>
      </c>
      <c r="Y152" s="6">
        <f t="shared" ref="Y152" si="172">(1.96*X152)</f>
        <v>4795.6598805323883</v>
      </c>
      <c r="Z152" s="14">
        <f t="shared" ref="Z152" si="173">X152/V152</f>
        <v>3.0438388803317479E-2</v>
      </c>
    </row>
    <row r="153" spans="1:26" x14ac:dyDescent="0.25">
      <c r="A153" t="str">
        <f>'rockfish harvests'!A152</f>
        <v>SC</v>
      </c>
      <c r="B153">
        <f>'rockfish harvests'!B152</f>
        <v>1998</v>
      </c>
      <c r="C153" t="str">
        <f>'rockfish harvests'!C152</f>
        <v>NORTHEAS</v>
      </c>
      <c r="D153">
        <f>'rockfish harvests'!D152</f>
        <v>1488</v>
      </c>
      <c r="E153">
        <v>977</v>
      </c>
      <c r="F153">
        <f>IF([1]species_comp_Region2_forR!$G223&gt;49,[1]species_comp_Region2_forR!$AD223,[1]species_comp_Region2_forR!$AF223)</f>
        <v>0.80412371100000002</v>
      </c>
      <c r="G153">
        <f>IF([1]species_comp_Region2_forR!$G223&gt;49,[1]species_comp_Region2_forR!$AE223,[1]species_comp_Region2_forR!$AG223)</f>
        <v>1.640716E-3</v>
      </c>
      <c r="H153" s="7">
        <f t="shared" si="140"/>
        <v>785.628865647</v>
      </c>
      <c r="I153">
        <f t="shared" si="141"/>
        <v>1566.111002764</v>
      </c>
      <c r="J153">
        <f t="shared" si="142"/>
        <v>39.574120366269675</v>
      </c>
      <c r="K153" s="6">
        <f t="shared" si="143"/>
        <v>77.565275917888556</v>
      </c>
      <c r="M153" s="2">
        <f>'rockfish harvests'!O152</f>
        <v>1158.751507803267</v>
      </c>
      <c r="N153">
        <f>'rockfish harvests'!P152</f>
        <v>130721.74657888399</v>
      </c>
      <c r="O153">
        <f>IF([1]species_comp_Region2_forR!$D250&gt;49,[1]species_comp_Region2_forR!$N250,[1]species_comp_Region2_forR!$P250)</f>
        <v>0.83333333300000001</v>
      </c>
      <c r="P153">
        <f>IF([1]species_comp_Region2_forR!$D250&gt;49,[1]species_comp_Region2_forR!$O250,[1]species_comp_Region2_forR!$Q250)</f>
        <v>1.5605490000000001E-3</v>
      </c>
      <c r="Q153" s="13">
        <f t="shared" si="144"/>
        <v>965.62625611647206</v>
      </c>
      <c r="R153" s="2">
        <f t="shared" si="123"/>
        <v>92670.349949996336</v>
      </c>
      <c r="S153">
        <f t="shared" si="145"/>
        <v>304.41805128802127</v>
      </c>
      <c r="T153" s="6">
        <f t="shared" si="146"/>
        <v>596.65938052452168</v>
      </c>
      <c r="V153" s="13">
        <f t="shared" si="147"/>
        <v>1751.2551217634721</v>
      </c>
      <c r="W153">
        <f t="shared" si="148"/>
        <v>94236.460952760332</v>
      </c>
      <c r="X153">
        <f t="shared" si="149"/>
        <v>306.9795774196719</v>
      </c>
      <c r="Y153" s="6">
        <f t="shared" si="150"/>
        <v>601.67997174255686</v>
      </c>
      <c r="Z153" s="14">
        <f t="shared" si="151"/>
        <v>0.17529118036814123</v>
      </c>
    </row>
    <row r="154" spans="1:26" x14ac:dyDescent="0.25">
      <c r="A154" t="str">
        <f>'rockfish harvests'!A153</f>
        <v>SC</v>
      </c>
      <c r="B154">
        <f>'rockfish harvests'!B153</f>
        <v>1999</v>
      </c>
      <c r="C154" t="str">
        <f>'rockfish harvests'!C153</f>
        <v>NORTHEAS</v>
      </c>
      <c r="D154">
        <f>'rockfish harvests'!D153</f>
        <v>1866</v>
      </c>
      <c r="E154">
        <v>1689</v>
      </c>
      <c r="F154" s="91">
        <v>0.876190476</v>
      </c>
      <c r="G154" s="91">
        <v>1.0430839999999999E-3</v>
      </c>
      <c r="H154" s="7">
        <f t="shared" si="140"/>
        <v>1479.8857139639999</v>
      </c>
      <c r="I154">
        <f t="shared" si="141"/>
        <v>2975.6276315639998</v>
      </c>
      <c r="J154">
        <f t="shared" si="142"/>
        <v>54.549313758873261</v>
      </c>
      <c r="K154" s="6">
        <f t="shared" si="143"/>
        <v>106.91665496739159</v>
      </c>
      <c r="M154" s="2">
        <f>'rockfish harvests'!O153</f>
        <v>1453.1117698661938</v>
      </c>
      <c r="N154">
        <f>'rockfish harvests'!P153</f>
        <v>205572.61399024838</v>
      </c>
      <c r="O154">
        <f>IF([1]species_comp_Region2_forR!$D251&gt;49,[1]species_comp_Region2_forR!$N251,[1]species_comp_Region2_forR!$P251)</f>
        <v>0.71300448400000005</v>
      </c>
      <c r="P154">
        <f>IF([1]species_comp_Region2_forR!$D251&gt;49,[1]species_comp_Region2_forR!$O251,[1]species_comp_Region2_forR!$Q251)</f>
        <v>9.2175299999999998E-4</v>
      </c>
      <c r="Q154" s="13">
        <f t="shared" si="144"/>
        <v>1036.0752076677722</v>
      </c>
      <c r="R154" s="2">
        <f t="shared" si="123"/>
        <v>106264.88413044249</v>
      </c>
      <c r="S154">
        <f t="shared" si="145"/>
        <v>325.98295067448311</v>
      </c>
      <c r="T154" s="6">
        <f t="shared" si="146"/>
        <v>638.92658332198687</v>
      </c>
      <c r="V154" s="13">
        <f t="shared" si="147"/>
        <v>2515.9609216317722</v>
      </c>
      <c r="W154">
        <f t="shared" si="148"/>
        <v>109240.51176200648</v>
      </c>
      <c r="X154">
        <f t="shared" si="149"/>
        <v>330.51552423752577</v>
      </c>
      <c r="Y154" s="6">
        <f t="shared" si="150"/>
        <v>647.81042750555048</v>
      </c>
      <c r="Z154" s="14">
        <f t="shared" si="151"/>
        <v>0.13136751107531666</v>
      </c>
    </row>
    <row r="155" spans="1:26" x14ac:dyDescent="0.25">
      <c r="A155" t="str">
        <f>'rockfish harvests'!A154</f>
        <v>SC</v>
      </c>
      <c r="B155">
        <f>'rockfish harvests'!B154</f>
        <v>2000</v>
      </c>
      <c r="C155" t="str">
        <f>'rockfish harvests'!C154</f>
        <v>NORTHEAS</v>
      </c>
      <c r="D155">
        <f>'rockfish harvests'!D154</f>
        <v>2115</v>
      </c>
      <c r="E155">
        <v>1865</v>
      </c>
      <c r="F155" s="91">
        <v>0.91176470600000004</v>
      </c>
      <c r="G155" s="91">
        <v>7.9653299999999998E-4</v>
      </c>
      <c r="H155" s="7">
        <f t="shared" si="140"/>
        <v>1700.44117669</v>
      </c>
      <c r="I155">
        <f t="shared" si="141"/>
        <v>2770.5209939249999</v>
      </c>
      <c r="J155">
        <f t="shared" si="142"/>
        <v>52.635738751583986</v>
      </c>
      <c r="K155" s="6">
        <f t="shared" si="143"/>
        <v>103.16604795310461</v>
      </c>
      <c r="M155" s="2">
        <f>'rockfish harvests'!O154</f>
        <v>1647.0157520187568</v>
      </c>
      <c r="N155">
        <f>'rockfish harvests'!P154</f>
        <v>264096.54694560438</v>
      </c>
      <c r="O155">
        <f>IF([1]species_comp_Region2_forR!$D252&gt;49,[1]species_comp_Region2_forR!$N252,[1]species_comp_Region2_forR!$P252)</f>
        <v>0.743589744</v>
      </c>
      <c r="P155">
        <f>IF([1]species_comp_Region2_forR!$D252&gt;49,[1]species_comp_Region2_forR!$O252,[1]species_comp_Region2_forR!$Q252)</f>
        <v>9.828040000000001E-4</v>
      </c>
      <c r="Q155" s="13">
        <f t="shared" si="144"/>
        <v>1224.7040214075948</v>
      </c>
      <c r="R155" s="2">
        <f t="shared" si="123"/>
        <v>148432.22886509192</v>
      </c>
      <c r="S155">
        <f t="shared" si="145"/>
        <v>385.2690343968639</v>
      </c>
      <c r="T155" s="6">
        <f t="shared" si="146"/>
        <v>755.12730741785322</v>
      </c>
      <c r="V155" s="13">
        <f t="shared" si="147"/>
        <v>2925.1451980975949</v>
      </c>
      <c r="W155">
        <f t="shared" si="148"/>
        <v>151202.74985901691</v>
      </c>
      <c r="X155">
        <f t="shared" si="149"/>
        <v>388.84797782554676</v>
      </c>
      <c r="Y155" s="6">
        <f t="shared" si="150"/>
        <v>762.14203653807169</v>
      </c>
      <c r="Z155" s="14">
        <f t="shared" si="151"/>
        <v>0.13293288076039403</v>
      </c>
    </row>
    <row r="156" spans="1:26" x14ac:dyDescent="0.25">
      <c r="A156" t="str">
        <f>'rockfish harvests'!A155</f>
        <v>SC</v>
      </c>
      <c r="B156">
        <f>'rockfish harvests'!B155</f>
        <v>2001</v>
      </c>
      <c r="C156" t="str">
        <f>'rockfish harvests'!C155</f>
        <v>NORTHEAS</v>
      </c>
      <c r="D156">
        <f>'rockfish harvests'!D155</f>
        <v>2081</v>
      </c>
      <c r="E156">
        <v>1854</v>
      </c>
      <c r="F156" s="91">
        <v>0.95081967199999995</v>
      </c>
      <c r="G156" s="91">
        <v>7.7935999999999999E-4</v>
      </c>
      <c r="H156" s="7">
        <f t="shared" si="140"/>
        <v>1762.8196718879999</v>
      </c>
      <c r="I156">
        <f t="shared" si="141"/>
        <v>2678.9065977599998</v>
      </c>
      <c r="J156">
        <f t="shared" si="142"/>
        <v>51.758154891379192</v>
      </c>
      <c r="K156" s="6">
        <f t="shared" si="143"/>
        <v>101.44598358710321</v>
      </c>
      <c r="M156" s="2">
        <f>'rockfish harvests'!O155</f>
        <v>1620.5389030501337</v>
      </c>
      <c r="N156">
        <f>'rockfish harvests'!P155</f>
        <v>255673.74912670467</v>
      </c>
      <c r="O156">
        <f>IF([1]species_comp_Region2_forR!$D253&gt;49,[1]species_comp_Region2_forR!$N253,[1]species_comp_Region2_forR!$P253)</f>
        <v>0.82022471900000005</v>
      </c>
      <c r="P156">
        <f>IF([1]species_comp_Region2_forR!$D253&gt;49,[1]species_comp_Region2_forR!$O253,[1]species_comp_Region2_forR!$Q253)</f>
        <v>1.6756379999999999E-3</v>
      </c>
      <c r="Q156" s="13">
        <f t="shared" si="144"/>
        <v>1329.2060663828643</v>
      </c>
      <c r="R156" s="2">
        <f t="shared" si="123"/>
        <v>175981.32155773134</v>
      </c>
      <c r="S156">
        <f t="shared" si="145"/>
        <v>419.50127718247933</v>
      </c>
      <c r="T156" s="6">
        <f t="shared" si="146"/>
        <v>822.22250327765948</v>
      </c>
      <c r="V156" s="13">
        <f t="shared" si="147"/>
        <v>3092.0257382708642</v>
      </c>
      <c r="W156">
        <f t="shared" si="148"/>
        <v>178660.22815549135</v>
      </c>
      <c r="X156">
        <f t="shared" si="149"/>
        <v>422.68218339018188</v>
      </c>
      <c r="Y156" s="6">
        <f t="shared" si="150"/>
        <v>828.45707944475646</v>
      </c>
      <c r="Z156" s="14">
        <f t="shared" si="151"/>
        <v>0.1367007325193082</v>
      </c>
    </row>
    <row r="157" spans="1:26" x14ac:dyDescent="0.25">
      <c r="A157" t="str">
        <f>'rockfish harvests'!A156</f>
        <v>SC</v>
      </c>
      <c r="B157">
        <f>'rockfish harvests'!B156</f>
        <v>2002</v>
      </c>
      <c r="C157" t="str">
        <f>'rockfish harvests'!C156</f>
        <v>NORTHEAS</v>
      </c>
      <c r="D157">
        <f>'rockfish harvests'!D156</f>
        <v>2262</v>
      </c>
      <c r="E157">
        <v>2052</v>
      </c>
      <c r="F157" s="91">
        <v>0.87719298199999995</v>
      </c>
      <c r="G157" s="91">
        <v>1.923669E-3</v>
      </c>
      <c r="H157" s="7">
        <f t="shared" si="140"/>
        <v>1799.9999990639999</v>
      </c>
      <c r="I157">
        <f t="shared" si="141"/>
        <v>8100.0007529760005</v>
      </c>
      <c r="J157">
        <f t="shared" si="142"/>
        <v>90.000004183199906</v>
      </c>
      <c r="K157" s="6">
        <f t="shared" si="143"/>
        <v>176.40000819907181</v>
      </c>
      <c r="M157" s="2">
        <f>'rockfish harvests'!O156</f>
        <v>1761.4891872654503</v>
      </c>
      <c r="N157">
        <f>'rockfish harvests'!P156</f>
        <v>302083.62252065231</v>
      </c>
      <c r="O157">
        <f>IF([1]species_comp_Region2_forR!$D254&gt;49,[1]species_comp_Region2_forR!$N254,[1]species_comp_Region2_forR!$P254)</f>
        <v>0.60843373499999998</v>
      </c>
      <c r="P157">
        <f>IF([1]species_comp_Region2_forR!$D254&gt;49,[1]species_comp_Region2_forR!$O254,[1]species_comp_Region2_forR!$Q254)</f>
        <v>1.443892E-3</v>
      </c>
      <c r="Q157" s="13">
        <f t="shared" si="144"/>
        <v>1071.7494453700324</v>
      </c>
      <c r="R157" s="2">
        <f t="shared" si="123"/>
        <v>115872.8182705685</v>
      </c>
      <c r="S157">
        <f t="shared" si="145"/>
        <v>340.4009669060423</v>
      </c>
      <c r="T157" s="6">
        <f t="shared" si="146"/>
        <v>667.18589513584288</v>
      </c>
      <c r="V157" s="13">
        <f t="shared" si="147"/>
        <v>2871.7494444340323</v>
      </c>
      <c r="W157">
        <f t="shared" si="148"/>
        <v>123972.81902354451</v>
      </c>
      <c r="X157">
        <f t="shared" si="149"/>
        <v>352.09774072485118</v>
      </c>
      <c r="Y157" s="6">
        <f t="shared" si="150"/>
        <v>690.11157182070826</v>
      </c>
      <c r="Z157" s="14">
        <f t="shared" si="151"/>
        <v>0.12260740274792427</v>
      </c>
    </row>
    <row r="158" spans="1:26" x14ac:dyDescent="0.25">
      <c r="A158" t="str">
        <f>'rockfish harvests'!A157</f>
        <v>SC</v>
      </c>
      <c r="B158">
        <f>'rockfish harvests'!B157</f>
        <v>2003</v>
      </c>
      <c r="C158" t="str">
        <f>'rockfish harvests'!C157</f>
        <v>NORTHEAS</v>
      </c>
      <c r="D158">
        <f>'rockfish harvests'!D157</f>
        <v>2743</v>
      </c>
      <c r="E158">
        <v>2477</v>
      </c>
      <c r="F158" s="91">
        <v>0.85869565199999998</v>
      </c>
      <c r="G158" s="91">
        <v>1.3333780000000001E-3</v>
      </c>
      <c r="H158" s="7">
        <f t="shared" si="140"/>
        <v>2126.9891300039999</v>
      </c>
      <c r="I158">
        <f t="shared" si="141"/>
        <v>8180.9793869620007</v>
      </c>
      <c r="J158">
        <f t="shared" si="142"/>
        <v>90.448766641463948</v>
      </c>
      <c r="K158" s="6">
        <f t="shared" si="143"/>
        <v>177.27958261726934</v>
      </c>
      <c r="M158" s="2">
        <f>'rockfish harvests'!O157</f>
        <v>2136.0587270862643</v>
      </c>
      <c r="N158">
        <f>'rockfish harvests'!P157</f>
        <v>444215.38374428463</v>
      </c>
      <c r="O158">
        <f>IF([1]species_comp_Region2_forR!$D255&gt;49,[1]species_comp_Region2_forR!$N255,[1]species_comp_Region2_forR!$P255)</f>
        <v>0.73262032099999996</v>
      </c>
      <c r="P158">
        <f>IF([1]species_comp_Region2_forR!$D255&gt;49,[1]species_comp_Region2_forR!$O255,[1]species_comp_Region2_forR!$Q255)</f>
        <v>1.05316E-3</v>
      </c>
      <c r="Q158" s="13">
        <f t="shared" si="144"/>
        <v>1564.9200303127902</v>
      </c>
      <c r="R158" s="2">
        <f t="shared" si="123"/>
        <v>242762.32152497733</v>
      </c>
      <c r="S158">
        <f t="shared" si="145"/>
        <v>492.7091652536792</v>
      </c>
      <c r="T158" s="6">
        <f t="shared" si="146"/>
        <v>965.7099638972112</v>
      </c>
      <c r="V158" s="13">
        <f t="shared" si="147"/>
        <v>3691.9091603167899</v>
      </c>
      <c r="W158">
        <f t="shared" si="148"/>
        <v>250943.30091193932</v>
      </c>
      <c r="X158">
        <f t="shared" si="149"/>
        <v>500.94241277011008</v>
      </c>
      <c r="Y158" s="6">
        <f t="shared" si="150"/>
        <v>981.84712902941578</v>
      </c>
      <c r="Z158" s="14">
        <f t="shared" si="151"/>
        <v>0.13568654888765627</v>
      </c>
    </row>
    <row r="159" spans="1:26" x14ac:dyDescent="0.25">
      <c r="A159" t="str">
        <f>'rockfish harvests'!A158</f>
        <v>SC</v>
      </c>
      <c r="B159">
        <f>'rockfish harvests'!B158</f>
        <v>2004</v>
      </c>
      <c r="C159" t="str">
        <f>'rockfish harvests'!C158</f>
        <v>NORTHEAS</v>
      </c>
      <c r="D159">
        <f>'rockfish harvests'!D158</f>
        <v>3291</v>
      </c>
      <c r="E159">
        <v>3068</v>
      </c>
      <c r="F159" s="91">
        <v>0.77564102599999996</v>
      </c>
      <c r="G159" s="91">
        <v>1.122723E-3</v>
      </c>
      <c r="H159" s="7">
        <f t="shared" si="140"/>
        <v>2379.666667768</v>
      </c>
      <c r="I159">
        <f t="shared" si="141"/>
        <v>10567.769455152</v>
      </c>
      <c r="J159">
        <f t="shared" si="142"/>
        <v>102.7996568824624</v>
      </c>
      <c r="K159" s="6">
        <f t="shared" si="143"/>
        <v>201.4873274896263</v>
      </c>
      <c r="M159" s="2">
        <f>'rockfish harvests'!O158</f>
        <v>2562.8032339923066</v>
      </c>
      <c r="N159">
        <f>'rockfish harvests'!P158</f>
        <v>639436.97291537211</v>
      </c>
      <c r="O159">
        <f>IF([1]species_comp_Region2_forR!$D256&gt;49,[1]species_comp_Region2_forR!$N256,[1]species_comp_Region2_forR!$P256)</f>
        <v>0.77966101700000001</v>
      </c>
      <c r="P159">
        <f>IF([1]species_comp_Region2_forR!$D256&gt;49,[1]species_comp_Region2_forR!$O256,[1]species_comp_Region2_forR!$Q256)</f>
        <v>1.4682880000000001E-3</v>
      </c>
      <c r="Q159" s="13">
        <f t="shared" si="144"/>
        <v>1998.1177757853307</v>
      </c>
      <c r="R159" s="2">
        <f t="shared" si="123"/>
        <v>397400.16473762761</v>
      </c>
      <c r="S159">
        <f t="shared" si="145"/>
        <v>630.39683116083916</v>
      </c>
      <c r="T159" s="6">
        <f t="shared" si="146"/>
        <v>1235.5777890752447</v>
      </c>
      <c r="V159" s="13">
        <f t="shared" si="147"/>
        <v>4377.7844435533307</v>
      </c>
      <c r="W159">
        <f t="shared" si="148"/>
        <v>407967.93419277959</v>
      </c>
      <c r="X159">
        <f t="shared" si="149"/>
        <v>638.72367592941123</v>
      </c>
      <c r="Y159" s="6">
        <f t="shared" si="150"/>
        <v>1251.898404821646</v>
      </c>
      <c r="Z159" s="14">
        <f t="shared" si="151"/>
        <v>0.14590112513876455</v>
      </c>
    </row>
    <row r="160" spans="1:26" x14ac:dyDescent="0.25">
      <c r="A160" t="str">
        <f>'rockfish harvests'!A159</f>
        <v>SC</v>
      </c>
      <c r="B160">
        <f>'rockfish harvests'!B159</f>
        <v>2005</v>
      </c>
      <c r="C160" t="str">
        <f>'rockfish harvests'!C159</f>
        <v>NORTHEAS</v>
      </c>
      <c r="D160">
        <f>'rockfish harvests'!D159</f>
        <v>4641</v>
      </c>
      <c r="E160">
        <v>4325</v>
      </c>
      <c r="F160" s="91">
        <v>0.93277310899999999</v>
      </c>
      <c r="G160" s="91">
        <v>5.3141899999999999E-4</v>
      </c>
      <c r="H160" s="7">
        <f t="shared" si="140"/>
        <v>4034.2436964250001</v>
      </c>
      <c r="I160">
        <f t="shared" si="141"/>
        <v>9940.5245318750003</v>
      </c>
      <c r="J160">
        <f t="shared" si="142"/>
        <v>99.702179173150469</v>
      </c>
      <c r="K160" s="6">
        <f t="shared" si="143"/>
        <v>195.41627117937492</v>
      </c>
      <c r="M160" s="2">
        <f>'rockfish harvests'!O159</f>
        <v>3614.0898842170445</v>
      </c>
      <c r="N160">
        <f>'rockfish harvests'!P159</f>
        <v>1271642.7403433286</v>
      </c>
      <c r="O160">
        <f>IF([1]species_comp_Region2_forR!$D257&gt;49,[1]species_comp_Region2_forR!$N257,[1]species_comp_Region2_forR!$P257)</f>
        <v>0.82183908000000006</v>
      </c>
      <c r="P160">
        <f>IF([1]species_comp_Region2_forR!$D257&gt;49,[1]species_comp_Region2_forR!$O257,[1]species_comp_Region2_forR!$Q257)</f>
        <v>8.4635600000000004E-4</v>
      </c>
      <c r="Q160" s="13">
        <f t="shared" si="144"/>
        <v>2970.2003054822426</v>
      </c>
      <c r="R160" s="2">
        <f t="shared" si="123"/>
        <v>868870.80979248718</v>
      </c>
      <c r="S160">
        <f t="shared" si="145"/>
        <v>932.13239928268081</v>
      </c>
      <c r="T160" s="6">
        <f t="shared" si="146"/>
        <v>1826.9795025940543</v>
      </c>
      <c r="V160" s="13">
        <f t="shared" si="147"/>
        <v>7004.4440019072426</v>
      </c>
      <c r="W160">
        <f t="shared" si="148"/>
        <v>878811.33432436222</v>
      </c>
      <c r="X160">
        <f t="shared" si="149"/>
        <v>937.44937693955626</v>
      </c>
      <c r="Y160" s="6">
        <f t="shared" si="150"/>
        <v>1837.4007788015301</v>
      </c>
      <c r="Z160" s="14">
        <f t="shared" si="151"/>
        <v>0.13383637254924127</v>
      </c>
    </row>
    <row r="161" spans="1:27" x14ac:dyDescent="0.25">
      <c r="A161" t="str">
        <f>'rockfish harvests'!A160</f>
        <v>SC</v>
      </c>
      <c r="B161">
        <f>'rockfish harvests'!B160</f>
        <v>2006</v>
      </c>
      <c r="C161" t="str">
        <f>'rockfish harvests'!C160</f>
        <v>NORTHEAS</v>
      </c>
      <c r="D161">
        <f>'rockfish harvests'!D160</f>
        <v>3693</v>
      </c>
      <c r="E161">
        <v>3519</v>
      </c>
      <c r="F161" s="91">
        <v>0.866071429</v>
      </c>
      <c r="G161" s="91">
        <v>1.0449700000000001E-3</v>
      </c>
      <c r="H161" s="7">
        <f t="shared" si="140"/>
        <v>3047.7053586510001</v>
      </c>
      <c r="I161">
        <f t="shared" si="141"/>
        <v>12940.240744170002</v>
      </c>
      <c r="J161">
        <f t="shared" si="142"/>
        <v>113.7551789773547</v>
      </c>
      <c r="K161" s="6">
        <f t="shared" si="143"/>
        <v>222.96015079561522</v>
      </c>
      <c r="M161" s="2">
        <f>'rockfish harvests'!O160</f>
        <v>2875.8530365036731</v>
      </c>
      <c r="N161">
        <f>'rockfish harvests'!P160</f>
        <v>805194.11996587296</v>
      </c>
      <c r="O161">
        <f>IF([1]species_comp_Region2_forR!$D258&gt;49,[1]species_comp_Region2_forR!$N258,[1]species_comp_Region2_forR!$P258)</f>
        <v>0.79807692299999999</v>
      </c>
      <c r="P161">
        <f>IF([1]species_comp_Region2_forR!$D258&gt;49,[1]species_comp_Region2_forR!$O258,[1]species_comp_Region2_forR!$Q258)</f>
        <v>1.564565E-3</v>
      </c>
      <c r="Q161" s="13">
        <f t="shared" si="144"/>
        <v>2295.1519423730583</v>
      </c>
      <c r="R161" s="2">
        <f t="shared" si="123"/>
        <v>524529.69840596511</v>
      </c>
      <c r="S161">
        <f t="shared" si="145"/>
        <v>724.24422566283886</v>
      </c>
      <c r="T161" s="6">
        <f t="shared" si="146"/>
        <v>1419.5186822991641</v>
      </c>
      <c r="V161" s="13">
        <f t="shared" si="147"/>
        <v>5342.857301024058</v>
      </c>
      <c r="W161">
        <f t="shared" si="148"/>
        <v>537469.93915013515</v>
      </c>
      <c r="X161">
        <f t="shared" si="149"/>
        <v>733.12341331465825</v>
      </c>
      <c r="Y161" s="6">
        <f t="shared" si="150"/>
        <v>1436.9218900967301</v>
      </c>
      <c r="Z161" s="14">
        <f t="shared" si="151"/>
        <v>0.13721560805566368</v>
      </c>
    </row>
    <row r="162" spans="1:27" x14ac:dyDescent="0.25">
      <c r="A162" t="str">
        <f>'rockfish harvests'!A161</f>
        <v>SC</v>
      </c>
      <c r="B162">
        <f>'rockfish harvests'!B161</f>
        <v>2007</v>
      </c>
      <c r="C162" t="str">
        <f>'rockfish harvests'!C161</f>
        <v>NORTHEAS</v>
      </c>
      <c r="D162">
        <f>'rockfish harvests'!D161</f>
        <v>5080</v>
      </c>
      <c r="E162">
        <v>4652</v>
      </c>
      <c r="F162" s="91">
        <v>0.62025316500000005</v>
      </c>
      <c r="G162" s="91">
        <v>3.0197330000000001E-3</v>
      </c>
      <c r="H162" s="7">
        <f t="shared" si="140"/>
        <v>2885.4177235800003</v>
      </c>
      <c r="I162">
        <f t="shared" si="141"/>
        <v>65350.355905232005</v>
      </c>
      <c r="J162">
        <f t="shared" si="142"/>
        <v>255.63715673828014</v>
      </c>
      <c r="K162" s="6">
        <f t="shared" si="143"/>
        <v>501.04882720702909</v>
      </c>
      <c r="M162" s="2">
        <f>'rockfish harvests'!O161</f>
        <v>3955.9527282530889</v>
      </c>
      <c r="N162">
        <f>'rockfish harvests'!P161</f>
        <v>1523594.5272363999</v>
      </c>
      <c r="O162">
        <f>IF([1]species_comp_Region2_forR!$D259&gt;49,[1]species_comp_Region2_forR!$N259,[1]species_comp_Region2_forR!$P259)</f>
        <v>0.89411764699999996</v>
      </c>
      <c r="P162">
        <f>IF([1]species_comp_Region2_forR!$D259&gt;49,[1]species_comp_Region2_forR!$O259,[1]species_comp_Region2_forR!$Q259)</f>
        <v>1.127039E-3</v>
      </c>
      <c r="Q162" s="13">
        <f t="shared" si="144"/>
        <v>3537.0871450288823</v>
      </c>
      <c r="R162" s="2">
        <f t="shared" si="123"/>
        <v>1233952.6253290286</v>
      </c>
      <c r="S162">
        <f t="shared" si="145"/>
        <v>1110.834202448335</v>
      </c>
      <c r="T162" s="6">
        <f t="shared" si="146"/>
        <v>2177.2350367987365</v>
      </c>
      <c r="V162" s="13">
        <f t="shared" si="147"/>
        <v>6422.504868608883</v>
      </c>
      <c r="W162">
        <f t="shared" si="148"/>
        <v>1299302.9812342606</v>
      </c>
      <c r="X162">
        <f t="shared" si="149"/>
        <v>1139.8697211674064</v>
      </c>
      <c r="Y162" s="6">
        <f t="shared" si="150"/>
        <v>2234.1446534881165</v>
      </c>
      <c r="Z162" s="14">
        <f t="shared" si="151"/>
        <v>0.17748055384725658</v>
      </c>
    </row>
    <row r="163" spans="1:27" x14ac:dyDescent="0.25">
      <c r="A163" t="str">
        <f>'rockfish harvests'!A162</f>
        <v>SC</v>
      </c>
      <c r="B163">
        <f>'rockfish harvests'!B162</f>
        <v>2008</v>
      </c>
      <c r="C163" t="str">
        <f>'rockfish harvests'!C162</f>
        <v>NORTHEAS</v>
      </c>
      <c r="D163">
        <f>'rockfish harvests'!D162</f>
        <v>6260</v>
      </c>
      <c r="E163">
        <v>5853</v>
      </c>
      <c r="F163" s="91">
        <v>0.82677165399999997</v>
      </c>
      <c r="G163" s="91">
        <v>1.1366690000000001E-3</v>
      </c>
      <c r="H163" s="7">
        <f t="shared" si="140"/>
        <v>4839.0944908619995</v>
      </c>
      <c r="I163">
        <f t="shared" si="141"/>
        <v>38939.562164421004</v>
      </c>
      <c r="J163">
        <f t="shared" si="142"/>
        <v>197.33109781385448</v>
      </c>
      <c r="K163" s="6">
        <f t="shared" si="143"/>
        <v>386.7689517151548</v>
      </c>
      <c r="M163" s="2">
        <f>'rockfish harvests'!O162</f>
        <v>4874.8551336347118</v>
      </c>
      <c r="N163">
        <f>'rockfish harvests'!P162</f>
        <v>2313612.6269270084</v>
      </c>
      <c r="O163">
        <f>IF([1]species_comp_Region2_forR!$D260&gt;49,[1]species_comp_Region2_forR!$N260,[1]species_comp_Region2_forR!$P260)</f>
        <v>0.693333333</v>
      </c>
      <c r="P163">
        <f>IF([1]species_comp_Region2_forR!$D260&gt;49,[1]species_comp_Region2_forR!$O260,[1]species_comp_Region2_forR!$Q260)</f>
        <v>2.873273E-3</v>
      </c>
      <c r="Q163" s="13">
        <f t="shared" si="144"/>
        <v>3379.8995576951152</v>
      </c>
      <c r="R163" s="2">
        <f t="shared" si="123"/>
        <v>1173812.7251628854</v>
      </c>
      <c r="S163">
        <f t="shared" si="145"/>
        <v>1083.4263819765906</v>
      </c>
      <c r="T163" s="6">
        <f t="shared" si="146"/>
        <v>2123.5157086741174</v>
      </c>
      <c r="V163" s="13">
        <f t="shared" si="147"/>
        <v>8218.9940485571151</v>
      </c>
      <c r="W163">
        <f t="shared" si="148"/>
        <v>1212752.2873273063</v>
      </c>
      <c r="X163">
        <f t="shared" si="149"/>
        <v>1101.250329092939</v>
      </c>
      <c r="Y163" s="6">
        <f t="shared" si="150"/>
        <v>2158.4506450221602</v>
      </c>
      <c r="Z163" s="14">
        <f t="shared" si="151"/>
        <v>0.13398845680953728</v>
      </c>
    </row>
    <row r="164" spans="1:27" x14ac:dyDescent="0.25">
      <c r="A164" t="str">
        <f>'rockfish harvests'!A163</f>
        <v>SC</v>
      </c>
      <c r="B164">
        <f>'rockfish harvests'!B163</f>
        <v>2009</v>
      </c>
      <c r="C164" t="str">
        <f>'rockfish harvests'!C163</f>
        <v>NORTHEAS</v>
      </c>
      <c r="D164">
        <f>'rockfish harvests'!D163</f>
        <v>6369</v>
      </c>
      <c r="E164">
        <v>6087</v>
      </c>
      <c r="F164" s="91">
        <v>0.73611111100000004</v>
      </c>
      <c r="G164" s="91">
        <v>2.7359369999999999E-3</v>
      </c>
      <c r="H164" s="7">
        <f t="shared" si="140"/>
        <v>4480.708332657</v>
      </c>
      <c r="I164">
        <f t="shared" si="141"/>
        <v>101370.758535153</v>
      </c>
      <c r="J164">
        <f t="shared" si="142"/>
        <v>318.38774872025618</v>
      </c>
      <c r="K164" s="6">
        <f t="shared" si="143"/>
        <v>624.03998749170216</v>
      </c>
      <c r="M164" s="2">
        <f>'rockfish harvests'!O163</f>
        <v>4959.7367965047106</v>
      </c>
      <c r="N164">
        <f>'rockfish harvests'!P163</f>
        <v>2394883.9707024693</v>
      </c>
      <c r="O164">
        <f>IF([1]species_comp_Region2_forR!$D261&gt;49,[1]species_comp_Region2_forR!$N261,[1]species_comp_Region2_forR!$P261)</f>
        <v>0.55882352899999999</v>
      </c>
      <c r="P164">
        <f>IF([1]species_comp_Region2_forR!$D261&gt;49,[1]species_comp_Region2_forR!$O261,[1]species_comp_Region2_forR!$Q261)</f>
        <v>3.6796979999999999E-3</v>
      </c>
      <c r="Q164" s="13">
        <f t="shared" si="144"/>
        <v>2771.6176195339171</v>
      </c>
      <c r="R164" s="2">
        <f t="shared" si="123"/>
        <v>829587.7162097164</v>
      </c>
      <c r="S164">
        <f t="shared" si="145"/>
        <v>910.81705968307176</v>
      </c>
      <c r="T164" s="6">
        <f t="shared" si="146"/>
        <v>1785.2014369788205</v>
      </c>
      <c r="V164" s="13">
        <f t="shared" si="147"/>
        <v>7252.3259521909167</v>
      </c>
      <c r="W164">
        <f t="shared" si="148"/>
        <v>930958.4747448694</v>
      </c>
      <c r="X164">
        <f t="shared" si="149"/>
        <v>964.86189413038244</v>
      </c>
      <c r="Y164" s="6">
        <f t="shared" si="150"/>
        <v>1891.1293124955496</v>
      </c>
      <c r="Z164" s="14">
        <f t="shared" si="151"/>
        <v>0.13304171661491568</v>
      </c>
    </row>
    <row r="165" spans="1:27" x14ac:dyDescent="0.25">
      <c r="A165" t="str">
        <f>'rockfish harvests'!A164</f>
        <v>SC</v>
      </c>
      <c r="B165">
        <f>'rockfish harvests'!B164</f>
        <v>2010</v>
      </c>
      <c r="C165" t="str">
        <f>'rockfish harvests'!C164</f>
        <v>NORTHEAS</v>
      </c>
      <c r="D165">
        <f>'rockfish harvests'!D164</f>
        <v>8141</v>
      </c>
      <c r="E165">
        <v>6708</v>
      </c>
      <c r="F165" s="91">
        <v>0.53535353500000005</v>
      </c>
      <c r="G165" s="91">
        <v>2.5382669999999999E-3</v>
      </c>
      <c r="H165" s="7">
        <f t="shared" si="140"/>
        <v>3591.1515127800003</v>
      </c>
      <c r="I165">
        <f t="shared" si="141"/>
        <v>114215.070301488</v>
      </c>
      <c r="J165">
        <f t="shared" si="142"/>
        <v>337.95720187841539</v>
      </c>
      <c r="K165" s="6">
        <f t="shared" si="143"/>
        <v>662.39611568169414</v>
      </c>
      <c r="M165" s="2">
        <f>'rockfish harvests'!O164</f>
        <v>6339.6478662811805</v>
      </c>
      <c r="N165">
        <f>'rockfish harvests'!P164</f>
        <v>3912888.6469779164</v>
      </c>
      <c r="O165" s="32">
        <v>0.74806438500000005</v>
      </c>
      <c r="P165" s="32">
        <v>6.3493509999999996E-3</v>
      </c>
      <c r="Q165" s="13">
        <f t="shared" si="144"/>
        <v>4742.4647822061943</v>
      </c>
      <c r="R165" s="2">
        <f t="shared" si="123"/>
        <v>2419997.0752316718</v>
      </c>
      <c r="S165">
        <f t="shared" si="145"/>
        <v>1555.6339785539758</v>
      </c>
      <c r="T165" s="6">
        <f t="shared" si="146"/>
        <v>3049.0425979657925</v>
      </c>
      <c r="V165" s="13">
        <f t="shared" si="147"/>
        <v>8333.6162949861937</v>
      </c>
      <c r="W165">
        <f t="shared" si="148"/>
        <v>2534212.1455331598</v>
      </c>
      <c r="X165">
        <f t="shared" si="149"/>
        <v>1591.9208980138303</v>
      </c>
      <c r="Y165" s="6">
        <f t="shared" si="150"/>
        <v>3120.1649601071072</v>
      </c>
      <c r="Z165" s="14">
        <f t="shared" si="151"/>
        <v>0.19102402146491768</v>
      </c>
    </row>
    <row r="166" spans="1:27" x14ac:dyDescent="0.25">
      <c r="A166" t="str">
        <f>'rockfish harvests'!A165</f>
        <v>SC</v>
      </c>
      <c r="B166">
        <f>'rockfish harvests'!B165</f>
        <v>2011</v>
      </c>
      <c r="C166" t="str">
        <f>'rockfish harvests'!C165</f>
        <v>NORTHEAS</v>
      </c>
      <c r="D166">
        <f>'rockfish harvests'!D165</f>
        <v>6904</v>
      </c>
      <c r="E166">
        <v>6611</v>
      </c>
      <c r="F166" s="91">
        <v>0.862318841</v>
      </c>
      <c r="G166" s="91">
        <v>8.6660600000000002E-4</v>
      </c>
      <c r="H166" s="7">
        <f t="shared" si="140"/>
        <v>5700.7898578510003</v>
      </c>
      <c r="I166">
        <f t="shared" si="141"/>
        <v>37875.293410525999</v>
      </c>
      <c r="J166">
        <f t="shared" si="142"/>
        <v>194.6157583818073</v>
      </c>
      <c r="K166" s="6">
        <f t="shared" si="143"/>
        <v>381.44688642834228</v>
      </c>
      <c r="M166" s="2">
        <f>'rockfish harvests'!O165</f>
        <v>6000.5227354099534</v>
      </c>
      <c r="N166">
        <f>'rockfish harvests'!P165</f>
        <v>2122890.1028359062</v>
      </c>
      <c r="O166">
        <f>IF([1]species_comp_Region2_forR!$D263&gt;49,[1]species_comp_Region2_forR!$N263,[1]species_comp_Region2_forR!$P263)</f>
        <v>0.71830985899999999</v>
      </c>
      <c r="P166">
        <f>IF([1]species_comp_Region2_forR!$D263&gt;49,[1]species_comp_Region2_forR!$O263,[1]species_comp_Region2_forR!$Q263)</f>
        <v>2.890583E-3</v>
      </c>
      <c r="Q166" s="13">
        <f t="shared" si="144"/>
        <v>4310.2346399986181</v>
      </c>
      <c r="R166" s="2">
        <f t="shared" si="123"/>
        <v>1193288.3279912644</v>
      </c>
      <c r="S166">
        <f t="shared" si="145"/>
        <v>1092.3773743497547</v>
      </c>
      <c r="T166" s="6">
        <f t="shared" si="146"/>
        <v>2141.0596537255192</v>
      </c>
      <c r="V166" s="13">
        <f t="shared" si="147"/>
        <v>10011.024497849619</v>
      </c>
      <c r="W166">
        <f t="shared" si="148"/>
        <v>1231163.6214017903</v>
      </c>
      <c r="X166">
        <f t="shared" si="149"/>
        <v>1109.5781276691562</v>
      </c>
      <c r="Y166" s="6">
        <f t="shared" si="150"/>
        <v>2174.773130231546</v>
      </c>
      <c r="Z166" s="14">
        <f t="shared" si="151"/>
        <v>0.11083562205921031</v>
      </c>
      <c r="AA166" s="14"/>
    </row>
    <row r="167" spans="1:27" x14ac:dyDescent="0.25">
      <c r="A167" t="str">
        <f>'rockfish harvests'!A166</f>
        <v>SC</v>
      </c>
      <c r="B167">
        <f>'rockfish harvests'!B166</f>
        <v>2012</v>
      </c>
      <c r="C167" t="str">
        <f>'rockfish harvests'!C166</f>
        <v>NORTHEAS</v>
      </c>
      <c r="D167">
        <f>'rockfish harvests'!D166</f>
        <v>6813</v>
      </c>
      <c r="E167">
        <v>6257</v>
      </c>
      <c r="F167" s="91">
        <v>0.75524475499999999</v>
      </c>
      <c r="G167" s="91">
        <v>1.301761E-3</v>
      </c>
      <c r="H167" s="7">
        <f t="shared" si="140"/>
        <v>4725.5664320349997</v>
      </c>
      <c r="I167">
        <f t="shared" si="141"/>
        <v>50964.006936288999</v>
      </c>
      <c r="J167">
        <f t="shared" si="142"/>
        <v>225.75209176503549</v>
      </c>
      <c r="K167" s="6">
        <f t="shared" si="143"/>
        <v>442.47409985946956</v>
      </c>
      <c r="M167" s="2">
        <f>'rockfish harvests'!O166</f>
        <v>4938.4793337446008</v>
      </c>
      <c r="N167">
        <f>'rockfish harvests'!P166</f>
        <v>2023168.1052428612</v>
      </c>
      <c r="O167" s="91">
        <v>0.74509803900000005</v>
      </c>
      <c r="P167" s="91">
        <v>1.2495189999999999E-3</v>
      </c>
      <c r="Q167" s="13">
        <f t="shared" si="144"/>
        <v>3679.6512672151289</v>
      </c>
      <c r="R167" s="2">
        <f t="shared" si="123"/>
        <v>1151150.442399923</v>
      </c>
      <c r="S167">
        <f t="shared" si="145"/>
        <v>1072.9167919274648</v>
      </c>
      <c r="T167" s="6">
        <f t="shared" si="146"/>
        <v>2102.9169121778309</v>
      </c>
      <c r="V167" s="13">
        <f t="shared" si="147"/>
        <v>8405.2176992501281</v>
      </c>
      <c r="W167">
        <f t="shared" si="148"/>
        <v>1202114.4493362119</v>
      </c>
      <c r="X167">
        <f t="shared" si="149"/>
        <v>1096.4097999088717</v>
      </c>
      <c r="Y167" s="6">
        <f t="shared" si="150"/>
        <v>2148.9632078213886</v>
      </c>
      <c r="Z167" s="14">
        <f t="shared" si="151"/>
        <v>0.13044395031037542</v>
      </c>
      <c r="AA167" s="14"/>
    </row>
    <row r="168" spans="1:27" x14ac:dyDescent="0.25">
      <c r="A168" t="str">
        <f>'rockfish harvests'!A167</f>
        <v>SC</v>
      </c>
      <c r="B168">
        <f>'rockfish harvests'!B167</f>
        <v>2013</v>
      </c>
      <c r="C168" t="str">
        <f>'rockfish harvests'!C167</f>
        <v>NORTHEAS</v>
      </c>
      <c r="D168">
        <f>'rockfish harvests'!D167</f>
        <v>9965</v>
      </c>
      <c r="E168">
        <v>9327</v>
      </c>
      <c r="F168" s="91">
        <v>0.53982300900000002</v>
      </c>
      <c r="G168" s="91">
        <v>5.5080699999999995E-4</v>
      </c>
      <c r="H168" s="7">
        <f t="shared" si="140"/>
        <v>5034.9292049430005</v>
      </c>
      <c r="I168">
        <f t="shared" si="141"/>
        <v>47916.314243702996</v>
      </c>
      <c r="J168">
        <f t="shared" si="142"/>
        <v>218.89795395047207</v>
      </c>
      <c r="K168" s="6">
        <f t="shared" si="143"/>
        <v>429.03998974292523</v>
      </c>
      <c r="M168" s="2">
        <f>'rockfish harvests'!O167</f>
        <v>8625.830039525692</v>
      </c>
      <c r="N168">
        <f>'rockfish harvests'!P167</f>
        <v>4761147.9363994701</v>
      </c>
      <c r="O168" s="91">
        <v>0.66871165600000004</v>
      </c>
      <c r="P168" s="91">
        <v>1.3675079999999999E-3</v>
      </c>
      <c r="Q168" s="13">
        <f t="shared" si="144"/>
        <v>5768.1930901057713</v>
      </c>
      <c r="R168" s="2">
        <f t="shared" si="123"/>
        <v>2224306.1042926451</v>
      </c>
      <c r="S168">
        <f t="shared" si="145"/>
        <v>1491.4107765108326</v>
      </c>
      <c r="T168" s="6">
        <f t="shared" si="146"/>
        <v>2923.1651219612318</v>
      </c>
      <c r="V168" s="13">
        <f t="shared" si="147"/>
        <v>10803.122295048772</v>
      </c>
      <c r="W168">
        <f t="shared" si="148"/>
        <v>2272222.4185363483</v>
      </c>
      <c r="X168">
        <f t="shared" si="149"/>
        <v>1507.3892723965992</v>
      </c>
      <c r="Y168" s="6">
        <f t="shared" si="150"/>
        <v>2954.4829738973344</v>
      </c>
      <c r="Z168" s="14">
        <f t="shared" si="151"/>
        <v>0.13953274166742125</v>
      </c>
      <c r="AA168" s="14"/>
    </row>
    <row r="169" spans="1:27" x14ac:dyDescent="0.25">
      <c r="A169" t="str">
        <f>'rockfish harvests'!A168</f>
        <v>SC</v>
      </c>
      <c r="B169">
        <f>'rockfish harvests'!B168</f>
        <v>2014</v>
      </c>
      <c r="C169" t="str">
        <f>'rockfish harvests'!C168</f>
        <v>NORTHEAS</v>
      </c>
      <c r="D169">
        <f>'rockfish harvests'!D168</f>
        <v>11896</v>
      </c>
      <c r="E169">
        <v>10360</v>
      </c>
      <c r="F169" s="91">
        <v>0.81493506500000001</v>
      </c>
      <c r="G169" s="91">
        <v>4.9125700000000004E-4</v>
      </c>
      <c r="H169" s="7">
        <f t="shared" si="140"/>
        <v>8442.7272733999998</v>
      </c>
      <c r="I169">
        <f t="shared" si="141"/>
        <v>52726.417307200005</v>
      </c>
      <c r="J169">
        <f t="shared" si="142"/>
        <v>229.62233625499067</v>
      </c>
      <c r="K169" s="6">
        <f t="shared" si="143"/>
        <v>450.0597790597817</v>
      </c>
      <c r="M169" s="2">
        <f>'rockfish harvests'!O168</f>
        <v>5411.0074000986679</v>
      </c>
      <c r="N169">
        <f>'rockfish harvests'!P168</f>
        <v>1633143.8585763292</v>
      </c>
      <c r="O169" s="91">
        <v>0.77777777800000003</v>
      </c>
      <c r="P169" s="91">
        <v>1.382716E-3</v>
      </c>
      <c r="Q169" s="13">
        <f t="shared" si="144"/>
        <v>4208.5613123902995</v>
      </c>
      <c r="R169" s="2">
        <f t="shared" si="123"/>
        <v>1026177.5927731297</v>
      </c>
      <c r="S169">
        <f t="shared" si="145"/>
        <v>1013.0042412414322</v>
      </c>
      <c r="T169" s="6">
        <f t="shared" si="146"/>
        <v>1985.4883128332069</v>
      </c>
      <c r="V169" s="13">
        <f t="shared" si="147"/>
        <v>12651.288585790298</v>
      </c>
      <c r="W169">
        <f t="shared" si="148"/>
        <v>1078904.0100803296</v>
      </c>
      <c r="X169">
        <f t="shared" si="149"/>
        <v>1038.703042298582</v>
      </c>
      <c r="Y169" s="6">
        <f t="shared" si="150"/>
        <v>2035.8579629052206</v>
      </c>
      <c r="Z169" s="14">
        <f t="shared" si="151"/>
        <v>8.2102549100431924E-2</v>
      </c>
      <c r="AA169" s="14"/>
    </row>
    <row r="170" spans="1:27" x14ac:dyDescent="0.25">
      <c r="A170" t="str">
        <f>'rockfish harvests'!A169</f>
        <v>SC</v>
      </c>
      <c r="B170">
        <f>'rockfish harvests'!B169</f>
        <v>2015</v>
      </c>
      <c r="C170" t="str">
        <f>'rockfish harvests'!C169</f>
        <v>NORTHEAS</v>
      </c>
      <c r="D170">
        <f>'rockfish harvests'!D169</f>
        <v>12377</v>
      </c>
      <c r="E170">
        <v>11799</v>
      </c>
      <c r="F170" s="91">
        <v>0.699029126</v>
      </c>
      <c r="G170" s="91">
        <v>2.0626220000000001E-3</v>
      </c>
      <c r="H170" s="7">
        <f t="shared" si="140"/>
        <v>8247.8446576740007</v>
      </c>
      <c r="I170">
        <f t="shared" si="141"/>
        <v>287150.81146342203</v>
      </c>
      <c r="J170">
        <f t="shared" si="142"/>
        <v>535.86454581677822</v>
      </c>
      <c r="K170" s="6">
        <f t="shared" si="143"/>
        <v>1050.2945098008852</v>
      </c>
      <c r="M170" s="2">
        <f>'rockfish harvests'!O169</f>
        <v>10776.477406902814</v>
      </c>
      <c r="N170">
        <f>'rockfish harvests'!P169</f>
        <v>10110394.020791385</v>
      </c>
      <c r="O170" s="91">
        <v>0.73157894700000003</v>
      </c>
      <c r="P170" s="91">
        <v>5.1813E-4</v>
      </c>
      <c r="Q170" s="13">
        <f t="shared" si="144"/>
        <v>7883.8439937112516</v>
      </c>
      <c r="R170" s="2">
        <f t="shared" si="123"/>
        <v>5466094.5088387094</v>
      </c>
      <c r="S170">
        <f t="shared" si="145"/>
        <v>2337.9680299009028</v>
      </c>
      <c r="T170" s="6">
        <f t="shared" si="146"/>
        <v>4582.4173386057691</v>
      </c>
      <c r="V170" s="13">
        <f t="shared" si="147"/>
        <v>16131.688651385251</v>
      </c>
      <c r="W170">
        <f t="shared" si="148"/>
        <v>5753245.3203021316</v>
      </c>
      <c r="X170">
        <f t="shared" si="149"/>
        <v>2398.5923622621103</v>
      </c>
      <c r="Y170" s="6">
        <f t="shared" si="150"/>
        <v>4701.241030033736</v>
      </c>
      <c r="Z170" s="14">
        <f t="shared" si="151"/>
        <v>0.14868823804482117</v>
      </c>
      <c r="AA170" s="14"/>
    </row>
    <row r="171" spans="1:27" x14ac:dyDescent="0.25">
      <c r="A171" t="str">
        <f>'rockfish harvests'!A170</f>
        <v>SC</v>
      </c>
      <c r="B171">
        <f>'rockfish harvests'!B170</f>
        <v>2016</v>
      </c>
      <c r="C171" t="str">
        <f>'rockfish harvests'!C170</f>
        <v>NORTHEAS</v>
      </c>
      <c r="D171">
        <f>'rockfish harvests'!D170</f>
        <v>13580</v>
      </c>
      <c r="E171">
        <v>12861</v>
      </c>
      <c r="F171" s="91">
        <v>0.54517134</v>
      </c>
      <c r="G171" s="91">
        <v>7.7487400000000005E-4</v>
      </c>
      <c r="H171" s="7">
        <f t="shared" si="140"/>
        <v>7011.4486037400002</v>
      </c>
      <c r="I171">
        <f t="shared" si="141"/>
        <v>128168.282704554</v>
      </c>
      <c r="J171">
        <f t="shared" si="142"/>
        <v>358.00598138097359</v>
      </c>
      <c r="K171" s="6">
        <f t="shared" si="143"/>
        <v>701.69172350670829</v>
      </c>
      <c r="M171" s="2">
        <f>'rockfish harvests'!O170</f>
        <v>14147.366319691999</v>
      </c>
      <c r="N171">
        <f>'rockfish harvests'!P170</f>
        <v>22590691.391820997</v>
      </c>
      <c r="O171" s="91">
        <v>0.83437499999999998</v>
      </c>
      <c r="P171" s="91">
        <v>4.3320799999999998E-4</v>
      </c>
      <c r="Q171" s="13">
        <f t="shared" si="144"/>
        <v>11804.208772993012</v>
      </c>
      <c r="R171" s="2">
        <f t="shared" si="123"/>
        <v>15804143.831201363</v>
      </c>
      <c r="S171">
        <f t="shared" si="145"/>
        <v>3975.4425956365367</v>
      </c>
      <c r="T171" s="6">
        <f t="shared" si="146"/>
        <v>7791.8674874476119</v>
      </c>
      <c r="V171" s="13">
        <f t="shared" si="147"/>
        <v>18815.657376733012</v>
      </c>
      <c r="W171">
        <f t="shared" si="148"/>
        <v>15932312.113905918</v>
      </c>
      <c r="X171">
        <f t="shared" si="149"/>
        <v>3991.5300467246789</v>
      </c>
      <c r="Y171" s="6">
        <f t="shared" si="150"/>
        <v>7823.3988915803702</v>
      </c>
      <c r="Z171" s="14">
        <f t="shared" si="151"/>
        <v>0.21213875055253231</v>
      </c>
      <c r="AA171" s="14"/>
    </row>
    <row r="172" spans="1:27" x14ac:dyDescent="0.25">
      <c r="A172" t="str">
        <f>'rockfish harvests'!A171</f>
        <v>SC</v>
      </c>
      <c r="B172">
        <f>'rockfish harvests'!B171</f>
        <v>2017</v>
      </c>
      <c r="C172" t="str">
        <f>'rockfish harvests'!C171</f>
        <v>NORTHEAS</v>
      </c>
      <c r="D172">
        <f>'rockfish harvests'!D171</f>
        <v>6719</v>
      </c>
      <c r="E172">
        <v>6478</v>
      </c>
      <c r="F172" s="91">
        <v>0.62343096200000003</v>
      </c>
      <c r="G172" s="91">
        <v>9.8640699999999991E-4</v>
      </c>
      <c r="H172" s="7">
        <f t="shared" si="140"/>
        <v>4038.5857718360003</v>
      </c>
      <c r="I172">
        <f t="shared" si="141"/>
        <v>41394.060768987998</v>
      </c>
      <c r="J172">
        <f t="shared" si="142"/>
        <v>203.45530410630241</v>
      </c>
      <c r="K172" s="6">
        <f t="shared" si="143"/>
        <v>398.77239604835273</v>
      </c>
      <c r="M172" s="2">
        <f>'rockfish harvests'!O171</f>
        <v>3758.2825709322533</v>
      </c>
      <c r="N172">
        <f>'rockfish harvests'!P171</f>
        <v>1035822.3149322054</v>
      </c>
      <c r="O172" s="91">
        <v>0.712121212</v>
      </c>
      <c r="P172" s="91">
        <v>6.2311400000000002E-4</v>
      </c>
      <c r="Q172" s="13">
        <f t="shared" si="144"/>
        <v>2676.3527394507523</v>
      </c>
      <c r="R172" s="2">
        <f t="shared" si="123"/>
        <v>533438.5672496981</v>
      </c>
      <c r="S172">
        <f t="shared" si="145"/>
        <v>730.36878852378277</v>
      </c>
      <c r="T172" s="6">
        <f t="shared" si="146"/>
        <v>1431.5228255066143</v>
      </c>
      <c r="V172" s="13">
        <f t="shared" si="147"/>
        <v>6714.9385112867531</v>
      </c>
      <c r="W172">
        <f t="shared" si="148"/>
        <v>574832.62801868608</v>
      </c>
      <c r="X172">
        <f t="shared" si="149"/>
        <v>758.17717455663762</v>
      </c>
      <c r="Y172" s="6">
        <f t="shared" si="150"/>
        <v>1486.0272621310098</v>
      </c>
      <c r="Z172" s="14">
        <f t="shared" si="151"/>
        <v>0.11290902713141175</v>
      </c>
      <c r="AA172" s="14"/>
    </row>
    <row r="173" spans="1:27" x14ac:dyDescent="0.25">
      <c r="A173" t="str">
        <f>'rockfish harvests'!A172</f>
        <v>SC</v>
      </c>
      <c r="B173">
        <f>'rockfish harvests'!B172</f>
        <v>2018</v>
      </c>
      <c r="C173" t="str">
        <f>'rockfish harvests'!C172</f>
        <v>NORTHEAS</v>
      </c>
      <c r="D173">
        <f>'rockfish harvests'!D172</f>
        <v>8479</v>
      </c>
      <c r="E173">
        <v>8163</v>
      </c>
      <c r="F173" s="91">
        <v>0.75075075099999999</v>
      </c>
      <c r="G173" s="91">
        <v>5.6362700000000003E-4</v>
      </c>
      <c r="H173" s="7">
        <f t="shared" si="140"/>
        <v>6128.3783804129998</v>
      </c>
      <c r="I173">
        <f t="shared" si="141"/>
        <v>37557.042221763004</v>
      </c>
      <c r="J173">
        <f t="shared" si="142"/>
        <v>193.79639372744532</v>
      </c>
      <c r="K173" s="6">
        <f t="shared" si="143"/>
        <v>379.8409317057928</v>
      </c>
      <c r="M173" s="2">
        <f>'rockfish harvests'!O172</f>
        <v>8690.7789084181313</v>
      </c>
      <c r="N173">
        <f>'rockfish harvests'!P172</f>
        <v>6090869.3085533688</v>
      </c>
      <c r="O173" s="91">
        <v>0.75919732399999995</v>
      </c>
      <c r="P173" s="91">
        <v>6.13479E-4</v>
      </c>
      <c r="Q173" s="13">
        <f t="shared" si="144"/>
        <v>6598.0160907466861</v>
      </c>
      <c r="R173" s="2">
        <f t="shared" si="123"/>
        <v>3553257.9914866695</v>
      </c>
      <c r="S173">
        <f t="shared" si="145"/>
        <v>1885.0087510371588</v>
      </c>
      <c r="T173" s="6">
        <f t="shared" si="146"/>
        <v>3694.6171520328312</v>
      </c>
      <c r="V173" s="13">
        <f t="shared" si="147"/>
        <v>12726.394471159685</v>
      </c>
      <c r="W173">
        <f t="shared" si="148"/>
        <v>3590815.0337084327</v>
      </c>
      <c r="X173">
        <f t="shared" si="149"/>
        <v>1894.9445991132386</v>
      </c>
      <c r="Y173" s="6">
        <f t="shared" si="150"/>
        <v>3714.0914142619476</v>
      </c>
      <c r="Z173" s="14">
        <f t="shared" si="151"/>
        <v>0.14889877910098781</v>
      </c>
      <c r="AA173" s="14"/>
    </row>
    <row r="174" spans="1:27" x14ac:dyDescent="0.25">
      <c r="A174" t="str">
        <f>'rockfish harvests'!A173</f>
        <v>SC</v>
      </c>
      <c r="B174">
        <f>'rockfish harvests'!B173</f>
        <v>2019</v>
      </c>
      <c r="C174" t="str">
        <f>'rockfish harvests'!C173</f>
        <v>NORTHEAS</v>
      </c>
      <c r="D174">
        <f>'rockfish harvests'!D173</f>
        <v>9881</v>
      </c>
      <c r="E174">
        <v>9446</v>
      </c>
      <c r="F174" s="91">
        <v>0.792626728</v>
      </c>
      <c r="G174" s="91">
        <v>7.6097000000000003E-4</v>
      </c>
      <c r="H174" s="7">
        <f>E174*F174</f>
        <v>7487.1520726879999</v>
      </c>
      <c r="I174">
        <f>(E174^2)*G174</f>
        <v>67899.006268519996</v>
      </c>
      <c r="J174">
        <f>SQRT(I174)</f>
        <v>260.57437761322581</v>
      </c>
      <c r="K174" s="6">
        <f>(1.96*J174)</f>
        <v>510.72578012192258</v>
      </c>
      <c r="M174" s="2">
        <f>'rockfish harvests'!O173</f>
        <v>10303.660072182862</v>
      </c>
      <c r="N174">
        <f>'rockfish harvests'!P173</f>
        <v>5030013.8598571327</v>
      </c>
      <c r="O174" s="91">
        <v>0.78749999999999998</v>
      </c>
      <c r="P174" s="91">
        <v>7.0018299999999995E-4</v>
      </c>
      <c r="Q174" s="13">
        <f>M174*O174</f>
        <v>8114.1323068440033</v>
      </c>
      <c r="R174" s="2">
        <f>(M174^2)*P174+(O174^2)*N174-(P174*N174)</f>
        <v>3190207.8184709465</v>
      </c>
      <c r="S174">
        <f>SQRT(R174)</f>
        <v>1786.1152870044382</v>
      </c>
      <c r="T174" s="6">
        <f>(1.96*S174)</f>
        <v>3500.7859625286987</v>
      </c>
      <c r="V174" s="13">
        <f>Q174+H174</f>
        <v>15601.284379532004</v>
      </c>
      <c r="W174">
        <f>R174+I174</f>
        <v>3258106.8247394664</v>
      </c>
      <c r="X174">
        <f>SQRT(W174)</f>
        <v>1805.022665990504</v>
      </c>
      <c r="Y174" s="6">
        <f>(1.96*X174)</f>
        <v>3537.8444253413877</v>
      </c>
      <c r="Z174" s="14">
        <f t="shared" si="151"/>
        <v>0.11569705558079506</v>
      </c>
      <c r="AA174" s="14"/>
    </row>
    <row r="175" spans="1:27" x14ac:dyDescent="0.25">
      <c r="A175" t="str">
        <f>'rockfish harvests'!A174</f>
        <v>SC</v>
      </c>
      <c r="B175">
        <f>'rockfish harvests'!B174</f>
        <v>2020</v>
      </c>
      <c r="C175" t="str">
        <f>'rockfish harvests'!C174</f>
        <v>NORTHEAS</v>
      </c>
      <c r="D175">
        <f>'rockfish harvests'!D174</f>
        <v>4479</v>
      </c>
      <c r="E175">
        <v>4183</v>
      </c>
      <c r="F175" s="91">
        <v>0.743243243</v>
      </c>
      <c r="G175" s="91">
        <v>2.6141469999999998E-3</v>
      </c>
      <c r="H175" s="7">
        <f t="shared" ref="H175:H176" si="174">E175*F175</f>
        <v>3108.9864854689999</v>
      </c>
      <c r="I175">
        <f t="shared" ref="I175:I176" si="175">(E175^2)*G175</f>
        <v>45741.008376882994</v>
      </c>
      <c r="J175">
        <f t="shared" ref="J175:J177" si="176">SQRT(I175)</f>
        <v>213.87147630500658</v>
      </c>
      <c r="K175" s="6">
        <f t="shared" ref="K175:K177" si="177">(1.96*J175)</f>
        <v>419.18809355781292</v>
      </c>
      <c r="M175" s="2">
        <f>'rockfish harvests'!O174</f>
        <v>5425.9695845697333</v>
      </c>
      <c r="N175">
        <f>'rockfish harvests'!P174</f>
        <v>2642689.7102351333</v>
      </c>
      <c r="O175" s="91">
        <v>0.72222222199999997</v>
      </c>
      <c r="P175" s="91">
        <v>1.8749280000000001E-3</v>
      </c>
      <c r="Q175" s="13">
        <f t="shared" ref="Q175:Q176" si="178">M175*O175</f>
        <v>3918.7558098723694</v>
      </c>
      <c r="R175" s="2">
        <f t="shared" ref="R175:R176" si="179">(M175^2)*P175+(O175^2)*N175-(P175*N175)</f>
        <v>1428685.1782581597</v>
      </c>
      <c r="S175">
        <f t="shared" ref="S175:S177" si="180">SQRT(R175)</f>
        <v>1195.2761932951562</v>
      </c>
      <c r="T175" s="6">
        <f t="shared" ref="T175:T177" si="181">(1.96*S175)</f>
        <v>2342.741338858506</v>
      </c>
      <c r="V175" s="13">
        <f t="shared" ref="V175:V176" si="182">Q175+H175</f>
        <v>7027.7422953413698</v>
      </c>
      <c r="W175">
        <f t="shared" ref="W175:W176" si="183">R175+I175</f>
        <v>1474426.1866350425</v>
      </c>
      <c r="X175">
        <f t="shared" ref="X175:X176" si="184">SQRT(W175)</f>
        <v>1214.2595219453881</v>
      </c>
      <c r="Y175" s="6">
        <f t="shared" ref="Y175:Y176" si="185">(1.96*X175)</f>
        <v>2379.9486630129604</v>
      </c>
      <c r="Z175" s="14">
        <f t="shared" ref="Z175:Z176" si="186">X175/V175</f>
        <v>0.17278088337847994</v>
      </c>
      <c r="AA175" s="14"/>
    </row>
    <row r="176" spans="1:27" x14ac:dyDescent="0.25">
      <c r="A176" t="str">
        <f>'rockfish harvests'!A175</f>
        <v>SC</v>
      </c>
      <c r="B176">
        <f>'rockfish harvests'!B175</f>
        <v>2021</v>
      </c>
      <c r="C176" t="str">
        <f>'rockfish harvests'!C175</f>
        <v>NORTHEAS</v>
      </c>
      <c r="D176">
        <f>'rockfish harvests'!D175</f>
        <v>9680</v>
      </c>
      <c r="E176">
        <v>8979</v>
      </c>
      <c r="F176" s="91">
        <v>0.89789789799999997</v>
      </c>
      <c r="G176" s="91">
        <v>2.7613600000000001E-4</v>
      </c>
      <c r="H176" s="7">
        <f t="shared" si="174"/>
        <v>8062.2252261419999</v>
      </c>
      <c r="I176">
        <f t="shared" si="175"/>
        <v>22262.758367976003</v>
      </c>
      <c r="J176">
        <f t="shared" si="176"/>
        <v>149.20709891950852</v>
      </c>
      <c r="K176" s="6">
        <f t="shared" si="177"/>
        <v>292.44591388223671</v>
      </c>
      <c r="M176" s="2">
        <f>'rockfish harvests'!O175</f>
        <v>6922.7471252241812</v>
      </c>
      <c r="N176">
        <f>'rockfish harvests'!P175</f>
        <v>2666714.9901529583</v>
      </c>
      <c r="O176" s="91">
        <v>0.89705882400000003</v>
      </c>
      <c r="P176" s="91">
        <v>4.5489800000000002E-4</v>
      </c>
      <c r="Q176" s="13">
        <f t="shared" si="178"/>
        <v>6210.1113950029849</v>
      </c>
      <c r="R176" s="2">
        <f t="shared" si="179"/>
        <v>2166531.9528785939</v>
      </c>
      <c r="S176">
        <f t="shared" si="180"/>
        <v>1471.9143836781384</v>
      </c>
      <c r="T176" s="6">
        <f t="shared" si="181"/>
        <v>2884.9521920091511</v>
      </c>
      <c r="V176" s="13">
        <f t="shared" si="182"/>
        <v>14272.336621144985</v>
      </c>
      <c r="W176">
        <f t="shared" si="183"/>
        <v>2188794.7112465701</v>
      </c>
      <c r="X176">
        <f t="shared" si="184"/>
        <v>1479.4575733175218</v>
      </c>
      <c r="Y176" s="6">
        <f t="shared" si="185"/>
        <v>2899.7368437023429</v>
      </c>
      <c r="Z176" s="14">
        <f t="shared" si="186"/>
        <v>0.10365910029936175</v>
      </c>
      <c r="AA176" s="14"/>
    </row>
    <row r="177" spans="1:27" s="51" customFormat="1" x14ac:dyDescent="0.25">
      <c r="A177" s="51" t="s">
        <v>81</v>
      </c>
      <c r="B177" s="51">
        <v>2022</v>
      </c>
      <c r="C177" s="51" t="s">
        <v>50</v>
      </c>
      <c r="D177">
        <f>'rockfish harvests'!D176</f>
        <v>10973</v>
      </c>
      <c r="E177" s="6">
        <v>10351</v>
      </c>
      <c r="F177" s="91">
        <v>0.905511811</v>
      </c>
      <c r="G177" s="91">
        <v>6.7904900000000004E-4</v>
      </c>
      <c r="H177" s="7">
        <f t="shared" ref="H177" si="187">E177*F177</f>
        <v>9372.9527556609992</v>
      </c>
      <c r="I177">
        <f t="shared" ref="I177" si="188">(E177^2)*G177</f>
        <v>72755.48349584901</v>
      </c>
      <c r="J177">
        <f t="shared" si="176"/>
        <v>269.73224407891803</v>
      </c>
      <c r="K177" s="6">
        <f t="shared" si="177"/>
        <v>528.67519839467934</v>
      </c>
      <c r="M177" s="2">
        <f>'rockfish harvests'!O176</f>
        <v>3514.0968005724208</v>
      </c>
      <c r="N177">
        <f>'rockfish harvests'!P176</f>
        <v>1054686.774762708</v>
      </c>
      <c r="O177" s="91">
        <v>0.946428571</v>
      </c>
      <c r="P177" s="91">
        <v>4.5677100000000002E-4</v>
      </c>
      <c r="Q177" s="13">
        <f t="shared" ref="Q177" si="189">M177*O177</f>
        <v>3325.8416133214282</v>
      </c>
      <c r="R177" s="2">
        <f t="shared" ref="R177" si="190">(M177^2)*P177+(O177^2)*N177-(P177*N177)</f>
        <v>949870.32114522858</v>
      </c>
      <c r="S177">
        <f t="shared" si="180"/>
        <v>974.61290836168826</v>
      </c>
      <c r="T177" s="6">
        <f t="shared" si="181"/>
        <v>1910.2413003889089</v>
      </c>
      <c r="V177" s="13">
        <f t="shared" ref="V177" si="191">Q177+H177</f>
        <v>12698.794368982428</v>
      </c>
      <c r="W177">
        <f t="shared" ref="W177" si="192">R177+I177</f>
        <v>1022625.8046410775</v>
      </c>
      <c r="X177">
        <f t="shared" ref="X177" si="193">SQRT(W177)</f>
        <v>1011.249625286001</v>
      </c>
      <c r="Y177" s="6">
        <f t="shared" ref="Y177" si="194">(1.96*X177)</f>
        <v>1982.0492655605619</v>
      </c>
      <c r="Z177" s="14">
        <f t="shared" ref="Z177" si="195">X177/V177</f>
        <v>7.9633514481976281E-2</v>
      </c>
      <c r="AA177" s="79"/>
    </row>
    <row r="178" spans="1:27" x14ac:dyDescent="0.25">
      <c r="A178" t="str">
        <f>'rockfish harvests'!A177</f>
        <v>SC</v>
      </c>
      <c r="B178">
        <f>'rockfish harvests'!B177</f>
        <v>1998</v>
      </c>
      <c r="C178" t="str">
        <f>'rockfish harvests'!C177</f>
        <v>PWSI</v>
      </c>
      <c r="D178">
        <f>'rockfish harvests'!D177</f>
        <v>3821</v>
      </c>
      <c r="E178">
        <v>2098</v>
      </c>
      <c r="F178">
        <f>IF([1]species_comp_Region2_forR!$G277&gt;49,[1]species_comp_Region2_forR!$AD277,[1]species_comp_Region2_forR!$AF277)</f>
        <v>0.95776085700000002</v>
      </c>
      <c r="G178">
        <f>IF([1]species_comp_Region2_forR!$G277&gt;49,[1]species_comp_Region2_forR!$AE277,[1]species_comp_Region2_forR!$AG277)</f>
        <v>5.3939999999999999E-4</v>
      </c>
      <c r="H178" s="7">
        <f t="shared" si="140"/>
        <v>2009.382277986</v>
      </c>
      <c r="I178">
        <f t="shared" si="141"/>
        <v>2374.2251975999998</v>
      </c>
      <c r="J178">
        <f t="shared" si="142"/>
        <v>48.726021770713025</v>
      </c>
      <c r="K178" s="6">
        <f t="shared" si="143"/>
        <v>95.503002670597525</v>
      </c>
      <c r="M178" s="2">
        <f>'rockfish harvests'!O177</f>
        <v>9768.3550806147941</v>
      </c>
      <c r="N178">
        <f>'rockfish harvests'!P177</f>
        <v>8755809.3695013113</v>
      </c>
      <c r="O178" s="32">
        <v>0.38628944900000001</v>
      </c>
      <c r="P178" s="32">
        <v>3.9408665000000002E-2</v>
      </c>
      <c r="Q178" s="13">
        <f t="shared" si="144"/>
        <v>3773.4125017270394</v>
      </c>
      <c r="R178" s="2">
        <f t="shared" si="123"/>
        <v>4721887.8778094556</v>
      </c>
      <c r="S178">
        <f t="shared" si="145"/>
        <v>2172.9905379015013</v>
      </c>
      <c r="T178" s="6">
        <f t="shared" si="146"/>
        <v>4259.0614542869425</v>
      </c>
      <c r="V178" s="13">
        <f t="shared" si="147"/>
        <v>5782.7947797130391</v>
      </c>
      <c r="W178">
        <f t="shared" si="148"/>
        <v>4724262.1030070558</v>
      </c>
      <c r="X178">
        <f t="shared" si="149"/>
        <v>2173.5367728674514</v>
      </c>
      <c r="Y178" s="6">
        <f t="shared" si="150"/>
        <v>4260.1320748202043</v>
      </c>
      <c r="Z178" s="14">
        <f>X178/V178</f>
        <v>0.37586268502775905</v>
      </c>
    </row>
    <row r="179" spans="1:27" x14ac:dyDescent="0.25">
      <c r="A179" t="str">
        <f>'rockfish harvests'!A178</f>
        <v>SC</v>
      </c>
      <c r="B179">
        <f>'rockfish harvests'!B178</f>
        <v>1999</v>
      </c>
      <c r="C179" t="str">
        <f>'rockfish harvests'!C178</f>
        <v>PWSI</v>
      </c>
      <c r="D179">
        <f>'rockfish harvests'!D178</f>
        <v>4514</v>
      </c>
      <c r="E179">
        <v>2609</v>
      </c>
      <c r="F179">
        <f>IF([1]species_comp_Region2_forR!$G278&gt;49,[1]species_comp_Region2_forR!$AD278,[1]species_comp_Region2_forR!$AF278)</f>
        <v>0.93727304600000005</v>
      </c>
      <c r="G179">
        <f>IF([1]species_comp_Region2_forR!$G278&gt;49,[1]species_comp_Region2_forR!$AE278,[1]species_comp_Region2_forR!$AG278)</f>
        <v>4.70338E-4</v>
      </c>
      <c r="H179" s="7">
        <f t="shared" si="140"/>
        <v>2445.345377014</v>
      </c>
      <c r="I179">
        <f t="shared" si="141"/>
        <v>3201.534795778</v>
      </c>
      <c r="J179">
        <f t="shared" si="142"/>
        <v>56.582106674972785</v>
      </c>
      <c r="K179" s="6">
        <f t="shared" si="143"/>
        <v>110.90092908294666</v>
      </c>
      <c r="M179" s="2">
        <f>'rockfish harvests'!O178</f>
        <v>11540.003882202349</v>
      </c>
      <c r="N179">
        <f>'rockfish harvests'!P178</f>
        <v>12219834.714956973</v>
      </c>
      <c r="O179">
        <f>IF([1]species_comp_Region2_forR!$D305&gt;49,[1]species_comp_Region2_forR!$N305,[1]species_comp_Region2_forR!$P305)</f>
        <v>0.45590863100000001</v>
      </c>
      <c r="P179">
        <f>IF([1]species_comp_Region2_forR!$D305&gt;49,[1]species_comp_Region2_forR!$O305,[1]species_comp_Region2_forR!$Q305)</f>
        <v>1.2852639999999999E-3</v>
      </c>
      <c r="Q179" s="13">
        <f t="shared" si="144"/>
        <v>5261.1873716695582</v>
      </c>
      <c r="R179" s="2">
        <f t="shared" si="123"/>
        <v>2695380.4572834377</v>
      </c>
      <c r="S179">
        <f t="shared" si="145"/>
        <v>1641.7613886565362</v>
      </c>
      <c r="T179" s="6">
        <f t="shared" si="146"/>
        <v>3217.8523217668107</v>
      </c>
      <c r="V179" s="13">
        <f t="shared" si="147"/>
        <v>7706.5327486835577</v>
      </c>
      <c r="W179">
        <f t="shared" si="148"/>
        <v>2698581.9920792156</v>
      </c>
      <c r="X179">
        <f t="shared" si="149"/>
        <v>1642.7361297783693</v>
      </c>
      <c r="Y179" s="6">
        <f t="shared" si="150"/>
        <v>3219.7628143656038</v>
      </c>
      <c r="Z179" s="14">
        <f t="shared" ref="Z179:Z199" si="196">X179/V179</f>
        <v>0.2131615063932589</v>
      </c>
    </row>
    <row r="180" spans="1:27" x14ac:dyDescent="0.25">
      <c r="A180" t="str">
        <f>'rockfish harvests'!A179</f>
        <v>SC</v>
      </c>
      <c r="B180">
        <f>'rockfish harvests'!B179</f>
        <v>2000</v>
      </c>
      <c r="C180" t="str">
        <f>'rockfish harvests'!C179</f>
        <v>PWSI</v>
      </c>
      <c r="D180">
        <f>'rockfish harvests'!D179</f>
        <v>6011</v>
      </c>
      <c r="E180">
        <v>3391</v>
      </c>
      <c r="F180">
        <f>IF([1]species_comp_Region2_forR!$G279&gt;49,[1]species_comp_Region2_forR!$AD279,[1]species_comp_Region2_forR!$AF279)</f>
        <v>0.69376139599999997</v>
      </c>
      <c r="G180">
        <f>IF([1]species_comp_Region2_forR!$G279&gt;49,[1]species_comp_Region2_forR!$AE279,[1]species_comp_Region2_forR!$AG279)</f>
        <v>1.6728859999999999E-3</v>
      </c>
      <c r="H180" s="7">
        <f t="shared" si="140"/>
        <v>2352.544893836</v>
      </c>
      <c r="I180">
        <f t="shared" si="141"/>
        <v>19236.317040565998</v>
      </c>
      <c r="J180">
        <f t="shared" si="142"/>
        <v>138.69505052656348</v>
      </c>
      <c r="K180" s="6">
        <f t="shared" si="143"/>
        <v>271.84229903206443</v>
      </c>
      <c r="M180" s="2">
        <f>'rockfish harvests'!O179</f>
        <v>15367.072072644733</v>
      </c>
      <c r="N180">
        <f>'rockfish harvests'!P179</f>
        <v>21668840.765019432</v>
      </c>
      <c r="O180">
        <f>IF([1]species_comp_Region2_forR!$D306&gt;49,[1]species_comp_Region2_forR!$N306,[1]species_comp_Region2_forR!$P306)</f>
        <v>0.64025618200000001</v>
      </c>
      <c r="P180">
        <f>IF([1]species_comp_Region2_forR!$D306&gt;49,[1]species_comp_Region2_forR!$O306,[1]species_comp_Region2_forR!$Q306)</f>
        <v>1.3086829999999999E-3</v>
      </c>
      <c r="Q180" s="13">
        <f t="shared" si="144"/>
        <v>9838.8628937503436</v>
      </c>
      <c r="R180" s="2">
        <f t="shared" si="123"/>
        <v>9163347.8885169439</v>
      </c>
      <c r="S180">
        <f t="shared" si="145"/>
        <v>3027.1022263076852</v>
      </c>
      <c r="T180" s="6">
        <f t="shared" si="146"/>
        <v>5933.1203635630627</v>
      </c>
      <c r="V180" s="13">
        <f t="shared" si="147"/>
        <v>12191.407787586344</v>
      </c>
      <c r="W180">
        <f t="shared" si="148"/>
        <v>9182584.2055575103</v>
      </c>
      <c r="X180">
        <f t="shared" si="149"/>
        <v>3030.2779089643759</v>
      </c>
      <c r="Y180" s="6">
        <f t="shared" si="150"/>
        <v>5939.3447015701768</v>
      </c>
      <c r="Z180" s="14">
        <f t="shared" si="196"/>
        <v>0.24855848986118695</v>
      </c>
    </row>
    <row r="181" spans="1:27" x14ac:dyDescent="0.25">
      <c r="A181" t="str">
        <f>'rockfish harvests'!A180</f>
        <v>SC</v>
      </c>
      <c r="B181">
        <f>'rockfish harvests'!B180</f>
        <v>2001</v>
      </c>
      <c r="C181" t="str">
        <f>'rockfish harvests'!C180</f>
        <v>PWSI</v>
      </c>
      <c r="D181">
        <f>'rockfish harvests'!D180</f>
        <v>7036</v>
      </c>
      <c r="E181">
        <v>4209</v>
      </c>
      <c r="F181">
        <f>IF([1]species_comp_Region2_forR!$G280&gt;49,[1]species_comp_Region2_forR!$AD280,[1]species_comp_Region2_forR!$AF280)</f>
        <v>0.84953667499999996</v>
      </c>
      <c r="G181">
        <f>IF([1]species_comp_Region2_forR!$G280&gt;49,[1]species_comp_Region2_forR!$AE280,[1]species_comp_Region2_forR!$AG280)</f>
        <v>1.3177740000000001E-3</v>
      </c>
      <c r="H181" s="7">
        <f t="shared" si="140"/>
        <v>3575.6998650749997</v>
      </c>
      <c r="I181">
        <f t="shared" si="141"/>
        <v>23345.263814094</v>
      </c>
      <c r="J181">
        <f t="shared" si="142"/>
        <v>152.79156983974607</v>
      </c>
      <c r="K181" s="6">
        <f t="shared" si="143"/>
        <v>299.47147688590229</v>
      </c>
      <c r="M181" s="2">
        <f>'rockfish harvests'!O180</f>
        <v>17987.476144256918</v>
      </c>
      <c r="N181">
        <f>'rockfish harvests'!P180</f>
        <v>29688884.747428846</v>
      </c>
      <c r="O181">
        <f>IF([1]species_comp_Region2_forR!$D307&gt;49,[1]species_comp_Region2_forR!$N307,[1]species_comp_Region2_forR!$P307)</f>
        <v>6.4680016000000007E-2</v>
      </c>
      <c r="P181">
        <f>IF([1]species_comp_Region2_forR!$D307&gt;49,[1]species_comp_Region2_forR!$O307,[1]species_comp_Region2_forR!$Q307)</f>
        <v>2.49986E-4</v>
      </c>
      <c r="Q181" s="13">
        <f t="shared" ref="Q181:Q223" si="197">M181*O181</f>
        <v>1163.430244810156</v>
      </c>
      <c r="R181" s="2">
        <f t="shared" si="123"/>
        <v>197664.57132047534</v>
      </c>
      <c r="S181">
        <f t="shared" si="145"/>
        <v>444.59483951174616</v>
      </c>
      <c r="T181" s="6">
        <f t="shared" si="146"/>
        <v>871.4058854430225</v>
      </c>
      <c r="V181" s="13">
        <f t="shared" ref="V181:V223" si="198">Q181+H181</f>
        <v>4739.1301098851554</v>
      </c>
      <c r="W181">
        <f t="shared" ref="W181:W223" si="199">R181+I181</f>
        <v>221009.83513456935</v>
      </c>
      <c r="X181">
        <f t="shared" si="149"/>
        <v>470.11683136702237</v>
      </c>
      <c r="Y181" s="6">
        <f t="shared" si="150"/>
        <v>921.42898947936385</v>
      </c>
      <c r="Z181" s="14">
        <f t="shared" si="196"/>
        <v>9.9198971217613355E-2</v>
      </c>
    </row>
    <row r="182" spans="1:27" x14ac:dyDescent="0.25">
      <c r="A182" t="str">
        <f>'rockfish harvests'!A181</f>
        <v>SC</v>
      </c>
      <c r="B182">
        <f>'rockfish harvests'!B181</f>
        <v>2002</v>
      </c>
      <c r="C182" t="str">
        <f>'rockfish harvests'!C181</f>
        <v>PWSI</v>
      </c>
      <c r="D182">
        <f>'rockfish harvests'!D181</f>
        <v>7398</v>
      </c>
      <c r="E182">
        <v>4880</v>
      </c>
      <c r="F182">
        <f>IF([1]species_comp_Region2_forR!$G281&gt;49,[1]species_comp_Region2_forR!$AD281,[1]species_comp_Region2_forR!$AF281)</f>
        <v>0.82339424400000005</v>
      </c>
      <c r="G182">
        <f>IF([1]species_comp_Region2_forR!$G281&gt;49,[1]species_comp_Region2_forR!$AE281,[1]species_comp_Region2_forR!$AG281)</f>
        <v>1.795261E-3</v>
      </c>
      <c r="H182" s="7">
        <f t="shared" ref="H182:H223" si="200">E182*F182</f>
        <v>4018.1639107200003</v>
      </c>
      <c r="I182">
        <f t="shared" si="141"/>
        <v>42753.063558399997</v>
      </c>
      <c r="J182">
        <f t="shared" ref="J182:J223" si="201">SQRT(I182)</f>
        <v>206.76813961149816</v>
      </c>
      <c r="K182" s="6">
        <f t="shared" ref="K182:K223" si="202">(1.96*J182)</f>
        <v>405.2655536385364</v>
      </c>
      <c r="M182" s="2">
        <f>'rockfish harvests'!O181</f>
        <v>18912.926167597027</v>
      </c>
      <c r="N182">
        <f>'rockfish harvests'!P181</f>
        <v>32822440.987651471</v>
      </c>
      <c r="O182">
        <f>IF([1]species_comp_Region2_forR!$D308&gt;49,[1]species_comp_Region2_forR!$N308,[1]species_comp_Region2_forR!$P308)</f>
        <v>0.26346793699999999</v>
      </c>
      <c r="P182">
        <f>IF([1]species_comp_Region2_forR!$D308&gt;49,[1]species_comp_Region2_forR!$O308,[1]species_comp_Region2_forR!$Q308)</f>
        <v>1.010691E-3</v>
      </c>
      <c r="Q182" s="13">
        <f t="shared" si="197"/>
        <v>4982.9496400101043</v>
      </c>
      <c r="R182" s="2">
        <f t="shared" si="123"/>
        <v>2606730.9427581392</v>
      </c>
      <c r="S182">
        <f t="shared" ref="S182:S223" si="203">SQRT(R182)</f>
        <v>1614.5373773183881</v>
      </c>
      <c r="T182" s="6">
        <f t="shared" ref="T182:T223" si="204">(1.96*S182)</f>
        <v>3164.4932595440405</v>
      </c>
      <c r="V182" s="13">
        <f t="shared" si="198"/>
        <v>9001.1135507301042</v>
      </c>
      <c r="W182">
        <f t="shared" si="199"/>
        <v>2649484.0063165394</v>
      </c>
      <c r="X182">
        <f t="shared" ref="X182:X223" si="205">SQRT(W182)</f>
        <v>1627.7235656942917</v>
      </c>
      <c r="Y182" s="6">
        <f t="shared" ref="Y182:Y223" si="206">(1.96*X182)</f>
        <v>3190.3381887608116</v>
      </c>
      <c r="Z182" s="14">
        <f t="shared" si="196"/>
        <v>0.1808357995397428</v>
      </c>
    </row>
    <row r="183" spans="1:27" x14ac:dyDescent="0.25">
      <c r="A183" t="str">
        <f>'rockfish harvests'!A182</f>
        <v>SC</v>
      </c>
      <c r="B183">
        <f>'rockfish harvests'!B182</f>
        <v>2003</v>
      </c>
      <c r="C183" t="str">
        <f>'rockfish harvests'!C182</f>
        <v>PWSI</v>
      </c>
      <c r="D183">
        <f>'rockfish harvests'!D182</f>
        <v>11932</v>
      </c>
      <c r="E183">
        <v>8745</v>
      </c>
      <c r="F183">
        <f>IF([1]species_comp_Region2_forR!$G282&gt;49,[1]species_comp_Region2_forR!$AD282,[1]species_comp_Region2_forR!$AF282)</f>
        <v>0.89467830500000001</v>
      </c>
      <c r="G183">
        <f>IF([1]species_comp_Region2_forR!$G282&gt;49,[1]species_comp_Region2_forR!$AE282,[1]species_comp_Region2_forR!$AG282)</f>
        <v>5.5104700000000004E-4</v>
      </c>
      <c r="H183" s="7">
        <f t="shared" si="200"/>
        <v>7823.9617772250003</v>
      </c>
      <c r="I183">
        <f t="shared" ref="I183:I223" si="207">(E183^2)*G183</f>
        <v>42141.333101175005</v>
      </c>
      <c r="J183">
        <f t="shared" si="201"/>
        <v>205.28354318155903</v>
      </c>
      <c r="K183" s="6">
        <f t="shared" si="202"/>
        <v>402.35574463585567</v>
      </c>
      <c r="M183" s="2">
        <f>'rockfish harvests'!O182</f>
        <v>30504.059885343027</v>
      </c>
      <c r="N183">
        <f>'rockfish harvests'!P182</f>
        <v>85382469.486194402</v>
      </c>
      <c r="O183">
        <f>IF([1]species_comp_Region2_forR!$D309&gt;49,[1]species_comp_Region2_forR!$N309,[1]species_comp_Region2_forR!$P309)</f>
        <v>0.57733725999999996</v>
      </c>
      <c r="P183">
        <f>IF([1]species_comp_Region2_forR!$D309&gt;49,[1]species_comp_Region2_forR!$O309,[1]species_comp_Region2_forR!$Q309)</f>
        <v>6.4384900000000005E-4</v>
      </c>
      <c r="Q183" s="13">
        <f t="shared" si="197"/>
        <v>17611.130353079858</v>
      </c>
      <c r="R183" s="2">
        <f t="shared" ref="R183:R258" si="208">(M183^2)*P183+(O183^2)*N183-(P183*N183)</f>
        <v>29003667.161519814</v>
      </c>
      <c r="S183">
        <f t="shared" si="203"/>
        <v>5385.5052837704852</v>
      </c>
      <c r="T183" s="6">
        <f t="shared" si="204"/>
        <v>10555.59035619015</v>
      </c>
      <c r="V183" s="13">
        <f t="shared" si="198"/>
        <v>25435.09213030486</v>
      </c>
      <c r="W183">
        <f t="shared" si="199"/>
        <v>29045808.49462099</v>
      </c>
      <c r="X183">
        <f t="shared" si="205"/>
        <v>5389.4163408128888</v>
      </c>
      <c r="Y183" s="6">
        <f t="shared" si="206"/>
        <v>10563.256027993262</v>
      </c>
      <c r="Z183" s="14">
        <f t="shared" si="196"/>
        <v>0.21188900410514425</v>
      </c>
    </row>
    <row r="184" spans="1:27" x14ac:dyDescent="0.25">
      <c r="A184" t="str">
        <f>'rockfish harvests'!A183</f>
        <v>SC</v>
      </c>
      <c r="B184">
        <f>'rockfish harvests'!B183</f>
        <v>2004</v>
      </c>
      <c r="C184" t="str">
        <f>'rockfish harvests'!C183</f>
        <v>PWSI</v>
      </c>
      <c r="D184">
        <f>'rockfish harvests'!D183</f>
        <v>10310</v>
      </c>
      <c r="E184">
        <v>7438</v>
      </c>
      <c r="F184">
        <f>IF([1]species_comp_Region2_forR!$G283&gt;49,[1]species_comp_Region2_forR!$AD283,[1]species_comp_Region2_forR!$AF283)</f>
        <v>0.86418368700000003</v>
      </c>
      <c r="G184">
        <f>IF([1]species_comp_Region2_forR!$G283&gt;49,[1]species_comp_Region2_forR!$AE283,[1]species_comp_Region2_forR!$AG283)</f>
        <v>5.6428000000000001E-4</v>
      </c>
      <c r="H184" s="7">
        <f t="shared" si="200"/>
        <v>6427.7982639060001</v>
      </c>
      <c r="I184">
        <f t="shared" si="207"/>
        <v>31218.138692320001</v>
      </c>
      <c r="J184">
        <f t="shared" si="201"/>
        <v>176.68655492798538</v>
      </c>
      <c r="K184" s="6">
        <f t="shared" si="202"/>
        <v>346.30564765885134</v>
      </c>
      <c r="M184" s="2">
        <f>'rockfish harvests'!O183</f>
        <v>26357.430222752817</v>
      </c>
      <c r="N184">
        <f>'rockfish harvests'!P183</f>
        <v>63746970.869564563</v>
      </c>
      <c r="O184">
        <f>IF([1]species_comp_Region2_forR!$D310&gt;49,[1]species_comp_Region2_forR!$N310,[1]species_comp_Region2_forR!$P310)</f>
        <v>0.46125918799999999</v>
      </c>
      <c r="P184">
        <f>IF([1]species_comp_Region2_forR!$D310&gt;49,[1]species_comp_Region2_forR!$O310,[1]species_comp_Region2_forR!$Q310)</f>
        <v>1.026856E-3</v>
      </c>
      <c r="Q184" s="13">
        <f t="shared" si="197"/>
        <v>12157.606862313623</v>
      </c>
      <c r="R184" s="2">
        <f t="shared" si="208"/>
        <v>14210720.388434321</v>
      </c>
      <c r="S184">
        <f t="shared" si="203"/>
        <v>3769.7109157645391</v>
      </c>
      <c r="T184" s="6">
        <f t="shared" si="204"/>
        <v>7388.6333948984966</v>
      </c>
      <c r="V184" s="13">
        <f t="shared" si="198"/>
        <v>18585.405126219623</v>
      </c>
      <c r="W184">
        <f t="shared" si="199"/>
        <v>14241938.52712664</v>
      </c>
      <c r="X184">
        <f t="shared" si="205"/>
        <v>3773.8492984122513</v>
      </c>
      <c r="Y184" s="6">
        <f t="shared" si="206"/>
        <v>7396.7446248880124</v>
      </c>
      <c r="Z184" s="14">
        <f t="shared" si="196"/>
        <v>0.20305445443792022</v>
      </c>
    </row>
    <row r="185" spans="1:27" x14ac:dyDescent="0.25">
      <c r="A185" t="str">
        <f>'rockfish harvests'!A184</f>
        <v>SC</v>
      </c>
      <c r="B185">
        <f>'rockfish harvests'!B184</f>
        <v>2005</v>
      </c>
      <c r="C185" t="str">
        <f>'rockfish harvests'!C184</f>
        <v>PWSI</v>
      </c>
      <c r="D185">
        <f>'rockfish harvests'!D184</f>
        <v>10930</v>
      </c>
      <c r="E185">
        <v>8176</v>
      </c>
      <c r="F185">
        <f>IF([1]species_comp_Region2_forR!$G284&gt;49,[1]species_comp_Region2_forR!$AD284,[1]species_comp_Region2_forR!$AF284)</f>
        <v>0.96964636800000004</v>
      </c>
      <c r="G185">
        <f>IF([1]species_comp_Region2_forR!$G284&gt;49,[1]species_comp_Region2_forR!$AE284,[1]species_comp_Region2_forR!$AG284)</f>
        <v>2.0874000000000001E-4</v>
      </c>
      <c r="H185" s="7">
        <f t="shared" si="200"/>
        <v>7927.8287047680005</v>
      </c>
      <c r="I185">
        <f t="shared" si="207"/>
        <v>13953.63777024</v>
      </c>
      <c r="J185">
        <f t="shared" si="201"/>
        <v>118.12551701575744</v>
      </c>
      <c r="K185" s="6">
        <f t="shared" si="202"/>
        <v>231.52601335088457</v>
      </c>
      <c r="M185" s="2">
        <f>'rockfish harvests'!O184</f>
        <v>27942.455124606044</v>
      </c>
      <c r="N185">
        <f>'rockfish harvests'!P184</f>
        <v>71644448.857817397</v>
      </c>
      <c r="O185">
        <f>IF([1]species_comp_Region2_forR!$D311&gt;49,[1]species_comp_Region2_forR!$N311,[1]species_comp_Region2_forR!$P311)</f>
        <v>7.200906E-3</v>
      </c>
      <c r="P185">
        <f>IF([1]species_comp_Region2_forR!$D311&gt;49,[1]species_comp_Region2_forR!$O311,[1]species_comp_Region2_forR!$Q311)</f>
        <v>2.58089E-5</v>
      </c>
      <c r="Q185" s="13">
        <f t="shared" si="197"/>
        <v>201.21099276150642</v>
      </c>
      <c r="R185" s="2">
        <f t="shared" si="208"/>
        <v>22017.012121192387</v>
      </c>
      <c r="S185">
        <f t="shared" si="203"/>
        <v>148.38130650857738</v>
      </c>
      <c r="T185" s="6">
        <f t="shared" si="204"/>
        <v>290.82736075681169</v>
      </c>
      <c r="V185" s="13">
        <f t="shared" si="198"/>
        <v>8129.0396975295071</v>
      </c>
      <c r="W185">
        <f t="shared" si="199"/>
        <v>35970.649891432389</v>
      </c>
      <c r="X185">
        <f t="shared" si="205"/>
        <v>189.65929951213147</v>
      </c>
      <c r="Y185" s="6">
        <f t="shared" si="206"/>
        <v>371.7322270437777</v>
      </c>
      <c r="Z185" s="14">
        <f t="shared" si="196"/>
        <v>2.3331082953103394E-2</v>
      </c>
    </row>
    <row r="186" spans="1:27" x14ac:dyDescent="0.25">
      <c r="A186" t="str">
        <f>'rockfish harvests'!A185</f>
        <v>SC</v>
      </c>
      <c r="B186">
        <f>'rockfish harvests'!B185</f>
        <v>2006</v>
      </c>
      <c r="C186" t="str">
        <f>'rockfish harvests'!C185</f>
        <v>PWSI</v>
      </c>
      <c r="D186">
        <f>'rockfish harvests'!D185</f>
        <v>7578</v>
      </c>
      <c r="E186">
        <v>4593</v>
      </c>
      <c r="F186">
        <f>IF([1]species_comp_Region2_forR!$G285&gt;49,[1]species_comp_Region2_forR!$AD285,[1]species_comp_Region2_forR!$AF285)</f>
        <v>0.927193457</v>
      </c>
      <c r="G186">
        <f>IF([1]species_comp_Region2_forR!$G285&gt;49,[1]species_comp_Region2_forR!$AE285,[1]species_comp_Region2_forR!$AG285)</f>
        <v>6.5539600000000004E-4</v>
      </c>
      <c r="H186" s="7">
        <f t="shared" si="200"/>
        <v>4258.5995480009997</v>
      </c>
      <c r="I186">
        <f t="shared" si="207"/>
        <v>13826.003972004</v>
      </c>
      <c r="J186">
        <f t="shared" si="201"/>
        <v>117.58402940877643</v>
      </c>
      <c r="K186" s="6">
        <f t="shared" si="202"/>
        <v>230.46469764120181</v>
      </c>
      <c r="M186" s="2">
        <f>'rockfish harvests'!O185</f>
        <v>19373.094687489898</v>
      </c>
      <c r="N186">
        <f>'rockfish harvests'!P185</f>
        <v>34439070.708155498</v>
      </c>
      <c r="O186">
        <f>IF([1]species_comp_Region2_forR!$D312&gt;49,[1]species_comp_Region2_forR!$N312,[1]species_comp_Region2_forR!$P312)</f>
        <v>0.49833717599999999</v>
      </c>
      <c r="P186">
        <f>IF([1]species_comp_Region2_forR!$D312&gt;49,[1]species_comp_Region2_forR!$O312,[1]species_comp_Region2_forR!$Q312)</f>
        <v>7.5074199999999999E-4</v>
      </c>
      <c r="Q186" s="13">
        <f t="shared" si="197"/>
        <v>9654.3332969443181</v>
      </c>
      <c r="R186" s="2">
        <f t="shared" si="208"/>
        <v>8808508.013765458</v>
      </c>
      <c r="S186">
        <f t="shared" si="203"/>
        <v>2967.9130738223212</v>
      </c>
      <c r="T186" s="6">
        <f t="shared" si="204"/>
        <v>5817.1096246917496</v>
      </c>
      <c r="V186" s="13">
        <f t="shared" si="198"/>
        <v>13912.932844945317</v>
      </c>
      <c r="W186">
        <f t="shared" si="199"/>
        <v>8822334.0177374613</v>
      </c>
      <c r="X186">
        <f t="shared" si="205"/>
        <v>2970.2414073164932</v>
      </c>
      <c r="Y186" s="6">
        <f t="shared" si="206"/>
        <v>5821.6731583403271</v>
      </c>
      <c r="Z186" s="14">
        <f t="shared" si="196"/>
        <v>0.21348779875665155</v>
      </c>
    </row>
    <row r="187" spans="1:27" x14ac:dyDescent="0.25">
      <c r="A187" t="str">
        <f>'rockfish harvests'!A186</f>
        <v>SC</v>
      </c>
      <c r="B187">
        <f>'rockfish harvests'!B186</f>
        <v>2007</v>
      </c>
      <c r="C187" t="str">
        <f>'rockfish harvests'!C186</f>
        <v>PWSI</v>
      </c>
      <c r="D187">
        <f>'rockfish harvests'!D186</f>
        <v>12404</v>
      </c>
      <c r="E187">
        <v>9289</v>
      </c>
      <c r="F187">
        <f>IF([1]species_comp_Region2_forR!$G286&gt;49,[1]species_comp_Region2_forR!$AD286,[1]species_comp_Region2_forR!$AF286)</f>
        <v>0.91921996800000005</v>
      </c>
      <c r="G187">
        <f>IF([1]species_comp_Region2_forR!$G286&gt;49,[1]species_comp_Region2_forR!$AE286,[1]species_comp_Region2_forR!$AG286)</f>
        <v>3.2855999999999998E-4</v>
      </c>
      <c r="H187" s="7">
        <f t="shared" si="200"/>
        <v>8538.6342827520002</v>
      </c>
      <c r="I187">
        <f t="shared" si="207"/>
        <v>28349.970779759999</v>
      </c>
      <c r="J187">
        <f t="shared" si="201"/>
        <v>168.37449563327576</v>
      </c>
      <c r="K187" s="6">
        <f t="shared" si="202"/>
        <v>330.01401144122048</v>
      </c>
      <c r="M187" s="2">
        <f>'rockfish harvests'!O186</f>
        <v>31710.724004173229</v>
      </c>
      <c r="N187">
        <f>'rockfish harvests'!P186</f>
        <v>92271108.350786552</v>
      </c>
      <c r="O187">
        <f>IF([1]species_comp_Region2_forR!$D313&gt;49,[1]species_comp_Region2_forR!$N313,[1]species_comp_Region2_forR!$P313)</f>
        <v>0.632294256</v>
      </c>
      <c r="P187">
        <f>IF([1]species_comp_Region2_forR!$D313&gt;49,[1]species_comp_Region2_forR!$O313,[1]species_comp_Region2_forR!$Q313)</f>
        <v>7.3343300000000002E-4</v>
      </c>
      <c r="Q187" s="13">
        <f t="shared" si="197"/>
        <v>20050.508641440054</v>
      </c>
      <c r="R187" s="2">
        <f t="shared" si="208"/>
        <v>37559466.007371858</v>
      </c>
      <c r="S187">
        <f t="shared" si="203"/>
        <v>6128.5778127859203</v>
      </c>
      <c r="T187" s="6">
        <f t="shared" si="204"/>
        <v>12012.012513060403</v>
      </c>
      <c r="V187" s="13">
        <f t="shared" si="198"/>
        <v>28589.142924192056</v>
      </c>
      <c r="W187">
        <f t="shared" si="199"/>
        <v>37587815.978151619</v>
      </c>
      <c r="X187">
        <f t="shared" si="205"/>
        <v>6130.8903087685085</v>
      </c>
      <c r="Y187" s="6">
        <f t="shared" si="206"/>
        <v>12016.545005186277</v>
      </c>
      <c r="Z187" s="14">
        <f t="shared" si="196"/>
        <v>0.21444820241814824</v>
      </c>
    </row>
    <row r="188" spans="1:27" x14ac:dyDescent="0.25">
      <c r="A188" t="str">
        <f>'rockfish harvests'!A187</f>
        <v>SC</v>
      </c>
      <c r="B188">
        <f>'rockfish harvests'!B187</f>
        <v>2008</v>
      </c>
      <c r="C188" t="str">
        <f>'rockfish harvests'!C187</f>
        <v>PWSI</v>
      </c>
      <c r="D188">
        <f>'rockfish harvests'!D187</f>
        <v>9522</v>
      </c>
      <c r="E188">
        <v>6899</v>
      </c>
      <c r="F188">
        <f>IF([1]species_comp_Region2_forR!$G287&gt;49,[1]species_comp_Region2_forR!$AD287,[1]species_comp_Region2_forR!$AF287)</f>
        <v>0.82721429800000001</v>
      </c>
      <c r="G188">
        <f>IF([1]species_comp_Region2_forR!$G287&gt;49,[1]species_comp_Region2_forR!$AE287,[1]species_comp_Region2_forR!$AG287)</f>
        <v>1.0065549999999999E-3</v>
      </c>
      <c r="H188" s="7">
        <f t="shared" si="200"/>
        <v>5706.9514419019997</v>
      </c>
      <c r="I188">
        <f t="shared" si="207"/>
        <v>47908.194097554995</v>
      </c>
      <c r="J188">
        <f t="shared" si="201"/>
        <v>218.87940537555147</v>
      </c>
      <c r="K188" s="6">
        <f t="shared" si="202"/>
        <v>429.00363453608088</v>
      </c>
      <c r="M188" s="2">
        <f>'rockfish harvests'!O187</f>
        <v>24342.914702332913</v>
      </c>
      <c r="N188">
        <f>'rockfish harvests'!P187</f>
        <v>54374913.17494791</v>
      </c>
      <c r="O188">
        <f>IF([1]species_comp_Region2_forR!$D314&gt;49,[1]species_comp_Region2_forR!$N314,[1]species_comp_Region2_forR!$P314)</f>
        <v>0.57020615699999999</v>
      </c>
      <c r="P188">
        <f>IF([1]species_comp_Region2_forR!$D314&gt;49,[1]species_comp_Region2_forR!$O314,[1]species_comp_Region2_forR!$Q314)</f>
        <v>4.6066E-4</v>
      </c>
      <c r="Q188" s="13">
        <f t="shared" si="197"/>
        <v>13880.479842596049</v>
      </c>
      <c r="R188" s="2">
        <f t="shared" si="208"/>
        <v>17927119.140043534</v>
      </c>
      <c r="S188">
        <f t="shared" si="203"/>
        <v>4234.0428835857974</v>
      </c>
      <c r="T188" s="6">
        <f t="shared" si="204"/>
        <v>8298.7240518281633</v>
      </c>
      <c r="V188" s="13">
        <f t="shared" si="198"/>
        <v>19587.431284498049</v>
      </c>
      <c r="W188">
        <f t="shared" si="199"/>
        <v>17975027.334141091</v>
      </c>
      <c r="X188">
        <f t="shared" si="205"/>
        <v>4239.6966087375986</v>
      </c>
      <c r="Y188" s="6">
        <f t="shared" si="206"/>
        <v>8309.8053531256937</v>
      </c>
      <c r="Z188" s="14">
        <f t="shared" si="196"/>
        <v>0.21644985231386588</v>
      </c>
    </row>
    <row r="189" spans="1:27" x14ac:dyDescent="0.25">
      <c r="A189" t="str">
        <f>'rockfish harvests'!A188</f>
        <v>SC</v>
      </c>
      <c r="B189">
        <f>'rockfish harvests'!B188</f>
        <v>2009</v>
      </c>
      <c r="C189" t="str">
        <f>'rockfish harvests'!C188</f>
        <v>PWSI</v>
      </c>
      <c r="D189">
        <f>'rockfish harvests'!D188</f>
        <v>8197</v>
      </c>
      <c r="E189">
        <v>5973</v>
      </c>
      <c r="F189">
        <f>IF([1]species_comp_Region2_forR!$G288&gt;49,[1]species_comp_Region2_forR!$AD288,[1]species_comp_Region2_forR!$AF288)</f>
        <v>0.861424631</v>
      </c>
      <c r="G189">
        <f>IF([1]species_comp_Region2_forR!$G288&gt;49,[1]species_comp_Region2_forR!$AE288,[1]species_comp_Region2_forR!$AG288)</f>
        <v>5.4014600000000003E-4</v>
      </c>
      <c r="H189" s="7">
        <f t="shared" si="200"/>
        <v>5145.2893209630001</v>
      </c>
      <c r="I189">
        <f t="shared" si="207"/>
        <v>19270.642462434</v>
      </c>
      <c r="J189">
        <f t="shared" si="201"/>
        <v>138.81873959388193</v>
      </c>
      <c r="K189" s="6">
        <f t="shared" si="202"/>
        <v>272.0847296040086</v>
      </c>
      <c r="M189" s="2">
        <f>'rockfish harvests'!O188</f>
        <v>20955.563097565941</v>
      </c>
      <c r="N189">
        <f>'rockfish harvests'!P188</f>
        <v>40295086.4991799</v>
      </c>
      <c r="O189">
        <f>IF([1]species_comp_Region2_forR!$D315&gt;49,[1]species_comp_Region2_forR!$N315,[1]species_comp_Region2_forR!$P315)</f>
        <v>0.33918759599999998</v>
      </c>
      <c r="P189">
        <f>IF([1]species_comp_Region2_forR!$D315&gt;49,[1]species_comp_Region2_forR!$O315,[1]species_comp_Region2_forR!$Q315)</f>
        <v>4.6891100000000002E-4</v>
      </c>
      <c r="Q189" s="13">
        <f t="shared" si="197"/>
        <v>7107.867069889704</v>
      </c>
      <c r="R189" s="2">
        <f t="shared" si="208"/>
        <v>4822898.9048703769</v>
      </c>
      <c r="S189">
        <f t="shared" si="203"/>
        <v>2196.1099482654272</v>
      </c>
      <c r="T189" s="6">
        <f t="shared" si="204"/>
        <v>4304.3754986002368</v>
      </c>
      <c r="V189" s="13">
        <f t="shared" si="198"/>
        <v>12253.156390852704</v>
      </c>
      <c r="W189">
        <f t="shared" si="199"/>
        <v>4842169.5473328112</v>
      </c>
      <c r="X189">
        <f t="shared" si="205"/>
        <v>2200.4930236955561</v>
      </c>
      <c r="Y189" s="6">
        <f t="shared" si="206"/>
        <v>4312.9663264432902</v>
      </c>
      <c r="Z189" s="14">
        <f t="shared" si="196"/>
        <v>0.17958581066820306</v>
      </c>
    </row>
    <row r="190" spans="1:27" x14ac:dyDescent="0.25">
      <c r="A190" t="str">
        <f>'rockfish harvests'!A189</f>
        <v>SC</v>
      </c>
      <c r="B190">
        <f>'rockfish harvests'!B189</f>
        <v>2010</v>
      </c>
      <c r="C190" t="str">
        <f>'rockfish harvests'!C189</f>
        <v>PWSI</v>
      </c>
      <c r="D190">
        <f>'rockfish harvests'!D189</f>
        <v>11909</v>
      </c>
      <c r="E190">
        <v>8081</v>
      </c>
      <c r="F190">
        <f>IF([1]species_comp_Region2_forR!$G289&gt;49,[1]species_comp_Region2_forR!$AD289,[1]species_comp_Region2_forR!$AF289)</f>
        <v>0.86930544399999998</v>
      </c>
      <c r="G190">
        <f>IF([1]species_comp_Region2_forR!$G289&gt;49,[1]species_comp_Region2_forR!$AE289,[1]species_comp_Region2_forR!$AG289)</f>
        <v>5.0720300000000002E-4</v>
      </c>
      <c r="H190" s="7">
        <f t="shared" si="200"/>
        <v>7024.8572929639995</v>
      </c>
      <c r="I190">
        <f t="shared" si="207"/>
        <v>33121.654846883001</v>
      </c>
      <c r="J190">
        <f t="shared" si="201"/>
        <v>181.99355715761754</v>
      </c>
      <c r="K190" s="6">
        <f t="shared" si="202"/>
        <v>356.70737202893037</v>
      </c>
      <c r="M190" s="2">
        <f>'rockfish harvests'!O189</f>
        <v>30445.260574467829</v>
      </c>
      <c r="N190">
        <f>'rockfish harvests'!P189</f>
        <v>85053622.000279784</v>
      </c>
      <c r="O190">
        <f>IF([1]species_comp_Region2_forR!$D316&gt;49,[1]species_comp_Region2_forR!$N316,[1]species_comp_Region2_forR!$P316)</f>
        <v>0.57179370600000001</v>
      </c>
      <c r="P190">
        <f>IF([1]species_comp_Region2_forR!$D316&gt;49,[1]species_comp_Region2_forR!$O316,[1]species_comp_Region2_forR!$Q316)</f>
        <v>5.2654999999999998E-4</v>
      </c>
      <c r="Q190" s="13">
        <f t="shared" si="197"/>
        <v>17408.408374010651</v>
      </c>
      <c r="R190" s="2">
        <f t="shared" si="208"/>
        <v>28251396.721691988</v>
      </c>
      <c r="S190">
        <f t="shared" si="203"/>
        <v>5315.2042972676027</v>
      </c>
      <c r="T190" s="6">
        <f t="shared" si="204"/>
        <v>10417.800422644501</v>
      </c>
      <c r="V190" s="13">
        <f t="shared" si="198"/>
        <v>24433.26566697465</v>
      </c>
      <c r="W190">
        <f t="shared" si="199"/>
        <v>28284518.376538873</v>
      </c>
      <c r="X190">
        <f t="shared" si="205"/>
        <v>5318.3191307535199</v>
      </c>
      <c r="Y190" s="6">
        <f t="shared" si="206"/>
        <v>10423.905496276899</v>
      </c>
      <c r="Z190" s="14">
        <f t="shared" si="196"/>
        <v>0.21766714295347156</v>
      </c>
    </row>
    <row r="191" spans="1:27" x14ac:dyDescent="0.25">
      <c r="A191" t="str">
        <f>'rockfish harvests'!A190</f>
        <v>SC</v>
      </c>
      <c r="B191">
        <f>'rockfish harvests'!B190</f>
        <v>2011</v>
      </c>
      <c r="C191" t="str">
        <f>'rockfish harvests'!C190</f>
        <v>PWSI</v>
      </c>
      <c r="D191">
        <f>'rockfish harvests'!D190</f>
        <v>11367</v>
      </c>
      <c r="E191">
        <v>8192</v>
      </c>
      <c r="F191">
        <f>IF([1]species_comp_Region2_forR!$G290&gt;49,[1]species_comp_Region2_forR!$AD290,[1]species_comp_Region2_forR!$AF290)</f>
        <v>0.795681572</v>
      </c>
      <c r="G191">
        <f>IF([1]species_comp_Region2_forR!$G290&gt;49,[1]species_comp_Region2_forR!$AE290,[1]species_comp_Region2_forR!$AG290)</f>
        <v>6.1580499999999998E-4</v>
      </c>
      <c r="H191" s="7">
        <f t="shared" si="200"/>
        <v>6518.223437824</v>
      </c>
      <c r="I191">
        <f t="shared" si="207"/>
        <v>41325.973995519998</v>
      </c>
      <c r="J191">
        <f t="shared" si="201"/>
        <v>203.2879091228005</v>
      </c>
      <c r="K191" s="6">
        <f t="shared" si="202"/>
        <v>398.44430188068895</v>
      </c>
      <c r="M191" s="2">
        <f>'rockfish harvests'!O190</f>
        <v>58599.987281399051</v>
      </c>
      <c r="N191">
        <f>'rockfish harvests'!P190</f>
        <v>100066036.13433234</v>
      </c>
      <c r="O191">
        <f>IF([1]species_comp_Region2_forR!$D317&gt;49,[1]species_comp_Region2_forR!$N317,[1]species_comp_Region2_forR!$P317)</f>
        <v>0.59104858400000004</v>
      </c>
      <c r="P191">
        <f>IF([1]species_comp_Region2_forR!$D317&gt;49,[1]species_comp_Region2_forR!$O317,[1]species_comp_Region2_forR!$Q317)</f>
        <v>4.8536199999999998E-4</v>
      </c>
      <c r="Q191" s="13">
        <f t="shared" si="197"/>
        <v>34635.439505088922</v>
      </c>
      <c r="R191" s="2">
        <f t="shared" si="208"/>
        <v>36575056.54284171</v>
      </c>
      <c r="S191">
        <f t="shared" si="203"/>
        <v>6047.7315204001661</v>
      </c>
      <c r="T191" s="6">
        <f t="shared" si="204"/>
        <v>11853.553779984326</v>
      </c>
      <c r="V191" s="13">
        <f t="shared" si="198"/>
        <v>41153.662942912924</v>
      </c>
      <c r="W191">
        <f t="shared" si="199"/>
        <v>36616382.516837232</v>
      </c>
      <c r="X191">
        <f t="shared" si="205"/>
        <v>6051.1472066738907</v>
      </c>
      <c r="Y191" s="6">
        <f t="shared" si="206"/>
        <v>11860.248525080826</v>
      </c>
      <c r="Z191" s="14">
        <f t="shared" si="196"/>
        <v>0.14703787643563718</v>
      </c>
    </row>
    <row r="192" spans="1:27" x14ac:dyDescent="0.25">
      <c r="A192" t="str">
        <f>'rockfish harvests'!A191</f>
        <v>SC</v>
      </c>
      <c r="B192">
        <f>'rockfish harvests'!B191</f>
        <v>2012</v>
      </c>
      <c r="C192" t="str">
        <f>'rockfish harvests'!C191</f>
        <v>PWSI</v>
      </c>
      <c r="D192">
        <f>'rockfish harvests'!D191</f>
        <v>13580</v>
      </c>
      <c r="E192">
        <v>9313</v>
      </c>
      <c r="F192">
        <f>IF([1]species_comp_Region2_forR!$G291&gt;49,[1]species_comp_Region2_forR!$AD291,[1]species_comp_Region2_forR!$AF291)</f>
        <v>0.84658620699999998</v>
      </c>
      <c r="G192">
        <f>IF([1]species_comp_Region2_forR!$G291&gt;49,[1]species_comp_Region2_forR!$AE291,[1]species_comp_Region2_forR!$AG291)</f>
        <v>3.8312099999999999E-4</v>
      </c>
      <c r="H192" s="7">
        <f t="shared" si="200"/>
        <v>7884.2573457910003</v>
      </c>
      <c r="I192">
        <f t="shared" si="207"/>
        <v>33228.838695248996</v>
      </c>
      <c r="J192">
        <f t="shared" si="201"/>
        <v>182.28779085624191</v>
      </c>
      <c r="K192" s="6">
        <f t="shared" si="202"/>
        <v>357.28407007823415</v>
      </c>
      <c r="M192" s="2">
        <f>'rockfish harvests'!O191</f>
        <v>31117.154090427939</v>
      </c>
      <c r="N192">
        <f>'rockfish harvests'!P191</f>
        <v>29413124.019685954</v>
      </c>
      <c r="O192">
        <f>IF([1]species_comp_Region2_forR!$D318&gt;49,[1]species_comp_Region2_forR!$N318,[1]species_comp_Region2_forR!$P318)</f>
        <v>0.324685055</v>
      </c>
      <c r="P192">
        <f>IF([1]species_comp_Region2_forR!$D318&gt;49,[1]species_comp_Region2_forR!$O318,[1]species_comp_Region2_forR!$Q318)</f>
        <v>4.8402800000000001E-4</v>
      </c>
      <c r="Q192" s="13">
        <f t="shared" si="197"/>
        <v>10103.27488729407</v>
      </c>
      <c r="R192" s="2">
        <f t="shared" si="208"/>
        <v>3555179.3955091592</v>
      </c>
      <c r="S192">
        <f t="shared" si="203"/>
        <v>1885.5183360310127</v>
      </c>
      <c r="T192" s="6">
        <f t="shared" si="204"/>
        <v>3695.6159386207851</v>
      </c>
      <c r="V192" s="13">
        <f t="shared" si="198"/>
        <v>17987.532233085069</v>
      </c>
      <c r="W192">
        <f t="shared" si="199"/>
        <v>3588408.2342044082</v>
      </c>
      <c r="X192">
        <f t="shared" si="205"/>
        <v>1894.3094346501071</v>
      </c>
      <c r="Y192" s="6">
        <f t="shared" si="206"/>
        <v>3712.8464919142098</v>
      </c>
      <c r="Z192" s="14">
        <f t="shared" si="196"/>
        <v>0.10531235803240649</v>
      </c>
    </row>
    <row r="193" spans="1:26" x14ac:dyDescent="0.25">
      <c r="A193" t="str">
        <f>'rockfish harvests'!A192</f>
        <v>SC</v>
      </c>
      <c r="B193">
        <f>'rockfish harvests'!B192</f>
        <v>2013</v>
      </c>
      <c r="C193" t="str">
        <f>'rockfish harvests'!C192</f>
        <v>PWSI</v>
      </c>
      <c r="D193">
        <f>'rockfish harvests'!D192</f>
        <v>14209</v>
      </c>
      <c r="E193">
        <v>10875</v>
      </c>
      <c r="F193">
        <f>IF([1]species_comp_Region2_forR!$G292&gt;49,[1]species_comp_Region2_forR!$AD292,[1]species_comp_Region2_forR!$AF292)</f>
        <v>0.79206865900000001</v>
      </c>
      <c r="G193">
        <f>IF([1]species_comp_Region2_forR!$G292&gt;49,[1]species_comp_Region2_forR!$AE292,[1]species_comp_Region2_forR!$AG292)</f>
        <v>4.4512399999999998E-4</v>
      </c>
      <c r="H193" s="7">
        <f t="shared" si="200"/>
        <v>8613.7466666250002</v>
      </c>
      <c r="I193">
        <f t="shared" si="207"/>
        <v>52642.868062499998</v>
      </c>
      <c r="J193">
        <f t="shared" si="201"/>
        <v>229.44033660736292</v>
      </c>
      <c r="K193" s="6">
        <f t="shared" si="202"/>
        <v>449.70305975043129</v>
      </c>
      <c r="M193" s="2">
        <f>'rockfish harvests'!O192</f>
        <v>46247.943133398883</v>
      </c>
      <c r="N193">
        <f>'rockfish harvests'!P192</f>
        <v>49601334.787597425</v>
      </c>
      <c r="O193">
        <f>IF([1]species_comp_Region2_forR!$D319&gt;49,[1]species_comp_Region2_forR!$N319,[1]species_comp_Region2_forR!$P319)</f>
        <v>0.273217231</v>
      </c>
      <c r="P193">
        <f>IF([1]species_comp_Region2_forR!$D319&gt;49,[1]species_comp_Region2_forR!$O319,[1]species_comp_Region2_forR!$Q319)</f>
        <v>3.0549199999999998E-4</v>
      </c>
      <c r="Q193" s="13">
        <f t="shared" si="197"/>
        <v>12635.734962352706</v>
      </c>
      <c r="R193" s="2">
        <f t="shared" si="208"/>
        <v>4340878.891022265</v>
      </c>
      <c r="S193">
        <f t="shared" si="203"/>
        <v>2083.4775955172317</v>
      </c>
      <c r="T193" s="6">
        <f t="shared" si="204"/>
        <v>4083.6160872137743</v>
      </c>
      <c r="V193" s="13">
        <f t="shared" si="198"/>
        <v>21249.481628977708</v>
      </c>
      <c r="W193">
        <f t="shared" si="199"/>
        <v>4393521.7590847649</v>
      </c>
      <c r="X193">
        <f t="shared" si="205"/>
        <v>2096.0729374439156</v>
      </c>
      <c r="Y193" s="6">
        <f t="shared" si="206"/>
        <v>4108.3029573900749</v>
      </c>
      <c r="Z193" s="14">
        <f t="shared" si="196"/>
        <v>9.8641132712880941E-2</v>
      </c>
    </row>
    <row r="194" spans="1:26" x14ac:dyDescent="0.25">
      <c r="A194" t="str">
        <f>'rockfish harvests'!A193</f>
        <v>SC</v>
      </c>
      <c r="B194">
        <f>'rockfish harvests'!B193</f>
        <v>2014</v>
      </c>
      <c r="C194" t="str">
        <f>'rockfish harvests'!C193</f>
        <v>PWSI</v>
      </c>
      <c r="D194">
        <f>'rockfish harvests'!D193</f>
        <v>14913</v>
      </c>
      <c r="E194">
        <v>10729</v>
      </c>
      <c r="F194">
        <f>IF([1]species_comp_Region2_forR!$G293&gt;49,[1]species_comp_Region2_forR!$AD293,[1]species_comp_Region2_forR!$AF293)</f>
        <v>0.78820150899999997</v>
      </c>
      <c r="G194">
        <f>IF([1]species_comp_Region2_forR!$G293&gt;49,[1]species_comp_Region2_forR!$AE293,[1]species_comp_Region2_forR!$AG293)</f>
        <v>3.2415500000000002E-4</v>
      </c>
      <c r="H194" s="7">
        <f t="shared" si="200"/>
        <v>8456.6139900609996</v>
      </c>
      <c r="I194">
        <f t="shared" si="207"/>
        <v>37313.949157355004</v>
      </c>
      <c r="J194">
        <f t="shared" si="201"/>
        <v>193.16818878209477</v>
      </c>
      <c r="K194" s="6">
        <f t="shared" si="202"/>
        <v>378.60965001290577</v>
      </c>
      <c r="M194" s="2">
        <f>'rockfish harvests'!O193</f>
        <v>37953.469599823133</v>
      </c>
      <c r="N194">
        <f>'rockfish harvests'!P193</f>
        <v>47097436.38695576</v>
      </c>
      <c r="O194">
        <f>IF([1]species_comp_Region2_forR!$D320&gt;49,[1]species_comp_Region2_forR!$N320,[1]species_comp_Region2_forR!$P320)</f>
        <v>0.150144051</v>
      </c>
      <c r="P194">
        <f>IF([1]species_comp_Region2_forR!$D320&gt;49,[1]species_comp_Region2_forR!$O320,[1]species_comp_Region2_forR!$Q320)</f>
        <v>2.5830100000000001E-4</v>
      </c>
      <c r="Q194" s="13">
        <f t="shared" si="197"/>
        <v>5698.4876752227938</v>
      </c>
      <c r="R194" s="2">
        <f t="shared" si="208"/>
        <v>1421637.0816630879</v>
      </c>
      <c r="S194">
        <f t="shared" si="203"/>
        <v>1192.3242351236042</v>
      </c>
      <c r="T194" s="6">
        <f t="shared" si="204"/>
        <v>2336.9555008422644</v>
      </c>
      <c r="V194" s="13">
        <f t="shared" si="198"/>
        <v>14155.101665283793</v>
      </c>
      <c r="W194">
        <f t="shared" si="199"/>
        <v>1458951.0308204428</v>
      </c>
      <c r="X194">
        <f t="shared" si="205"/>
        <v>1207.8704528302871</v>
      </c>
      <c r="Y194" s="6">
        <f t="shared" si="206"/>
        <v>2367.4260875473628</v>
      </c>
      <c r="Z194" s="14">
        <f t="shared" si="196"/>
        <v>8.533110403527934E-2</v>
      </c>
    </row>
    <row r="195" spans="1:26" x14ac:dyDescent="0.25">
      <c r="A195" t="str">
        <f>'rockfish harvests'!A194</f>
        <v>SC</v>
      </c>
      <c r="B195">
        <f>'rockfish harvests'!B194</f>
        <v>2015</v>
      </c>
      <c r="C195" t="str">
        <f>'rockfish harvests'!C194</f>
        <v>PWSI</v>
      </c>
      <c r="D195">
        <f>'rockfish harvests'!D194</f>
        <v>20073</v>
      </c>
      <c r="E195">
        <v>14853</v>
      </c>
      <c r="F195">
        <f>IF([1]species_comp_Region2_forR!$G294&gt;49,[1]species_comp_Region2_forR!$AD294,[1]species_comp_Region2_forR!$AF294)</f>
        <v>0.84435566500000003</v>
      </c>
      <c r="G195">
        <f>IF([1]species_comp_Region2_forR!$G294&gt;49,[1]species_comp_Region2_forR!$AE294,[1]species_comp_Region2_forR!$AG294)</f>
        <v>3.74414E-4</v>
      </c>
      <c r="H195" s="7">
        <f t="shared" si="200"/>
        <v>12541.214692245001</v>
      </c>
      <c r="I195">
        <f t="shared" si="207"/>
        <v>82600.074972125993</v>
      </c>
      <c r="J195">
        <f t="shared" si="201"/>
        <v>287.40228769466324</v>
      </c>
      <c r="K195" s="6">
        <f t="shared" si="202"/>
        <v>563.30848388153993</v>
      </c>
      <c r="M195" s="2">
        <f>'rockfish harvests'!O194</f>
        <v>52130.446754112942</v>
      </c>
      <c r="N195">
        <f>'rockfish harvests'!P194</f>
        <v>59819505.590102598</v>
      </c>
      <c r="O195">
        <f>IF([1]species_comp_Region2_forR!$D321&gt;49,[1]species_comp_Region2_forR!$N321,[1]species_comp_Region2_forR!$P321)</f>
        <v>8.9524672999999999E-2</v>
      </c>
      <c r="P195">
        <f>IF([1]species_comp_Region2_forR!$D321&gt;49,[1]species_comp_Region2_forR!$O321,[1]species_comp_Region2_forR!$Q321)</f>
        <v>1.6567099999999999E-4</v>
      </c>
      <c r="Q195" s="13">
        <f t="shared" si="197"/>
        <v>4666.961199005872</v>
      </c>
      <c r="R195" s="2">
        <f t="shared" si="208"/>
        <v>919747.83714396029</v>
      </c>
      <c r="S195">
        <f t="shared" si="203"/>
        <v>959.03484667865973</v>
      </c>
      <c r="T195" s="6">
        <f t="shared" si="204"/>
        <v>1879.708299490173</v>
      </c>
      <c r="V195" s="13">
        <f t="shared" si="198"/>
        <v>17208.175891250874</v>
      </c>
      <c r="W195">
        <f t="shared" si="199"/>
        <v>1002347.9121160863</v>
      </c>
      <c r="X195">
        <f t="shared" si="205"/>
        <v>1001.1732677794021</v>
      </c>
      <c r="Y195" s="6">
        <f t="shared" si="206"/>
        <v>1962.299604847628</v>
      </c>
      <c r="Z195" s="14">
        <f t="shared" si="196"/>
        <v>5.8180092655167888E-2</v>
      </c>
    </row>
    <row r="196" spans="1:26" x14ac:dyDescent="0.25">
      <c r="A196" t="str">
        <f>'rockfish harvests'!A195</f>
        <v>SC</v>
      </c>
      <c r="B196">
        <f>'rockfish harvests'!B195</f>
        <v>2016</v>
      </c>
      <c r="C196" t="str">
        <f>'rockfish harvests'!C195</f>
        <v>PWSI</v>
      </c>
      <c r="D196">
        <f>'rockfish harvests'!D195</f>
        <v>28893</v>
      </c>
      <c r="E196">
        <v>22198</v>
      </c>
      <c r="F196">
        <f>IF([1]species_comp_Region2_forR!$G295&gt;49,[1]species_comp_Region2_forR!$AD295,[1]species_comp_Region2_forR!$AF295)</f>
        <v>0.62289141199999998</v>
      </c>
      <c r="G196">
        <f>IF([1]species_comp_Region2_forR!$G295&gt;49,[1]species_comp_Region2_forR!$AE295,[1]species_comp_Region2_forR!$AG295)</f>
        <v>3.9412399999999998E-4</v>
      </c>
      <c r="H196" s="7">
        <f t="shared" si="200"/>
        <v>13826.943563576</v>
      </c>
      <c r="I196">
        <f t="shared" si="207"/>
        <v>194205.07552529598</v>
      </c>
      <c r="J196">
        <f t="shared" si="201"/>
        <v>440.68704941862768</v>
      </c>
      <c r="K196" s="6">
        <f t="shared" si="202"/>
        <v>863.74661686051024</v>
      </c>
      <c r="M196" s="2">
        <f>'rockfish harvests'!O195</f>
        <v>64825.548631333717</v>
      </c>
      <c r="N196">
        <f>'rockfish harvests'!P195</f>
        <v>114245520.83381788</v>
      </c>
      <c r="O196">
        <f>IF([1]species_comp_Region2_forR!$D322&gt;49,[1]species_comp_Region2_forR!$N322,[1]species_comp_Region2_forR!$P322)</f>
        <v>0.33847740799999998</v>
      </c>
      <c r="P196">
        <f>IF([1]species_comp_Region2_forR!$D322&gt;49,[1]species_comp_Region2_forR!$O322,[1]species_comp_Region2_forR!$Q322)</f>
        <v>1.777067E-3</v>
      </c>
      <c r="Q196" s="13">
        <f t="shared" si="197"/>
        <v>21941.983672911781</v>
      </c>
      <c r="R196" s="2">
        <f t="shared" si="208"/>
        <v>20353600.209166378</v>
      </c>
      <c r="S196">
        <f t="shared" si="203"/>
        <v>4511.4964489808008</v>
      </c>
      <c r="T196" s="6">
        <f t="shared" si="204"/>
        <v>8842.5330400023686</v>
      </c>
      <c r="V196" s="13">
        <f t="shared" si="198"/>
        <v>35768.927236487783</v>
      </c>
      <c r="W196" s="2">
        <f>R196+I196</f>
        <v>20547805.284691673</v>
      </c>
      <c r="X196">
        <f>SQRT(W196)</f>
        <v>4532.9687054613196</v>
      </c>
      <c r="Y196" s="6">
        <f t="shared" si="206"/>
        <v>8884.6186627041861</v>
      </c>
      <c r="Z196" s="14">
        <f t="shared" si="196"/>
        <v>0.12672923276371709</v>
      </c>
    </row>
    <row r="197" spans="1:26" x14ac:dyDescent="0.25">
      <c r="A197" t="str">
        <f>'rockfish harvests'!A196</f>
        <v>SC</v>
      </c>
      <c r="B197">
        <f>'rockfish harvests'!B196</f>
        <v>2017</v>
      </c>
      <c r="C197" t="str">
        <f>'rockfish harvests'!C196</f>
        <v>PWSI</v>
      </c>
      <c r="D197">
        <f>'rockfish harvests'!D196</f>
        <v>16300</v>
      </c>
      <c r="E197">
        <v>11566</v>
      </c>
      <c r="F197">
        <f>IF([1]species_comp_Region2_forR!$G296&gt;49,[1]species_comp_Region2_forR!$AD296,[1]species_comp_Region2_forR!$AF296)</f>
        <v>0.71663333600000001</v>
      </c>
      <c r="G197">
        <f>IF([1]species_comp_Region2_forR!$G296&gt;49,[1]species_comp_Region2_forR!$AE296,[1]species_comp_Region2_forR!$AG296)</f>
        <v>5.8521599999999995E-4</v>
      </c>
      <c r="H197" s="7">
        <f t="shared" si="200"/>
        <v>8288.5811641759992</v>
      </c>
      <c r="I197">
        <f t="shared" si="207"/>
        <v>78285.723088895989</v>
      </c>
      <c r="J197">
        <f t="shared" si="201"/>
        <v>279.79585967075349</v>
      </c>
      <c r="K197" s="6">
        <f t="shared" si="202"/>
        <v>548.39988495467685</v>
      </c>
      <c r="M197" s="2">
        <f>'rockfish harvests'!O196</f>
        <v>33515.774784613517</v>
      </c>
      <c r="N197">
        <f>'rockfish harvests'!P196</f>
        <v>29331655.3806163</v>
      </c>
      <c r="O197">
        <f>IF([1]species_comp_Region2_forR!$D323&gt;49,[1]species_comp_Region2_forR!$N323,[1]species_comp_Region2_forR!$P323)</f>
        <v>0.54382908600000002</v>
      </c>
      <c r="P197">
        <f>IF([1]species_comp_Region2_forR!$D323&gt;49,[1]species_comp_Region2_forR!$O323,[1]species_comp_Region2_forR!$Q323)</f>
        <v>2.2349459999999998E-3</v>
      </c>
      <c r="Q197" s="13">
        <f t="shared" si="197"/>
        <v>18226.853167698217</v>
      </c>
      <c r="R197" s="2">
        <f t="shared" si="208"/>
        <v>11119815.449061608</v>
      </c>
      <c r="S197">
        <f t="shared" si="203"/>
        <v>3334.6387284174589</v>
      </c>
      <c r="T197" s="6">
        <f t="shared" si="204"/>
        <v>6535.8919076982193</v>
      </c>
      <c r="V197" s="13">
        <f t="shared" si="198"/>
        <v>26515.434331874218</v>
      </c>
      <c r="W197">
        <f t="shared" si="199"/>
        <v>11198101.172150504</v>
      </c>
      <c r="X197">
        <f t="shared" si="205"/>
        <v>3346.3564024398993</v>
      </c>
      <c r="Y197" s="6">
        <f t="shared" si="206"/>
        <v>6558.8585487822029</v>
      </c>
      <c r="Z197" s="14">
        <f t="shared" si="196"/>
        <v>0.12620409534145335</v>
      </c>
    </row>
    <row r="198" spans="1:26" x14ac:dyDescent="0.25">
      <c r="A198" t="str">
        <f>'rockfish harvests'!A197</f>
        <v>SC</v>
      </c>
      <c r="B198">
        <f>'rockfish harvests'!B197</f>
        <v>2018</v>
      </c>
      <c r="C198" t="str">
        <f>'rockfish harvests'!C197</f>
        <v>PWSI</v>
      </c>
      <c r="D198">
        <f>'rockfish harvests'!D197</f>
        <v>12107</v>
      </c>
      <c r="E198">
        <v>8741</v>
      </c>
      <c r="F198">
        <f>IF([1]species_comp_Region2_forR!$G297&gt;49,[1]species_comp_Region2_forR!$AD297,[1]species_comp_Region2_forR!$AF297)</f>
        <v>0.90328051799999998</v>
      </c>
      <c r="G198">
        <f>IF([1]species_comp_Region2_forR!$G297&gt;49,[1]species_comp_Region2_forR!$AE297,[1]species_comp_Region2_forR!$AG297)</f>
        <v>2.9219000000000001E-4</v>
      </c>
      <c r="H198" s="7">
        <f t="shared" si="200"/>
        <v>7895.5750078379997</v>
      </c>
      <c r="I198">
        <f t="shared" si="207"/>
        <v>22324.800617389999</v>
      </c>
      <c r="J198">
        <f t="shared" si="201"/>
        <v>149.41486076488511</v>
      </c>
      <c r="K198" s="6">
        <f t="shared" si="202"/>
        <v>292.8531270991748</v>
      </c>
      <c r="M198" s="2">
        <f>'rockfish harvests'!O197</f>
        <v>22239.009039310491</v>
      </c>
      <c r="N198">
        <f>'rockfish harvests'!P197</f>
        <v>18423976.825865198</v>
      </c>
      <c r="O198">
        <f>IF([1]species_comp_Region2_forR!$D324&gt;49,[1]species_comp_Region2_forR!$N324,[1]species_comp_Region2_forR!$P324)</f>
        <v>0.33293387600000002</v>
      </c>
      <c r="P198">
        <f>IF([1]species_comp_Region2_forR!$D324&gt;49,[1]species_comp_Region2_forR!$O324,[1]species_comp_Region2_forR!$Q324)</f>
        <v>9.1394600000000001E-4</v>
      </c>
      <c r="Q198" s="13">
        <f t="shared" si="197"/>
        <v>7404.1194778566787</v>
      </c>
      <c r="R198" s="2">
        <f t="shared" si="208"/>
        <v>2477380.0541228475</v>
      </c>
      <c r="S198">
        <f t="shared" si="203"/>
        <v>1573.9695213449488</v>
      </c>
      <c r="T198" s="6">
        <f t="shared" si="204"/>
        <v>3084.9802618360995</v>
      </c>
      <c r="V198" s="13">
        <f t="shared" si="198"/>
        <v>15299.694485694679</v>
      </c>
      <c r="W198">
        <f t="shared" si="199"/>
        <v>2499704.8547402374</v>
      </c>
      <c r="X198">
        <f t="shared" si="205"/>
        <v>1581.0454942031988</v>
      </c>
      <c r="Y198" s="6">
        <f t="shared" si="206"/>
        <v>3098.8491686382695</v>
      </c>
      <c r="Z198" s="14">
        <f t="shared" si="196"/>
        <v>0.10333837029762179</v>
      </c>
    </row>
    <row r="199" spans="1:26" x14ac:dyDescent="0.25">
      <c r="A199" t="str">
        <f>'rockfish harvests'!A198</f>
        <v>SC</v>
      </c>
      <c r="B199">
        <f>'rockfish harvests'!B198</f>
        <v>2019</v>
      </c>
      <c r="C199" t="str">
        <f>'rockfish harvests'!C198</f>
        <v>PWSI</v>
      </c>
      <c r="D199">
        <f>'rockfish harvests'!D198</f>
        <v>15083</v>
      </c>
      <c r="E199">
        <v>11420</v>
      </c>
      <c r="F199">
        <f>IF([1]species_comp_Region2_forR!$G298&gt;49,[1]species_comp_Region2_forR!$AD298,[1]species_comp_Region2_forR!$AF298)</f>
        <v>0.78596997499999999</v>
      </c>
      <c r="G199">
        <f>IF([1]species_comp_Region2_forR!$G298&gt;49,[1]species_comp_Region2_forR!$AE298,[1]species_comp_Region2_forR!$AG298)</f>
        <v>6.7831100000000002E-4</v>
      </c>
      <c r="H199" s="7">
        <f>E199*F199</f>
        <v>8975.7771145000006</v>
      </c>
      <c r="I199">
        <f>(E199^2)*G199</f>
        <v>88462.878700400004</v>
      </c>
      <c r="J199">
        <f>SQRT(I199)</f>
        <v>297.42709812725536</v>
      </c>
      <c r="K199" s="6">
        <f>(1.96*J199)</f>
        <v>582.95711232942051</v>
      </c>
      <c r="M199" s="2">
        <f>'rockfish harvests'!O198</f>
        <v>32001.722103820983</v>
      </c>
      <c r="N199">
        <f>'rockfish harvests'!P198</f>
        <v>26016565.548853625</v>
      </c>
      <c r="O199">
        <f>IF([1]species_comp_Region2_forR!$D325&gt;49,[1]species_comp_Region2_forR!$N325,[1]species_comp_Region2_forR!$P325)</f>
        <v>0.3079288</v>
      </c>
      <c r="P199">
        <f>IF([1]species_comp_Region2_forR!$D325&gt;49,[1]species_comp_Region2_forR!$O325,[1]species_comp_Region2_forR!$Q325)</f>
        <v>6.7439400000000004E-4</v>
      </c>
      <c r="Q199" s="13">
        <f>M199*O199</f>
        <v>9854.25188536307</v>
      </c>
      <c r="R199" s="2">
        <f>(M199^2)*P199+(O199^2)*N199-(P199*N199)</f>
        <v>3140002.910752397</v>
      </c>
      <c r="S199">
        <f>SQRT(R199)</f>
        <v>1772.0053359830486</v>
      </c>
      <c r="T199" s="6">
        <f>(1.96*S199)</f>
        <v>3473.1304585267753</v>
      </c>
      <c r="V199" s="13">
        <f>Q199+H199</f>
        <v>18830.028999863069</v>
      </c>
      <c r="W199">
        <f>R199+I199</f>
        <v>3228465.7894527968</v>
      </c>
      <c r="X199">
        <f>SQRT(W199)</f>
        <v>1796.7931960726023</v>
      </c>
      <c r="Y199" s="6">
        <f>(1.96*X199)</f>
        <v>3521.7146643023007</v>
      </c>
      <c r="Z199" s="14">
        <f t="shared" si="196"/>
        <v>9.5421690326959588E-2</v>
      </c>
    </row>
    <row r="200" spans="1:26" x14ac:dyDescent="0.25">
      <c r="A200" t="str">
        <f>'rockfish harvests'!A199</f>
        <v>SC</v>
      </c>
      <c r="B200">
        <f>'rockfish harvests'!B199</f>
        <v>2020</v>
      </c>
      <c r="C200" t="str">
        <f>'rockfish harvests'!C199</f>
        <v>PWSI</v>
      </c>
      <c r="D200">
        <f>'rockfish harvests'!D199</f>
        <v>9001</v>
      </c>
      <c r="E200">
        <v>6714</v>
      </c>
      <c r="F200">
        <v>0.76293124608498553</v>
      </c>
      <c r="G200">
        <v>5.81566430328607E-4</v>
      </c>
      <c r="H200" s="7">
        <f t="shared" ref="H200:H202" si="209">E200*F200</f>
        <v>5122.3203862145929</v>
      </c>
      <c r="I200">
        <f t="shared" ref="I200:I201" si="210">(E200^2)*G200</f>
        <v>26215.73290680116</v>
      </c>
      <c r="J200">
        <f t="shared" ref="J200:J201" si="211">SQRT(I200)</f>
        <v>161.91273238013483</v>
      </c>
      <c r="K200" s="6">
        <f t="shared" ref="K200:K201" si="212">(1.96*J200)</f>
        <v>317.34895546506425</v>
      </c>
      <c r="M200" s="2">
        <f>'rockfish harvests'!O199</f>
        <v>18605.884326200114</v>
      </c>
      <c r="N200">
        <f>'rockfish harvests'!P199</f>
        <v>9865637.9851696268</v>
      </c>
      <c r="O200">
        <v>0.3560718793171877</v>
      </c>
      <c r="P200">
        <v>8.7513242777371688E-4</v>
      </c>
      <c r="Q200" s="13">
        <f t="shared" ref="Q200:Q201" si="213">M200*O200</f>
        <v>6625.0321983882814</v>
      </c>
      <c r="R200" s="2">
        <f t="shared" ref="R200:R201" si="214">(M200^2)*P200+(O200^2)*N200-(P200*N200)</f>
        <v>1545155.1201085439</v>
      </c>
      <c r="S200">
        <f t="shared" ref="S200:S201" si="215">SQRT(R200)</f>
        <v>1243.0426863581733</v>
      </c>
      <c r="T200" s="6">
        <f t="shared" ref="T200:T201" si="216">(1.96*S200)</f>
        <v>2436.3636652620198</v>
      </c>
      <c r="V200" s="13">
        <f t="shared" ref="V200:V201" si="217">Q200+H200</f>
        <v>11747.352584602875</v>
      </c>
      <c r="W200">
        <f t="shared" ref="W200:W201" si="218">R200+I200</f>
        <v>1571370.8530153451</v>
      </c>
      <c r="X200">
        <f t="shared" ref="X200:X201" si="219">SQRT(W200)</f>
        <v>1253.5433191618649</v>
      </c>
      <c r="Y200" s="6">
        <f t="shared" ref="Y200:Y201" si="220">(1.96*X200)</f>
        <v>2456.9449055572554</v>
      </c>
      <c r="Z200" s="14">
        <f t="shared" ref="Z200:Z201" si="221">X200/V200</f>
        <v>0.10670858051922867</v>
      </c>
    </row>
    <row r="201" spans="1:26" x14ac:dyDescent="0.25">
      <c r="A201" t="str">
        <f>'rockfish harvests'!A200</f>
        <v>SC</v>
      </c>
      <c r="B201">
        <f>'rockfish harvests'!B200</f>
        <v>2021</v>
      </c>
      <c r="C201" t="str">
        <f>'rockfish harvests'!C200</f>
        <v>PWSI</v>
      </c>
      <c r="D201">
        <f>'rockfish harvests'!D200</f>
        <v>16848</v>
      </c>
      <c r="E201">
        <v>13201</v>
      </c>
      <c r="F201">
        <v>0.79591399159382248</v>
      </c>
      <c r="G201">
        <v>5.1730862923251967E-4</v>
      </c>
      <c r="H201" s="7">
        <f t="shared" si="209"/>
        <v>10506.860603030051</v>
      </c>
      <c r="I201">
        <f t="shared" si="210"/>
        <v>90149.51302259459</v>
      </c>
      <c r="J201">
        <f t="shared" si="211"/>
        <v>300.2490849654576</v>
      </c>
      <c r="K201" s="6">
        <f t="shared" si="212"/>
        <v>588.48820653229689</v>
      </c>
      <c r="M201" s="2">
        <f>'rockfish harvests'!O200</f>
        <v>26712.114727976325</v>
      </c>
      <c r="N201">
        <f>'rockfish harvests'!P200</f>
        <v>21799295.268585149</v>
      </c>
      <c r="O201">
        <v>0.47254049763713746</v>
      </c>
      <c r="P201">
        <v>1.0090930191497326E-3</v>
      </c>
      <c r="Q201" s="13">
        <f t="shared" si="213"/>
        <v>12622.555986498241</v>
      </c>
      <c r="R201" s="2">
        <f t="shared" si="214"/>
        <v>5565690.9777452722</v>
      </c>
      <c r="S201">
        <f t="shared" si="215"/>
        <v>2359.1716719529491</v>
      </c>
      <c r="T201" s="6">
        <f t="shared" si="216"/>
        <v>4623.9764770277798</v>
      </c>
      <c r="V201" s="13">
        <f t="shared" si="217"/>
        <v>23129.416589528293</v>
      </c>
      <c r="W201">
        <f t="shared" si="218"/>
        <v>5655840.4907678664</v>
      </c>
      <c r="X201">
        <f t="shared" si="219"/>
        <v>2378.2011039371473</v>
      </c>
      <c r="Y201" s="6">
        <f t="shared" si="220"/>
        <v>4661.2741637168083</v>
      </c>
      <c r="Z201" s="14">
        <f t="shared" si="221"/>
        <v>0.10282149118339041</v>
      </c>
    </row>
    <row r="202" spans="1:26" s="51" customFormat="1" x14ac:dyDescent="0.25">
      <c r="A202" s="51" t="s">
        <v>81</v>
      </c>
      <c r="B202" s="51">
        <v>2022</v>
      </c>
      <c r="C202" s="51" t="s">
        <v>51</v>
      </c>
      <c r="D202">
        <f>'rockfish harvests'!D201</f>
        <v>21685</v>
      </c>
      <c r="E202" s="43">
        <v>17939</v>
      </c>
      <c r="F202" s="103">
        <v>0.81138590295596424</v>
      </c>
      <c r="G202" s="91">
        <v>1.7292521970655234E-4</v>
      </c>
      <c r="H202" s="7">
        <f t="shared" si="209"/>
        <v>14555.451713127042</v>
      </c>
      <c r="I202">
        <f t="shared" ref="I202" si="222">(E202^2)*G202</f>
        <v>55648.6708571899</v>
      </c>
      <c r="J202">
        <f t="shared" ref="J202" si="223">SQRT(I202)</f>
        <v>235.89970508076075</v>
      </c>
      <c r="K202" s="6">
        <f t="shared" ref="K202" si="224">(1.96*J202)</f>
        <v>462.36342195829104</v>
      </c>
      <c r="M202" s="2">
        <f>'rockfish harvests'!O201</f>
        <v>25116.853981705674</v>
      </c>
      <c r="N202">
        <f>'rockfish harvests'!P201</f>
        <v>15249701.106684575</v>
      </c>
      <c r="O202" s="103">
        <v>3.3372019489131696E-2</v>
      </c>
      <c r="P202" s="91">
        <v>8.5565856244956785E-5</v>
      </c>
      <c r="Q202" s="13">
        <f t="shared" ref="Q202" si="225">M202*O202</f>
        <v>838.20014058315678</v>
      </c>
      <c r="R202" s="2">
        <f t="shared" ref="R202" si="226">(M202^2)*P202+(O202^2)*N202-(P202*N202)</f>
        <v>69658.375677571603</v>
      </c>
      <c r="S202">
        <f t="shared" ref="S202" si="227">SQRT(R202)</f>
        <v>263.92873219407471</v>
      </c>
      <c r="T202" s="6">
        <f t="shared" ref="T202" si="228">(1.96*S202)</f>
        <v>517.30031510038646</v>
      </c>
      <c r="V202" s="13">
        <f t="shared" ref="V202" si="229">Q202+H202</f>
        <v>15393.651853710198</v>
      </c>
      <c r="W202">
        <f t="shared" ref="W202" si="230">R202+I202</f>
        <v>125307.0465347615</v>
      </c>
      <c r="X202">
        <f t="shared" ref="X202" si="231">SQRT(W202)</f>
        <v>353.98735363676695</v>
      </c>
      <c r="Y202" s="6">
        <f t="shared" ref="Y202" si="232">(1.96*X202)</f>
        <v>693.81521312806319</v>
      </c>
      <c r="Z202" s="14">
        <f t="shared" ref="Z202" si="233">X202/V202</f>
        <v>2.2995671007815372E-2</v>
      </c>
    </row>
    <row r="203" spans="1:26" x14ac:dyDescent="0.25">
      <c r="A203" t="str">
        <f>'rockfish harvests'!A202</f>
        <v>SC</v>
      </c>
      <c r="B203">
        <f>'rockfish harvests'!B202</f>
        <v>1998</v>
      </c>
      <c r="C203" t="str">
        <f>'rockfish harvests'!C202</f>
        <v>PWSO</v>
      </c>
      <c r="D203">
        <f>'rockfish harvests'!D202</f>
        <v>7091</v>
      </c>
      <c r="E203">
        <v>5439</v>
      </c>
      <c r="F203">
        <f>IF([1]species_comp_Region2_forR!$G331&gt;49,[1]species_comp_Region2_forR!$AD331,[1]species_comp_Region2_forR!$AF331)</f>
        <v>0.95001530899999997</v>
      </c>
      <c r="G203">
        <f>IF([1]species_comp_Region2_forR!$G331&gt;49,[1]species_comp_Region2_forR!$AE331,[1]species_comp_Region2_forR!$AG331)</f>
        <v>5.7212300000000001E-4</v>
      </c>
      <c r="H203" s="7">
        <f t="shared" si="200"/>
        <v>5167.1332656509994</v>
      </c>
      <c r="I203">
        <f t="shared" si="207"/>
        <v>16924.955086683</v>
      </c>
      <c r="J203">
        <f t="shared" si="201"/>
        <v>130.09594569656272</v>
      </c>
      <c r="K203" s="6">
        <f t="shared" si="202"/>
        <v>254.98805356526293</v>
      </c>
      <c r="M203" s="2">
        <f>'rockfish harvests'!O202</f>
        <v>1471.2039985303945</v>
      </c>
      <c r="N203">
        <f>'rockfish harvests'!P202</f>
        <v>494154.9077878145</v>
      </c>
      <c r="O203" s="32">
        <v>0.70942925999999995</v>
      </c>
      <c r="P203" s="32">
        <v>1.0326715E-2</v>
      </c>
      <c r="Q203" s="13">
        <f t="shared" si="197"/>
        <v>1043.7151639864587</v>
      </c>
      <c r="R203" s="2">
        <f t="shared" si="208"/>
        <v>265951.73230629502</v>
      </c>
      <c r="S203">
        <f t="shared" si="203"/>
        <v>515.70508268417814</v>
      </c>
      <c r="T203" s="6">
        <f t="shared" si="204"/>
        <v>1010.7819620609891</v>
      </c>
      <c r="V203" s="13">
        <f t="shared" si="198"/>
        <v>6210.8484296374581</v>
      </c>
      <c r="W203">
        <f t="shared" si="199"/>
        <v>282876.687392978</v>
      </c>
      <c r="X203">
        <f t="shared" si="205"/>
        <v>531.86153028112312</v>
      </c>
      <c r="Y203" s="6">
        <f t="shared" si="206"/>
        <v>1042.4485993510013</v>
      </c>
      <c r="Z203" s="14">
        <f>X203/V203</f>
        <v>8.563427948799085E-2</v>
      </c>
    </row>
    <row r="204" spans="1:26" x14ac:dyDescent="0.25">
      <c r="A204" t="str">
        <f>'rockfish harvests'!A203</f>
        <v>SC</v>
      </c>
      <c r="B204">
        <f>'rockfish harvests'!B203</f>
        <v>1999</v>
      </c>
      <c r="C204" t="str">
        <f>'rockfish harvests'!C203</f>
        <v>PWSO</v>
      </c>
      <c r="D204">
        <f>'rockfish harvests'!D203</f>
        <v>4594</v>
      </c>
      <c r="E204">
        <v>3253</v>
      </c>
      <c r="F204">
        <f>IF([1]species_comp_Region2_forR!$G332&gt;49,[1]species_comp_Region2_forR!$AD332,[1]species_comp_Region2_forR!$AF332)</f>
        <v>0.98670537599999997</v>
      </c>
      <c r="G204">
        <f>IF([1]species_comp_Region2_forR!$G332&gt;49,[1]species_comp_Region2_forR!$AE332,[1]species_comp_Region2_forR!$AG332)</f>
        <v>8.4089000000000001E-5</v>
      </c>
      <c r="H204" s="7">
        <f t="shared" si="200"/>
        <v>3209.7525881279998</v>
      </c>
      <c r="I204">
        <f t="shared" si="207"/>
        <v>889.83055480100006</v>
      </c>
      <c r="J204">
        <f t="shared" si="201"/>
        <v>29.830027737181204</v>
      </c>
      <c r="K204" s="6">
        <f t="shared" si="202"/>
        <v>58.466854364875161</v>
      </c>
      <c r="M204" s="2">
        <f>'rockfish harvests'!O203</f>
        <v>953.13935541512274</v>
      </c>
      <c r="N204">
        <f>'rockfish harvests'!P203</f>
        <v>207410.20653889881</v>
      </c>
      <c r="O204" s="32">
        <v>0.70942925999999995</v>
      </c>
      <c r="P204" s="32">
        <v>1.0326715E-2</v>
      </c>
      <c r="Q204" s="13">
        <f t="shared" si="197"/>
        <v>676.1849475890275</v>
      </c>
      <c r="R204" s="2">
        <f t="shared" si="208"/>
        <v>111627.14941751069</v>
      </c>
      <c r="S204">
        <f t="shared" si="203"/>
        <v>334.10649412651452</v>
      </c>
      <c r="T204" s="6">
        <f t="shared" si="204"/>
        <v>654.8487284879684</v>
      </c>
      <c r="V204" s="13">
        <f t="shared" si="198"/>
        <v>3885.9375357170275</v>
      </c>
      <c r="W204">
        <f t="shared" si="199"/>
        <v>112516.97997231169</v>
      </c>
      <c r="X204">
        <f t="shared" si="205"/>
        <v>335.43550791815659</v>
      </c>
      <c r="Y204" s="6">
        <f t="shared" si="206"/>
        <v>657.45359551958688</v>
      </c>
      <c r="Z204" s="14">
        <f t="shared" ref="Z204:Z278" si="234">X204/V204</f>
        <v>8.6320355084210723E-2</v>
      </c>
    </row>
    <row r="205" spans="1:26" x14ac:dyDescent="0.25">
      <c r="A205" t="str">
        <f>'rockfish harvests'!A204</f>
        <v>SC</v>
      </c>
      <c r="B205">
        <f>'rockfish harvests'!B204</f>
        <v>2000</v>
      </c>
      <c r="C205" t="str">
        <f>'rockfish harvests'!C204</f>
        <v>PWSO</v>
      </c>
      <c r="D205">
        <f>'rockfish harvests'!D204</f>
        <v>9244</v>
      </c>
      <c r="E205">
        <v>7038</v>
      </c>
      <c r="F205">
        <f>IF([1]species_comp_Region2_forR!$G333&gt;49,[1]species_comp_Region2_forR!$AD333,[1]species_comp_Region2_forR!$AF333)</f>
        <v>0.97999830700000001</v>
      </c>
      <c r="G205">
        <f>IF([1]species_comp_Region2_forR!$G333&gt;49,[1]species_comp_Region2_forR!$AE333,[1]species_comp_Region2_forR!$AG333)</f>
        <v>2.6851499999999999E-4</v>
      </c>
      <c r="H205" s="7">
        <f t="shared" si="200"/>
        <v>6897.2280846660005</v>
      </c>
      <c r="I205">
        <f t="shared" si="207"/>
        <v>13300.47271566</v>
      </c>
      <c r="J205">
        <f t="shared" si="201"/>
        <v>115.32767541080501</v>
      </c>
      <c r="K205" s="6">
        <f t="shared" si="202"/>
        <v>226.04224380517783</v>
      </c>
      <c r="M205" s="2">
        <f>'rockfish harvests'!O204</f>
        <v>1917.897301144405</v>
      </c>
      <c r="N205">
        <f>'rockfish harvests'!P204</f>
        <v>839784.81191828009</v>
      </c>
      <c r="O205" s="32">
        <v>0.70942925999999995</v>
      </c>
      <c r="P205" s="32">
        <v>1.0326715E-2</v>
      </c>
      <c r="Q205" s="13">
        <f t="shared" si="197"/>
        <v>1360.6124631068724</v>
      </c>
      <c r="R205" s="2">
        <f t="shared" si="208"/>
        <v>451968.04073852045</v>
      </c>
      <c r="S205">
        <f t="shared" si="203"/>
        <v>672.28568387146277</v>
      </c>
      <c r="T205" s="6">
        <f t="shared" si="204"/>
        <v>1317.6799403880671</v>
      </c>
      <c r="V205" s="13">
        <f t="shared" si="198"/>
        <v>8257.8405477728738</v>
      </c>
      <c r="W205">
        <f t="shared" si="199"/>
        <v>465268.51345418044</v>
      </c>
      <c r="X205">
        <f t="shared" si="205"/>
        <v>682.10594005196913</v>
      </c>
      <c r="Y205" s="6">
        <f t="shared" si="206"/>
        <v>1336.9276425018595</v>
      </c>
      <c r="Z205" s="14">
        <f t="shared" si="234"/>
        <v>8.2601006413950684E-2</v>
      </c>
    </row>
    <row r="206" spans="1:26" x14ac:dyDescent="0.25">
      <c r="A206" t="str">
        <f>'rockfish harvests'!A205</f>
        <v>SC</v>
      </c>
      <c r="B206">
        <f>'rockfish harvests'!B205</f>
        <v>2001</v>
      </c>
      <c r="C206" t="str">
        <f>'rockfish harvests'!C205</f>
        <v>PWSO</v>
      </c>
      <c r="D206">
        <f>'rockfish harvests'!D205</f>
        <v>11235</v>
      </c>
      <c r="E206">
        <v>8211</v>
      </c>
      <c r="F206">
        <f>IF([1]species_comp_Region2_forR!$G334&gt;49,[1]species_comp_Region2_forR!$AD334,[1]species_comp_Region2_forR!$AF334)</f>
        <v>0.91102233300000002</v>
      </c>
      <c r="G206">
        <f>IF([1]species_comp_Region2_forR!$G334&gt;49,[1]species_comp_Region2_forR!$AE334,[1]species_comp_Region2_forR!$AG334)</f>
        <v>3.89715E-4</v>
      </c>
      <c r="H206" s="7">
        <f t="shared" si="200"/>
        <v>7480.4043762629999</v>
      </c>
      <c r="I206">
        <f t="shared" si="207"/>
        <v>26274.788341514999</v>
      </c>
      <c r="J206">
        <f t="shared" si="201"/>
        <v>162.09499789171471</v>
      </c>
      <c r="K206" s="6">
        <f t="shared" si="202"/>
        <v>317.70619586776081</v>
      </c>
      <c r="M206" s="2">
        <f>'rockfish harvests'!O205</f>
        <v>2330.979681778168</v>
      </c>
      <c r="N206">
        <f>'rockfish harvests'!P205</f>
        <v>1240492.9366742759</v>
      </c>
      <c r="O206">
        <f>IF([1]species_comp_Region2_forR!$D361&gt;49,[1]species_comp_Region2_forR!$N361,[1]species_comp_Region2_forR!$P361)</f>
        <v>0.65110920400000005</v>
      </c>
      <c r="P206">
        <f>IF([1]species_comp_Region2_forR!$D361&gt;49,[1]species_comp_Region2_forR!$O361,[1]species_comp_Region2_forR!$Q361)</f>
        <v>4.454235E-3</v>
      </c>
      <c r="Q206" s="13">
        <f t="shared" si="197"/>
        <v>1517.7223251427563</v>
      </c>
      <c r="R206" s="2">
        <f t="shared" si="208"/>
        <v>544575.02821637911</v>
      </c>
      <c r="S206">
        <f t="shared" si="203"/>
        <v>737.95326966982066</v>
      </c>
      <c r="T206" s="6">
        <f t="shared" si="204"/>
        <v>1446.3884085528484</v>
      </c>
      <c r="V206" s="13">
        <f t="shared" si="198"/>
        <v>8998.1267014057557</v>
      </c>
      <c r="W206">
        <f t="shared" si="199"/>
        <v>570849.81655789411</v>
      </c>
      <c r="X206">
        <f t="shared" si="205"/>
        <v>755.54603867527101</v>
      </c>
      <c r="Y206" s="6">
        <f t="shared" si="206"/>
        <v>1480.8702358035312</v>
      </c>
      <c r="Z206" s="14">
        <f t="shared" si="234"/>
        <v>8.3967037111983972E-2</v>
      </c>
    </row>
    <row r="207" spans="1:26" x14ac:dyDescent="0.25">
      <c r="A207" t="str">
        <f>'rockfish harvests'!A206</f>
        <v>SC</v>
      </c>
      <c r="B207">
        <f>'rockfish harvests'!B206</f>
        <v>2002</v>
      </c>
      <c r="C207" t="str">
        <f>'rockfish harvests'!C206</f>
        <v>PWSO</v>
      </c>
      <c r="D207">
        <f>'rockfish harvests'!D206</f>
        <v>9018</v>
      </c>
      <c r="E207">
        <v>6632</v>
      </c>
      <c r="F207">
        <f>IF([1]species_comp_Region2_forR!$G335&gt;49,[1]species_comp_Region2_forR!$AD335,[1]species_comp_Region2_forR!$AF335)</f>
        <v>0.92577644299999995</v>
      </c>
      <c r="G207">
        <f>IF([1]species_comp_Region2_forR!$G335&gt;49,[1]species_comp_Region2_forR!$AE335,[1]species_comp_Region2_forR!$AG335)</f>
        <v>3.5238199999999999E-4</v>
      </c>
      <c r="H207" s="7">
        <f t="shared" si="200"/>
        <v>6139.7493699759998</v>
      </c>
      <c r="I207">
        <f t="shared" si="207"/>
        <v>15498.966915968</v>
      </c>
      <c r="J207">
        <f t="shared" si="201"/>
        <v>124.49484694543787</v>
      </c>
      <c r="K207" s="6">
        <f t="shared" si="202"/>
        <v>244.00990001305823</v>
      </c>
      <c r="M207" s="2">
        <f>'rockfish harvests'!O206</f>
        <v>1871.0079902336911</v>
      </c>
      <c r="N207">
        <f>'rockfish harvests'!P206</f>
        <v>799224.16063675296</v>
      </c>
      <c r="O207" s="32">
        <v>0.70942925999999995</v>
      </c>
      <c r="P207" s="32">
        <v>1.0326715E-2</v>
      </c>
      <c r="Q207" s="13">
        <f t="shared" si="197"/>
        <v>1327.3478139655747</v>
      </c>
      <c r="R207" s="2">
        <f t="shared" si="208"/>
        <v>430138.49841932196</v>
      </c>
      <c r="S207">
        <f t="shared" si="203"/>
        <v>655.84944798278354</v>
      </c>
      <c r="T207" s="6">
        <f t="shared" si="204"/>
        <v>1285.4649180462557</v>
      </c>
      <c r="V207" s="13">
        <f t="shared" si="198"/>
        <v>7467.0971839415743</v>
      </c>
      <c r="W207">
        <f t="shared" si="199"/>
        <v>445637.46533528995</v>
      </c>
      <c r="X207">
        <f t="shared" si="205"/>
        <v>667.56083268514931</v>
      </c>
      <c r="Y207" s="6">
        <f t="shared" si="206"/>
        <v>1308.4192320628927</v>
      </c>
      <c r="Z207" s="14">
        <f t="shared" si="234"/>
        <v>8.9400313969500433E-2</v>
      </c>
    </row>
    <row r="208" spans="1:26" x14ac:dyDescent="0.25">
      <c r="A208" t="str">
        <f>'rockfish harvests'!A207</f>
        <v>SC</v>
      </c>
      <c r="B208">
        <f>'rockfish harvests'!B207</f>
        <v>2003</v>
      </c>
      <c r="C208" t="str">
        <f>'rockfish harvests'!C207</f>
        <v>PWSO</v>
      </c>
      <c r="D208">
        <f>'rockfish harvests'!D207</f>
        <v>9696</v>
      </c>
      <c r="E208">
        <v>7248</v>
      </c>
      <c r="F208">
        <f>IF([1]species_comp_Region2_forR!$G336&gt;49,[1]species_comp_Region2_forR!$AD336,[1]species_comp_Region2_forR!$AF336)</f>
        <v>0.96045200200000003</v>
      </c>
      <c r="G208">
        <f>IF([1]species_comp_Region2_forR!$G336&gt;49,[1]species_comp_Region2_forR!$AE336,[1]species_comp_Region2_forR!$AG336)</f>
        <v>1.22135E-4</v>
      </c>
      <c r="H208" s="7">
        <f t="shared" si="200"/>
        <v>6961.3561104959999</v>
      </c>
      <c r="I208">
        <f t="shared" si="207"/>
        <v>6416.1795110399999</v>
      </c>
      <c r="J208">
        <f t="shared" si="201"/>
        <v>80.101058114359518</v>
      </c>
      <c r="K208" s="6">
        <f t="shared" si="202"/>
        <v>156.99807390414466</v>
      </c>
      <c r="M208" s="2">
        <f>'rockfish harvests'!O207</f>
        <v>2011.675922965831</v>
      </c>
      <c r="N208">
        <f>'rockfish harvests'!P207</f>
        <v>923917.84611739591</v>
      </c>
      <c r="O208">
        <f>IF([1]species_comp_Region2_forR!$D363&gt;49,[1]species_comp_Region2_forR!$N363,[1]species_comp_Region2_forR!$P363)</f>
        <v>0.89012781799999996</v>
      </c>
      <c r="P208">
        <f>IF([1]species_comp_Region2_forR!$D363&gt;49,[1]species_comp_Region2_forR!$O363,[1]species_comp_Region2_forR!$Q363)</f>
        <v>1.6300049999999999E-3</v>
      </c>
      <c r="Q208" s="13">
        <f t="shared" si="197"/>
        <v>1790.6486998327111</v>
      </c>
      <c r="R208" s="2">
        <f t="shared" si="208"/>
        <v>737135.92589015199</v>
      </c>
      <c r="S208">
        <f t="shared" si="203"/>
        <v>858.56620355692553</v>
      </c>
      <c r="T208" s="6">
        <f t="shared" si="204"/>
        <v>1682.789758971574</v>
      </c>
      <c r="V208" s="13">
        <f t="shared" si="198"/>
        <v>8752.0048103287118</v>
      </c>
      <c r="W208">
        <f t="shared" si="199"/>
        <v>743552.10540119198</v>
      </c>
      <c r="X208">
        <f t="shared" si="205"/>
        <v>862.29467434351693</v>
      </c>
      <c r="Y208" s="6">
        <f t="shared" si="206"/>
        <v>1690.0975617132931</v>
      </c>
      <c r="Z208" s="14">
        <f t="shared" si="234"/>
        <v>9.852538852879475E-2</v>
      </c>
    </row>
    <row r="209" spans="1:26" x14ac:dyDescent="0.25">
      <c r="A209" t="str">
        <f>'rockfish harvests'!A208</f>
        <v>SC</v>
      </c>
      <c r="B209">
        <f>'rockfish harvests'!B208</f>
        <v>2004</v>
      </c>
      <c r="C209" t="str">
        <f>'rockfish harvests'!C208</f>
        <v>PWSO</v>
      </c>
      <c r="D209">
        <f>'rockfish harvests'!D208</f>
        <v>12216</v>
      </c>
      <c r="E209">
        <v>9240</v>
      </c>
      <c r="F209">
        <f>IF([1]species_comp_Region2_forR!$G337&gt;49,[1]species_comp_Region2_forR!$AD337,[1]species_comp_Region2_forR!$AF337)</f>
        <v>0.92333540599999997</v>
      </c>
      <c r="G209">
        <f>IF([1]species_comp_Region2_forR!$G337&gt;49,[1]species_comp_Region2_forR!$AE337,[1]species_comp_Region2_forR!$AG337)</f>
        <v>1.8876599999999999E-4</v>
      </c>
      <c r="H209" s="7">
        <f t="shared" si="200"/>
        <v>8531.6191514399998</v>
      </c>
      <c r="I209">
        <f t="shared" si="207"/>
        <v>16116.388041599999</v>
      </c>
      <c r="J209">
        <f t="shared" si="201"/>
        <v>126.95033691014766</v>
      </c>
      <c r="K209" s="6">
        <f t="shared" si="202"/>
        <v>248.8226603438894</v>
      </c>
      <c r="M209" s="2">
        <f>'rockfish harvests'!O208</f>
        <v>2534.5124871029911</v>
      </c>
      <c r="N209">
        <f>'rockfish harvests'!P208</f>
        <v>1466581.4594766509</v>
      </c>
      <c r="O209">
        <f>IF([1]species_comp_Region2_forR!$D364&gt;49,[1]species_comp_Region2_forR!$N364,[1]species_comp_Region2_forR!$P364)</f>
        <v>0.70360321999999997</v>
      </c>
      <c r="P209">
        <f>IF([1]species_comp_Region2_forR!$D364&gt;49,[1]species_comp_Region2_forR!$O364,[1]species_comp_Region2_forR!$Q364)</f>
        <v>3.861958E-3</v>
      </c>
      <c r="Q209" s="13">
        <f t="shared" si="197"/>
        <v>1783.2911470558729</v>
      </c>
      <c r="R209" s="2">
        <f t="shared" si="208"/>
        <v>745186.52836255857</v>
      </c>
      <c r="S209">
        <f t="shared" si="203"/>
        <v>863.24187129828135</v>
      </c>
      <c r="T209" s="6">
        <f t="shared" si="204"/>
        <v>1691.9540677446314</v>
      </c>
      <c r="V209" s="13">
        <f t="shared" si="198"/>
        <v>10314.910298495874</v>
      </c>
      <c r="W209">
        <f t="shared" si="199"/>
        <v>761302.91640415858</v>
      </c>
      <c r="X209">
        <f t="shared" si="205"/>
        <v>872.5267425151842</v>
      </c>
      <c r="Y209" s="6">
        <f t="shared" si="206"/>
        <v>1710.152415329761</v>
      </c>
      <c r="Z209" s="14">
        <f t="shared" si="234"/>
        <v>8.4588883205549206E-2</v>
      </c>
    </row>
    <row r="210" spans="1:26" x14ac:dyDescent="0.25">
      <c r="A210" t="str">
        <f>'rockfish harvests'!A209</f>
        <v>SC</v>
      </c>
      <c r="B210">
        <f>'rockfish harvests'!B209</f>
        <v>2005</v>
      </c>
      <c r="C210" t="str">
        <f>'rockfish harvests'!C209</f>
        <v>PWSO</v>
      </c>
      <c r="D210">
        <f>'rockfish harvests'!D209</f>
        <v>9664</v>
      </c>
      <c r="E210">
        <v>7477</v>
      </c>
      <c r="F210">
        <f>IF([1]species_comp_Region2_forR!$G338&gt;49,[1]species_comp_Region2_forR!$AD338,[1]species_comp_Region2_forR!$AF338)</f>
        <v>0.931865587</v>
      </c>
      <c r="G210">
        <f>IF([1]species_comp_Region2_forR!$G338&gt;49,[1]species_comp_Region2_forR!$AE338,[1]species_comp_Region2_forR!$AG338)</f>
        <v>2.7133399999999997E-4</v>
      </c>
      <c r="H210" s="7">
        <f t="shared" si="200"/>
        <v>6967.5589939989995</v>
      </c>
      <c r="I210">
        <f t="shared" si="207"/>
        <v>15169.070805685998</v>
      </c>
      <c r="J210">
        <f t="shared" si="201"/>
        <v>123.16278173898964</v>
      </c>
      <c r="K210" s="6">
        <f t="shared" si="202"/>
        <v>241.39905220841968</v>
      </c>
      <c r="M210" s="2">
        <f>'rockfish harvests'!O209</f>
        <v>2005.0367285005977</v>
      </c>
      <c r="N210">
        <f>'rockfish harvests'!P209</f>
        <v>917829.44196419709</v>
      </c>
      <c r="O210">
        <f>IF([1]species_comp_Region2_forR!$D365&gt;49,[1]species_comp_Region2_forR!$N365,[1]species_comp_Region2_forR!$P365)</f>
        <v>0.86423101300000005</v>
      </c>
      <c r="P210">
        <f>IF([1]species_comp_Region2_forR!$D365&gt;49,[1]species_comp_Region2_forR!$O365,[1]species_comp_Region2_forR!$Q365)</f>
        <v>2.0230309999999998E-3</v>
      </c>
      <c r="Q210" s="13">
        <f t="shared" si="197"/>
        <v>1732.8149229742776</v>
      </c>
      <c r="R210" s="2">
        <f t="shared" si="208"/>
        <v>691798.58059043321</v>
      </c>
      <c r="S210">
        <f t="shared" si="203"/>
        <v>831.74430000477503</v>
      </c>
      <c r="T210" s="6">
        <f t="shared" si="204"/>
        <v>1630.218828009359</v>
      </c>
      <c r="V210" s="13">
        <f t="shared" si="198"/>
        <v>8700.3739169732762</v>
      </c>
      <c r="W210">
        <f t="shared" si="199"/>
        <v>706967.65139611915</v>
      </c>
      <c r="X210">
        <f t="shared" si="205"/>
        <v>840.81368411564233</v>
      </c>
      <c r="Y210" s="6">
        <f t="shared" si="206"/>
        <v>1647.994820866659</v>
      </c>
      <c r="Z210" s="14">
        <f t="shared" si="234"/>
        <v>9.6641097513674251E-2</v>
      </c>
    </row>
    <row r="211" spans="1:26" x14ac:dyDescent="0.25">
      <c r="A211" t="str">
        <f>'rockfish harvests'!A210</f>
        <v>SC</v>
      </c>
      <c r="B211">
        <f>'rockfish harvests'!B210</f>
        <v>2006</v>
      </c>
      <c r="C211" t="str">
        <f>'rockfish harvests'!C210</f>
        <v>PWSO</v>
      </c>
      <c r="D211">
        <f>'rockfish harvests'!D210</f>
        <v>9129</v>
      </c>
      <c r="E211">
        <v>6195</v>
      </c>
      <c r="F211">
        <f>IF([1]species_comp_Region2_forR!$G339&gt;49,[1]species_comp_Region2_forR!$AD339,[1]species_comp_Region2_forR!$AF339)</f>
        <v>0.96043807999999997</v>
      </c>
      <c r="G211">
        <f>IF([1]species_comp_Region2_forR!$G339&gt;49,[1]species_comp_Region2_forR!$AE339,[1]species_comp_Region2_forR!$AG339)</f>
        <v>1.2024299999999999E-4</v>
      </c>
      <c r="H211" s="7">
        <f t="shared" si="200"/>
        <v>5949.9139055999995</v>
      </c>
      <c r="I211">
        <f t="shared" si="207"/>
        <v>4614.6888600749999</v>
      </c>
      <c r="J211">
        <f t="shared" si="201"/>
        <v>67.931501235251673</v>
      </c>
      <c r="K211" s="6">
        <f t="shared" si="202"/>
        <v>133.14574242109327</v>
      </c>
      <c r="M211" s="2">
        <f>'rockfish harvests'!O210</f>
        <v>1894.0376960349713</v>
      </c>
      <c r="N211">
        <f>'rockfish harvests'!P210</f>
        <v>819020.09295315738</v>
      </c>
      <c r="O211" s="32">
        <v>0.70942925999999995</v>
      </c>
      <c r="P211" s="32">
        <v>1.0326715E-2</v>
      </c>
      <c r="Q211" s="13">
        <f t="shared" si="197"/>
        <v>1343.6857611101946</v>
      </c>
      <c r="R211" s="2">
        <f t="shared" si="208"/>
        <v>440792.57148263475</v>
      </c>
      <c r="S211">
        <f t="shared" si="203"/>
        <v>663.92211251217918</v>
      </c>
      <c r="T211" s="6">
        <f t="shared" si="204"/>
        <v>1301.2873405238711</v>
      </c>
      <c r="V211" s="13">
        <f t="shared" si="198"/>
        <v>7293.5996667101936</v>
      </c>
      <c r="W211">
        <f t="shared" si="199"/>
        <v>445407.26034270978</v>
      </c>
      <c r="X211">
        <f t="shared" si="205"/>
        <v>667.38838792918011</v>
      </c>
      <c r="Y211" s="6">
        <f t="shared" si="206"/>
        <v>1308.0812403411931</v>
      </c>
      <c r="Z211" s="14">
        <f t="shared" si="234"/>
        <v>9.1503293082468865E-2</v>
      </c>
    </row>
    <row r="212" spans="1:26" x14ac:dyDescent="0.25">
      <c r="A212" t="str">
        <f>'rockfish harvests'!A211</f>
        <v>SC</v>
      </c>
      <c r="B212">
        <f>'rockfish harvests'!B211</f>
        <v>2007</v>
      </c>
      <c r="C212" t="str">
        <f>'rockfish harvests'!C211</f>
        <v>PWSO</v>
      </c>
      <c r="D212">
        <f>'rockfish harvests'!D211</f>
        <v>12198</v>
      </c>
      <c r="E212">
        <v>8339</v>
      </c>
      <c r="F212">
        <f>IF([1]species_comp_Region2_forR!$G340&gt;49,[1]species_comp_Region2_forR!$AD340,[1]species_comp_Region2_forR!$AF340)</f>
        <v>0.97732030299999995</v>
      </c>
      <c r="G212">
        <f>IF([1]species_comp_Region2_forR!$G340&gt;49,[1]species_comp_Region2_forR!$AE340,[1]species_comp_Region2_forR!$AG340)</f>
        <v>5.0605800000000003E-5</v>
      </c>
      <c r="H212" s="7">
        <f t="shared" si="200"/>
        <v>8149.8740067169992</v>
      </c>
      <c r="I212">
        <f t="shared" si="207"/>
        <v>3519.0727283418</v>
      </c>
      <c r="J212">
        <f t="shared" si="201"/>
        <v>59.321772801744558</v>
      </c>
      <c r="K212" s="6">
        <f t="shared" si="202"/>
        <v>116.27067469141933</v>
      </c>
      <c r="M212" s="2">
        <f>'rockfish harvests'!O211</f>
        <v>2530.7779402162978</v>
      </c>
      <c r="N212">
        <f>'rockfish harvests'!P211</f>
        <v>1462262.6943327789</v>
      </c>
      <c r="O212" s="32">
        <v>0.70942925999999995</v>
      </c>
      <c r="P212" s="32">
        <v>1.0326715E-2</v>
      </c>
      <c r="Q212" s="13">
        <f t="shared" si="197"/>
        <v>1795.4079213519722</v>
      </c>
      <c r="R212" s="2">
        <f t="shared" si="208"/>
        <v>786982.56460838241</v>
      </c>
      <c r="S212">
        <f t="shared" si="203"/>
        <v>887.1203777438451</v>
      </c>
      <c r="T212" s="6">
        <f t="shared" si="204"/>
        <v>1738.7559403779364</v>
      </c>
      <c r="V212" s="13">
        <f t="shared" si="198"/>
        <v>9945.281928068971</v>
      </c>
      <c r="W212">
        <f t="shared" si="199"/>
        <v>790501.6373367242</v>
      </c>
      <c r="X212">
        <f t="shared" si="205"/>
        <v>889.10158999786086</v>
      </c>
      <c r="Y212" s="6">
        <f t="shared" si="206"/>
        <v>1742.6391163958072</v>
      </c>
      <c r="Z212" s="14">
        <f t="shared" si="234"/>
        <v>8.9399334923680088E-2</v>
      </c>
    </row>
    <row r="213" spans="1:26" x14ac:dyDescent="0.25">
      <c r="A213" t="str">
        <f>'rockfish harvests'!A212</f>
        <v>SC</v>
      </c>
      <c r="B213">
        <f>'rockfish harvests'!B212</f>
        <v>2008</v>
      </c>
      <c r="C213" t="str">
        <f>'rockfish harvests'!C212</f>
        <v>PWSO</v>
      </c>
      <c r="D213">
        <f>'rockfish harvests'!D212</f>
        <v>13387</v>
      </c>
      <c r="E213">
        <v>9818</v>
      </c>
      <c r="F213">
        <f>IF([1]species_comp_Region2_forR!$G341&gt;49,[1]species_comp_Region2_forR!$AD341,[1]species_comp_Region2_forR!$AF341)</f>
        <v>0.926579029</v>
      </c>
      <c r="G213">
        <f>IF([1]species_comp_Region2_forR!$G341&gt;49,[1]species_comp_Region2_forR!$AE341,[1]species_comp_Region2_forR!$AG341)</f>
        <v>1.895E-4</v>
      </c>
      <c r="H213" s="7">
        <f t="shared" si="200"/>
        <v>9097.1529067219999</v>
      </c>
      <c r="I213">
        <f t="shared" si="207"/>
        <v>18266.496997999999</v>
      </c>
      <c r="J213">
        <f t="shared" si="201"/>
        <v>135.15360519793765</v>
      </c>
      <c r="K213" s="6">
        <f t="shared" si="202"/>
        <v>264.90106618795778</v>
      </c>
      <c r="M213" s="2">
        <f>'rockfish harvests'!O212</f>
        <v>2777.4655095651397</v>
      </c>
      <c r="N213">
        <f>'rockfish harvests'!P212</f>
        <v>1761224.3005580062</v>
      </c>
      <c r="O213" s="32">
        <v>0.70942925999999995</v>
      </c>
      <c r="P213" s="32">
        <v>1.0326715E-2</v>
      </c>
      <c r="Q213" s="13">
        <f t="shared" si="197"/>
        <v>1970.4153011263197</v>
      </c>
      <c r="R213" s="2">
        <f t="shared" si="208"/>
        <v>947882.22545483941</v>
      </c>
      <c r="S213">
        <f t="shared" si="203"/>
        <v>973.59243292809106</v>
      </c>
      <c r="T213" s="6">
        <f t="shared" si="204"/>
        <v>1908.2411685390584</v>
      </c>
      <c r="V213" s="13">
        <f t="shared" si="198"/>
        <v>11067.568207848319</v>
      </c>
      <c r="W213">
        <f t="shared" si="199"/>
        <v>966148.72245283937</v>
      </c>
      <c r="X213">
        <f t="shared" si="205"/>
        <v>982.92864565686523</v>
      </c>
      <c r="Y213" s="6">
        <f t="shared" si="206"/>
        <v>1926.5401454874559</v>
      </c>
      <c r="Z213" s="14">
        <f t="shared" si="234"/>
        <v>8.8811618523375657E-2</v>
      </c>
    </row>
    <row r="214" spans="1:26" x14ac:dyDescent="0.25">
      <c r="A214" t="str">
        <f>'rockfish harvests'!A213</f>
        <v>SC</v>
      </c>
      <c r="B214">
        <f>'rockfish harvests'!B213</f>
        <v>2009</v>
      </c>
      <c r="C214" t="str">
        <f>'rockfish harvests'!C213</f>
        <v>PWSO</v>
      </c>
      <c r="D214">
        <f>'rockfish harvests'!D213</f>
        <v>13724</v>
      </c>
      <c r="E214">
        <v>10348</v>
      </c>
      <c r="F214">
        <f>IF([1]species_comp_Region2_forR!$G342&gt;49,[1]species_comp_Region2_forR!$AD342,[1]species_comp_Region2_forR!$AF342)</f>
        <v>0.82006284399999996</v>
      </c>
      <c r="G214">
        <f>IF([1]species_comp_Region2_forR!$G342&gt;49,[1]species_comp_Region2_forR!$AE342,[1]species_comp_Region2_forR!$AG342)</f>
        <v>1.8869500000000001E-4</v>
      </c>
      <c r="H214" s="7">
        <f t="shared" si="200"/>
        <v>8486.0103097119991</v>
      </c>
      <c r="I214">
        <f t="shared" si="207"/>
        <v>20205.66891928</v>
      </c>
      <c r="J214">
        <f t="shared" si="201"/>
        <v>142.14664582493671</v>
      </c>
      <c r="K214" s="6">
        <f t="shared" si="202"/>
        <v>278.60742581687595</v>
      </c>
      <c r="M214" s="2">
        <f>'rockfish harvests'!O213</f>
        <v>2847.384526277132</v>
      </c>
      <c r="N214">
        <f>'rockfish harvests'!P213</f>
        <v>1851013.392635928</v>
      </c>
      <c r="O214">
        <f>IF([1]species_comp_Region2_forR!$D369&gt;49,[1]species_comp_Region2_forR!$N369,[1]species_comp_Region2_forR!$P369)</f>
        <v>0.65525882800000002</v>
      </c>
      <c r="P214">
        <f>IF([1]species_comp_Region2_forR!$D369&gt;49,[1]species_comp_Region2_forR!$O369,[1]species_comp_Region2_forR!$Q369)</f>
        <v>2.2817649999999998E-3</v>
      </c>
      <c r="Q214" s="13">
        <f t="shared" si="197"/>
        <v>1865.7738475536887</v>
      </c>
      <c r="R214" s="2">
        <f t="shared" si="208"/>
        <v>809034.81528029765</v>
      </c>
      <c r="S214">
        <f t="shared" si="203"/>
        <v>899.46362643538714</v>
      </c>
      <c r="T214" s="6">
        <f t="shared" si="204"/>
        <v>1762.9487078133589</v>
      </c>
      <c r="V214" s="13">
        <f t="shared" si="198"/>
        <v>10351.784157265687</v>
      </c>
      <c r="W214">
        <f t="shared" si="199"/>
        <v>829240.48419957771</v>
      </c>
      <c r="X214">
        <f t="shared" si="205"/>
        <v>910.62642406179805</v>
      </c>
      <c r="Y214" s="6">
        <f t="shared" si="206"/>
        <v>1784.8277911611242</v>
      </c>
      <c r="Z214" s="14">
        <f t="shared" si="234"/>
        <v>8.7968065236623927E-2</v>
      </c>
    </row>
    <row r="215" spans="1:26" x14ac:dyDescent="0.25">
      <c r="A215" t="str">
        <f>'rockfish harvests'!A214</f>
        <v>SC</v>
      </c>
      <c r="B215">
        <f>'rockfish harvests'!B214</f>
        <v>2010</v>
      </c>
      <c r="C215" t="str">
        <f>'rockfish harvests'!C214</f>
        <v>PWSO</v>
      </c>
      <c r="D215">
        <f>'rockfish harvests'!D214</f>
        <v>13038</v>
      </c>
      <c r="E215">
        <v>8515</v>
      </c>
      <c r="F215">
        <f>IF([1]species_comp_Region2_forR!$G343&gt;49,[1]species_comp_Region2_forR!$AD343,[1]species_comp_Region2_forR!$AF343)</f>
        <v>0.89574330099999999</v>
      </c>
      <c r="G215">
        <f>IF([1]species_comp_Region2_forR!$G343&gt;49,[1]species_comp_Region2_forR!$AE343,[1]species_comp_Region2_forR!$AG343)</f>
        <v>2.0083300000000001E-4</v>
      </c>
      <c r="H215" s="7">
        <f t="shared" si="200"/>
        <v>7627.2542080149997</v>
      </c>
      <c r="I215">
        <f t="shared" si="207"/>
        <v>14561.441852425001</v>
      </c>
      <c r="J215">
        <f t="shared" si="201"/>
        <v>120.67079950188861</v>
      </c>
      <c r="K215" s="6">
        <f t="shared" si="202"/>
        <v>236.51476702370167</v>
      </c>
      <c r="M215" s="2">
        <f>'rockfish harvests'!O214</f>
        <v>2705.0567949286833</v>
      </c>
      <c r="N215">
        <f>'rockfish harvests'!P214</f>
        <v>1670590.8394394808</v>
      </c>
      <c r="O215">
        <f>IF([1]species_comp_Region2_forR!$D370&gt;49,[1]species_comp_Region2_forR!$N370,[1]species_comp_Region2_forR!$P370)</f>
        <v>0.71079927399999998</v>
      </c>
      <c r="P215">
        <f>IF([1]species_comp_Region2_forR!$D370&gt;49,[1]species_comp_Region2_forR!$O370,[1]species_comp_Region2_forR!$Q370)</f>
        <v>2.0153300000000001E-3</v>
      </c>
      <c r="Q215" s="13">
        <f t="shared" si="197"/>
        <v>1922.752405964075</v>
      </c>
      <c r="R215" s="2">
        <f t="shared" si="208"/>
        <v>855422.02574273292</v>
      </c>
      <c r="S215">
        <f t="shared" si="203"/>
        <v>924.89027767769994</v>
      </c>
      <c r="T215" s="6">
        <f t="shared" si="204"/>
        <v>1812.7849442482918</v>
      </c>
      <c r="V215" s="13">
        <f t="shared" si="198"/>
        <v>9550.0066139790742</v>
      </c>
      <c r="W215">
        <f t="shared" si="199"/>
        <v>869983.46759515791</v>
      </c>
      <c r="X215">
        <f t="shared" si="205"/>
        <v>932.72904296754791</v>
      </c>
      <c r="Y215" s="6">
        <f t="shared" si="206"/>
        <v>1828.1489242163939</v>
      </c>
      <c r="Z215" s="14">
        <f t="shared" si="234"/>
        <v>9.7667894973207783E-2</v>
      </c>
    </row>
    <row r="216" spans="1:26" x14ac:dyDescent="0.25">
      <c r="A216" t="str">
        <f>'rockfish harvests'!A215</f>
        <v>SC</v>
      </c>
      <c r="B216">
        <f>'rockfish harvests'!B215</f>
        <v>2011</v>
      </c>
      <c r="C216" t="str">
        <f>'rockfish harvests'!C215</f>
        <v>PWSO</v>
      </c>
      <c r="D216">
        <f>'rockfish harvests'!D215</f>
        <v>15590</v>
      </c>
      <c r="E216">
        <v>11330</v>
      </c>
      <c r="F216">
        <f>IF([1]species_comp_Region2_forR!$G344&gt;49,[1]species_comp_Region2_forR!$AD344,[1]species_comp_Region2_forR!$AF344)</f>
        <v>0.92510807900000003</v>
      </c>
      <c r="G216">
        <f>IF([1]species_comp_Region2_forR!$G344&gt;49,[1]species_comp_Region2_forR!$AE344,[1]species_comp_Region2_forR!$AG344)</f>
        <v>1.2574099999999999E-4</v>
      </c>
      <c r="H216" s="7">
        <f t="shared" si="200"/>
        <v>10481.47453507</v>
      </c>
      <c r="I216">
        <f t="shared" si="207"/>
        <v>16141.233854899998</v>
      </c>
      <c r="J216">
        <f t="shared" si="201"/>
        <v>127.04815565327975</v>
      </c>
      <c r="K216" s="6">
        <f t="shared" si="202"/>
        <v>249.0143850804283</v>
      </c>
      <c r="M216" s="2">
        <f>'rockfish harvests'!O215</f>
        <v>3693.2731282159002</v>
      </c>
      <c r="N216">
        <f>'rockfish harvests'!P215</f>
        <v>1342172.6209808656</v>
      </c>
      <c r="O216">
        <f>IF([1]species_comp_Region2_forR!$D371&gt;49,[1]species_comp_Region2_forR!$N371,[1]species_comp_Region2_forR!$P371)</f>
        <v>0.820387388</v>
      </c>
      <c r="P216">
        <f>IF([1]species_comp_Region2_forR!$D371&gt;49,[1]species_comp_Region2_forR!$O371,[1]species_comp_Region2_forR!$Q371)</f>
        <v>1.067768E-3</v>
      </c>
      <c r="Q216" s="13">
        <f t="shared" si="197"/>
        <v>3029.9146948276316</v>
      </c>
      <c r="R216" s="2">
        <f t="shared" si="208"/>
        <v>916461.28693483456</v>
      </c>
      <c r="S216">
        <f t="shared" si="203"/>
        <v>957.31984568107362</v>
      </c>
      <c r="T216" s="6">
        <f t="shared" si="204"/>
        <v>1876.3468975349042</v>
      </c>
      <c r="V216" s="13">
        <f t="shared" si="198"/>
        <v>13511.389229897632</v>
      </c>
      <c r="W216">
        <f t="shared" si="199"/>
        <v>932602.52078973455</v>
      </c>
      <c r="X216">
        <f t="shared" si="205"/>
        <v>965.71347758521756</v>
      </c>
      <c r="Y216" s="6">
        <f t="shared" si="206"/>
        <v>1892.7984160670264</v>
      </c>
      <c r="Z216" s="14">
        <f t="shared" si="234"/>
        <v>7.1474032843959021E-2</v>
      </c>
    </row>
    <row r="217" spans="1:26" x14ac:dyDescent="0.25">
      <c r="A217" t="str">
        <f>'rockfish harvests'!A216</f>
        <v>SC</v>
      </c>
      <c r="B217">
        <f>'rockfish harvests'!B216</f>
        <v>2012</v>
      </c>
      <c r="C217" t="str">
        <f>'rockfish harvests'!C216</f>
        <v>PWSO</v>
      </c>
      <c r="D217">
        <f>'rockfish harvests'!D216</f>
        <v>16566</v>
      </c>
      <c r="E217">
        <v>11401</v>
      </c>
      <c r="F217">
        <f>IF([1]species_comp_Region2_forR!$G345&gt;49,[1]species_comp_Region2_forR!$AD345,[1]species_comp_Region2_forR!$AF345)</f>
        <v>0.83521020599999996</v>
      </c>
      <c r="G217">
        <f>IF([1]species_comp_Region2_forR!$G345&gt;49,[1]species_comp_Region2_forR!$AE345,[1]species_comp_Region2_forR!$AG345)</f>
        <v>2.4446599999999999E-4</v>
      </c>
      <c r="H217" s="7">
        <f t="shared" si="200"/>
        <v>9522.2315586059995</v>
      </c>
      <c r="I217">
        <f t="shared" si="207"/>
        <v>31776.375429265998</v>
      </c>
      <c r="J217">
        <f t="shared" si="201"/>
        <v>178.25929268699008</v>
      </c>
      <c r="K217" s="6">
        <f t="shared" si="202"/>
        <v>349.38821366650058</v>
      </c>
      <c r="M217" s="2">
        <f>'rockfish harvests'!O216</f>
        <v>2004.0431802604508</v>
      </c>
      <c r="N217">
        <f>'rockfish harvests'!P216</f>
        <v>375586.44375818601</v>
      </c>
      <c r="O217">
        <f>IF([1]species_comp_Region2_forR!$D372&gt;49,[1]species_comp_Region2_forR!$N372,[1]species_comp_Region2_forR!$P372)</f>
        <v>0.72013129799999998</v>
      </c>
      <c r="P217">
        <f>IF([1]species_comp_Region2_forR!$D372&gt;49,[1]species_comp_Region2_forR!$O372,[1]species_comp_Region2_forR!$Q372)</f>
        <v>7.1979399999999995E-4</v>
      </c>
      <c r="Q217" s="13">
        <f t="shared" si="197"/>
        <v>1443.1742166490064</v>
      </c>
      <c r="R217" s="2">
        <f t="shared" si="208"/>
        <v>197395.51464300981</v>
      </c>
      <c r="S217">
        <f t="shared" si="203"/>
        <v>444.29215010284594</v>
      </c>
      <c r="T217" s="6">
        <f t="shared" si="204"/>
        <v>870.81261420157807</v>
      </c>
      <c r="V217" s="13">
        <f t="shared" si="198"/>
        <v>10965.405775255005</v>
      </c>
      <c r="W217">
        <f t="shared" si="199"/>
        <v>229171.8900722758</v>
      </c>
      <c r="X217">
        <f t="shared" si="205"/>
        <v>478.71900951630886</v>
      </c>
      <c r="Y217" s="6">
        <f t="shared" si="206"/>
        <v>938.28925865196538</v>
      </c>
      <c r="Z217" s="14">
        <f t="shared" si="234"/>
        <v>4.3657208800845865E-2</v>
      </c>
    </row>
    <row r="218" spans="1:26" x14ac:dyDescent="0.25">
      <c r="A218" t="str">
        <f>'rockfish harvests'!A217</f>
        <v>SC</v>
      </c>
      <c r="B218">
        <f>'rockfish harvests'!B217</f>
        <v>2013</v>
      </c>
      <c r="C218" t="str">
        <f>'rockfish harvests'!C217</f>
        <v>PWSO</v>
      </c>
      <c r="D218">
        <f>'rockfish harvests'!D217</f>
        <v>19818</v>
      </c>
      <c r="E218">
        <v>14223</v>
      </c>
      <c r="F218">
        <f>IF([1]species_comp_Region2_forR!$G346&gt;49,[1]species_comp_Region2_forR!$AD346,[1]species_comp_Region2_forR!$AF346)</f>
        <v>0.70982587200000002</v>
      </c>
      <c r="G218">
        <f>IF([1]species_comp_Region2_forR!$G346&gt;49,[1]species_comp_Region2_forR!$AE346,[1]species_comp_Region2_forR!$AG346)</f>
        <v>3.4617300000000002E-4</v>
      </c>
      <c r="H218" s="7">
        <f t="shared" si="200"/>
        <v>10095.853377456</v>
      </c>
      <c r="I218">
        <f t="shared" si="207"/>
        <v>70028.627049117</v>
      </c>
      <c r="J218">
        <f t="shared" si="201"/>
        <v>264.62922561409766</v>
      </c>
      <c r="K218" s="6">
        <f t="shared" si="202"/>
        <v>518.6732822036314</v>
      </c>
      <c r="M218" s="2">
        <f>'rockfish harvests'!O217</f>
        <v>6885.7645042839649</v>
      </c>
      <c r="N218">
        <f>'rockfish harvests'!P217</f>
        <v>4343369.567205376</v>
      </c>
      <c r="O218">
        <f>IF([1]species_comp_Region2_forR!$D373&gt;49,[1]species_comp_Region2_forR!$N373,[1]species_comp_Region2_forR!$P373)</f>
        <v>0.59766794000000001</v>
      </c>
      <c r="P218">
        <f>IF([1]species_comp_Region2_forR!$D373&gt;49,[1]species_comp_Region2_forR!$O373,[1]species_comp_Region2_forR!$Q373)</f>
        <v>7.3760999999999998E-4</v>
      </c>
      <c r="Q218" s="13">
        <f t="shared" si="197"/>
        <v>4115.4006866005184</v>
      </c>
      <c r="R218" s="2">
        <f t="shared" si="208"/>
        <v>1583251.012889124</v>
      </c>
      <c r="S218">
        <f t="shared" si="203"/>
        <v>1258.2730279590055</v>
      </c>
      <c r="T218" s="6">
        <f t="shared" si="204"/>
        <v>2466.215134799651</v>
      </c>
      <c r="V218" s="13">
        <f t="shared" si="198"/>
        <v>14211.254064056518</v>
      </c>
      <c r="W218">
        <f t="shared" si="199"/>
        <v>1653279.6399382409</v>
      </c>
      <c r="X218">
        <f t="shared" si="205"/>
        <v>1285.7992222498196</v>
      </c>
      <c r="Y218" s="6">
        <f t="shared" si="206"/>
        <v>2520.1664756096466</v>
      </c>
      <c r="Z218" s="14">
        <f t="shared" si="234"/>
        <v>9.0477533963867221E-2</v>
      </c>
    </row>
    <row r="219" spans="1:26" x14ac:dyDescent="0.25">
      <c r="A219" t="str">
        <f>'rockfish harvests'!A218</f>
        <v>SC</v>
      </c>
      <c r="B219">
        <f>'rockfish harvests'!B218</f>
        <v>2014</v>
      </c>
      <c r="C219" t="str">
        <f>'rockfish harvests'!C218</f>
        <v>PWSO</v>
      </c>
      <c r="D219">
        <f>'rockfish harvests'!D218</f>
        <v>21309</v>
      </c>
      <c r="E219">
        <v>15752</v>
      </c>
      <c r="F219">
        <f>IF([1]species_comp_Region2_forR!$G347&gt;49,[1]species_comp_Region2_forR!$AD347,[1]species_comp_Region2_forR!$AF347)</f>
        <v>0.75754714099999998</v>
      </c>
      <c r="G219">
        <f>IF([1]species_comp_Region2_forR!$G347&gt;49,[1]species_comp_Region2_forR!$AE347,[1]species_comp_Region2_forR!$AG347)</f>
        <v>1.8837899999999999E-4</v>
      </c>
      <c r="H219" s="7">
        <f t="shared" si="200"/>
        <v>11932.882565032</v>
      </c>
      <c r="I219">
        <f t="shared" si="207"/>
        <v>46741.634318015997</v>
      </c>
      <c r="J219">
        <f t="shared" si="201"/>
        <v>216.19813671263682</v>
      </c>
      <c r="K219" s="6">
        <f t="shared" si="202"/>
        <v>423.74834795676816</v>
      </c>
      <c r="M219" s="2">
        <f>'rockfish harvests'!O218</f>
        <v>7356.7256448320622</v>
      </c>
      <c r="N219">
        <f>'rockfish harvests'!P218</f>
        <v>3862984.9469756186</v>
      </c>
      <c r="O219">
        <f>IF([1]species_comp_Region2_forR!$D374&gt;49,[1]species_comp_Region2_forR!$N374,[1]species_comp_Region2_forR!$P374)</f>
        <v>0.74516604200000003</v>
      </c>
      <c r="P219">
        <f>IF([1]species_comp_Region2_forR!$D374&gt;49,[1]species_comp_Region2_forR!$O374,[1]species_comp_Region2_forR!$Q374)</f>
        <v>7.1121200000000002E-4</v>
      </c>
      <c r="Q219" s="13">
        <f t="shared" si="197"/>
        <v>5481.9821308394057</v>
      </c>
      <c r="R219" s="2">
        <f t="shared" si="208"/>
        <v>2180753.4357127692</v>
      </c>
      <c r="S219">
        <f t="shared" si="203"/>
        <v>1476.737429508973</v>
      </c>
      <c r="T219" s="6">
        <f t="shared" si="204"/>
        <v>2894.405361837587</v>
      </c>
      <c r="V219" s="13">
        <f t="shared" si="198"/>
        <v>17414.864695871405</v>
      </c>
      <c r="W219">
        <f t="shared" si="199"/>
        <v>2227495.0700307852</v>
      </c>
      <c r="X219">
        <f t="shared" si="205"/>
        <v>1492.4795040571864</v>
      </c>
      <c r="Y219" s="6">
        <f t="shared" si="206"/>
        <v>2925.2598279520853</v>
      </c>
      <c r="Z219" s="14">
        <f t="shared" si="234"/>
        <v>8.570146998678739E-2</v>
      </c>
    </row>
    <row r="220" spans="1:26" x14ac:dyDescent="0.25">
      <c r="A220" t="str">
        <f>'rockfish harvests'!A219</f>
        <v>SC</v>
      </c>
      <c r="B220">
        <f>'rockfish harvests'!B219</f>
        <v>2015</v>
      </c>
      <c r="C220" t="str">
        <f>'rockfish harvests'!C219</f>
        <v>PWSO</v>
      </c>
      <c r="D220">
        <f>'rockfish harvests'!D219</f>
        <v>24516</v>
      </c>
      <c r="E220">
        <v>18386</v>
      </c>
      <c r="F220">
        <f>IF([1]species_comp_Region2_forR!$G348&gt;49,[1]species_comp_Region2_forR!$AD348,[1]species_comp_Region2_forR!$AF348)</f>
        <v>0.69841151400000001</v>
      </c>
      <c r="G220">
        <f>IF([1]species_comp_Region2_forR!$G348&gt;49,[1]species_comp_Region2_forR!$AE348,[1]species_comp_Region2_forR!$AG348)</f>
        <v>2.3377700000000001E-4</v>
      </c>
      <c r="H220" s="7">
        <f t="shared" si="200"/>
        <v>12840.994096404</v>
      </c>
      <c r="I220">
        <f t="shared" si="207"/>
        <v>79027.14502989201</v>
      </c>
      <c r="J220">
        <f t="shared" si="201"/>
        <v>281.11767114482865</v>
      </c>
      <c r="K220" s="6">
        <f t="shared" si="202"/>
        <v>550.99063544386411</v>
      </c>
      <c r="M220" s="2">
        <f>'rockfish harvests'!O219</f>
        <v>2612.963774691143</v>
      </c>
      <c r="N220">
        <f>'rockfish harvests'!P219</f>
        <v>501421.42786728247</v>
      </c>
      <c r="O220">
        <f>IF([1]species_comp_Region2_forR!$D375&gt;49,[1]species_comp_Region2_forR!$N375,[1]species_comp_Region2_forR!$P375)</f>
        <v>0.73094164299999997</v>
      </c>
      <c r="P220">
        <f>IF([1]species_comp_Region2_forR!$D375&gt;49,[1]species_comp_Region2_forR!$O375,[1]species_comp_Region2_forR!$Q375)</f>
        <v>9.8332999999999992E-4</v>
      </c>
      <c r="Q220" s="13">
        <f t="shared" si="197"/>
        <v>1909.9240345722258</v>
      </c>
      <c r="R220" s="2">
        <f t="shared" si="208"/>
        <v>274117.97828569735</v>
      </c>
      <c r="S220">
        <f t="shared" si="203"/>
        <v>523.56277396860196</v>
      </c>
      <c r="T220" s="6">
        <f t="shared" si="204"/>
        <v>1026.1830369784598</v>
      </c>
      <c r="V220" s="13">
        <f t="shared" si="198"/>
        <v>14750.918130976226</v>
      </c>
      <c r="W220">
        <f t="shared" si="199"/>
        <v>353145.12331558939</v>
      </c>
      <c r="X220">
        <f t="shared" si="205"/>
        <v>594.260147844014</v>
      </c>
      <c r="Y220" s="6">
        <f t="shared" si="206"/>
        <v>1164.7498897742673</v>
      </c>
      <c r="Z220" s="14">
        <f t="shared" si="234"/>
        <v>4.0286315913861385E-2</v>
      </c>
    </row>
    <row r="221" spans="1:26" x14ac:dyDescent="0.25">
      <c r="A221" t="str">
        <f>'rockfish harvests'!A220</f>
        <v>SC</v>
      </c>
      <c r="B221">
        <f>'rockfish harvests'!B220</f>
        <v>2016</v>
      </c>
      <c r="C221" t="str">
        <f>'rockfish harvests'!C220</f>
        <v>PWSO</v>
      </c>
      <c r="D221">
        <f>'rockfish harvests'!D220</f>
        <v>29349</v>
      </c>
      <c r="E221">
        <v>21660</v>
      </c>
      <c r="F221">
        <f>IF([1]species_comp_Region2_forR!$G349&gt;49,[1]species_comp_Region2_forR!$AD349,[1]species_comp_Region2_forR!$AF349)</f>
        <v>0.85681116099999999</v>
      </c>
      <c r="G221">
        <f>IF([1]species_comp_Region2_forR!$G349&gt;49,[1]species_comp_Region2_forR!$AE349,[1]species_comp_Region2_forR!$AG349)</f>
        <v>1.48171E-4</v>
      </c>
      <c r="H221" s="7">
        <f t="shared" si="200"/>
        <v>18558.52974726</v>
      </c>
      <c r="I221">
        <f t="shared" si="207"/>
        <v>69515.254407600005</v>
      </c>
      <c r="J221">
        <f t="shared" si="201"/>
        <v>263.65745657500378</v>
      </c>
      <c r="K221" s="6">
        <f t="shared" si="202"/>
        <v>516.7686148870074</v>
      </c>
      <c r="M221" s="2">
        <f>'rockfish harvests'!O220</f>
        <v>3728.736072598942</v>
      </c>
      <c r="N221">
        <f>'rockfish harvests'!P220</f>
        <v>690520.60458105023</v>
      </c>
      <c r="O221">
        <f>IF([1]species_comp_Region2_forR!$D376&gt;49,[1]species_comp_Region2_forR!$N376,[1]species_comp_Region2_forR!$P376)</f>
        <v>0.52053716800000005</v>
      </c>
      <c r="P221">
        <f>IF([1]species_comp_Region2_forR!$D376&gt;49,[1]species_comp_Region2_forR!$O376,[1]species_comp_Region2_forR!$Q376)</f>
        <v>1.1242260000000001E-3</v>
      </c>
      <c r="Q221" s="13">
        <f t="shared" si="197"/>
        <v>1940.9457154500958</v>
      </c>
      <c r="R221" s="2">
        <f t="shared" si="208"/>
        <v>201957.07760448355</v>
      </c>
      <c r="S221">
        <f t="shared" si="203"/>
        <v>449.39634800973135</v>
      </c>
      <c r="T221" s="6">
        <f t="shared" si="204"/>
        <v>880.81684209907348</v>
      </c>
      <c r="V221" s="13">
        <f t="shared" si="198"/>
        <v>20499.475462710096</v>
      </c>
      <c r="W221">
        <f t="shared" si="199"/>
        <v>271472.33201208356</v>
      </c>
      <c r="X221">
        <f t="shared" si="205"/>
        <v>521.03006824182762</v>
      </c>
      <c r="Y221" s="6">
        <f t="shared" si="206"/>
        <v>1021.2189337539821</v>
      </c>
      <c r="Z221" s="14">
        <f t="shared" si="234"/>
        <v>2.5416751232957929E-2</v>
      </c>
    </row>
    <row r="222" spans="1:26" x14ac:dyDescent="0.25">
      <c r="A222" t="str">
        <f>'rockfish harvests'!A221</f>
        <v>SC</v>
      </c>
      <c r="B222">
        <f>'rockfish harvests'!B221</f>
        <v>2017</v>
      </c>
      <c r="C222" t="str">
        <f>'rockfish harvests'!C221</f>
        <v>PWSO</v>
      </c>
      <c r="D222">
        <f>'rockfish harvests'!D221</f>
        <v>28647</v>
      </c>
      <c r="E222">
        <v>20918</v>
      </c>
      <c r="F222">
        <f>IF([1]species_comp_Region2_forR!$G350&gt;49,[1]species_comp_Region2_forR!$AD350,[1]species_comp_Region2_forR!$AF350)</f>
        <v>0.86899805100000005</v>
      </c>
      <c r="G222">
        <f>IF([1]species_comp_Region2_forR!$G350&gt;49,[1]species_comp_Region2_forR!$AE350,[1]species_comp_Region2_forR!$AG350)</f>
        <v>1.7871299999999999E-4</v>
      </c>
      <c r="H222" s="7">
        <f t="shared" si="200"/>
        <v>18177.701230818002</v>
      </c>
      <c r="I222">
        <f t="shared" si="207"/>
        <v>78198.147094211992</v>
      </c>
      <c r="J222">
        <f t="shared" si="201"/>
        <v>279.639316073781</v>
      </c>
      <c r="K222" s="6">
        <f t="shared" si="202"/>
        <v>548.09305950461078</v>
      </c>
      <c r="M222" s="2">
        <f>'rockfish harvests'!O221</f>
        <v>7308.8621616433084</v>
      </c>
      <c r="N222">
        <f>'rockfish harvests'!P221</f>
        <v>5936209.9806912215</v>
      </c>
      <c r="O222">
        <f>IF([1]species_comp_Region2_forR!$D377&gt;49,[1]species_comp_Region2_forR!$N377,[1]species_comp_Region2_forR!$P377)</f>
        <v>0.68874964000000005</v>
      </c>
      <c r="P222">
        <f>IF([1]species_comp_Region2_forR!$D377&gt;49,[1]species_comp_Region2_forR!$O377,[1]species_comp_Region2_forR!$Q377)</f>
        <v>1.5422560000000001E-3</v>
      </c>
      <c r="Q222" s="13">
        <f t="shared" si="197"/>
        <v>5033.9761826414506</v>
      </c>
      <c r="R222" s="2">
        <f t="shared" si="208"/>
        <v>2889227.2777990373</v>
      </c>
      <c r="S222">
        <f t="shared" si="203"/>
        <v>1699.7727135705636</v>
      </c>
      <c r="T222" s="6">
        <f t="shared" si="204"/>
        <v>3331.5545185983046</v>
      </c>
      <c r="V222" s="13">
        <f t="shared" si="198"/>
        <v>23211.677413459453</v>
      </c>
      <c r="W222">
        <f t="shared" si="199"/>
        <v>2967425.4248932493</v>
      </c>
      <c r="X222">
        <f t="shared" si="205"/>
        <v>1722.6216720142729</v>
      </c>
      <c r="Y222" s="6">
        <f t="shared" si="206"/>
        <v>3376.338477147975</v>
      </c>
      <c r="Z222" s="14">
        <f t="shared" si="234"/>
        <v>7.4213579713777983E-2</v>
      </c>
    </row>
    <row r="223" spans="1:26" x14ac:dyDescent="0.25">
      <c r="A223" t="str">
        <f>'rockfish harvests'!A222</f>
        <v>SC</v>
      </c>
      <c r="B223">
        <f>'rockfish harvests'!B222</f>
        <v>2018</v>
      </c>
      <c r="C223" t="str">
        <f>'rockfish harvests'!C222</f>
        <v>PWSO</v>
      </c>
      <c r="D223">
        <f>'rockfish harvests'!D222</f>
        <v>27142</v>
      </c>
      <c r="E223">
        <v>21809</v>
      </c>
      <c r="F223">
        <f>IF([1]species_comp_Region2_forR!$G351&gt;49,[1]species_comp_Region2_forR!$AD351,[1]species_comp_Region2_forR!$AF351)</f>
        <v>0.87260955100000004</v>
      </c>
      <c r="G223">
        <f>IF([1]species_comp_Region2_forR!$G351&gt;49,[1]species_comp_Region2_forR!$AE351,[1]species_comp_Region2_forR!$AG351)</f>
        <v>1.7423499999999999E-4</v>
      </c>
      <c r="H223" s="7">
        <f t="shared" si="200"/>
        <v>19030.741697759</v>
      </c>
      <c r="I223">
        <f t="shared" si="207"/>
        <v>82871.825327034996</v>
      </c>
      <c r="J223">
        <f t="shared" si="201"/>
        <v>287.87466947794314</v>
      </c>
      <c r="K223" s="6">
        <f t="shared" si="202"/>
        <v>564.23435217676854</v>
      </c>
      <c r="M223" s="2">
        <f>'rockfish harvests'!O222</f>
        <v>4727.7448574203227</v>
      </c>
      <c r="N223">
        <f>'rockfish harvests'!P222</f>
        <v>2237274.0611776323</v>
      </c>
      <c r="O223">
        <f>IF([1]species_comp_Region2_forR!$D378&gt;49,[1]species_comp_Region2_forR!$N378,[1]species_comp_Region2_forR!$P378)</f>
        <v>0.63329915599999997</v>
      </c>
      <c r="P223">
        <f>IF([1]species_comp_Region2_forR!$D378&gt;49,[1]species_comp_Region2_forR!$O378,[1]species_comp_Region2_forR!$Q378)</f>
        <v>2.0734939999999999E-3</v>
      </c>
      <c r="Q223" s="13">
        <f t="shared" si="197"/>
        <v>2994.0768279876306</v>
      </c>
      <c r="R223" s="2">
        <f t="shared" si="208"/>
        <v>939005.50759736169</v>
      </c>
      <c r="S223">
        <f t="shared" si="203"/>
        <v>969.02296546437003</v>
      </c>
      <c r="T223" s="6">
        <f t="shared" si="204"/>
        <v>1899.2850123101653</v>
      </c>
      <c r="V223" s="13">
        <f t="shared" si="198"/>
        <v>22024.818525746632</v>
      </c>
      <c r="W223">
        <f t="shared" si="199"/>
        <v>1021877.3329243967</v>
      </c>
      <c r="X223">
        <f t="shared" si="205"/>
        <v>1010.8794848667159</v>
      </c>
      <c r="Y223" s="6">
        <f t="shared" si="206"/>
        <v>1981.323790338763</v>
      </c>
      <c r="Z223" s="14">
        <f t="shared" si="234"/>
        <v>4.5897290081414986E-2</v>
      </c>
    </row>
    <row r="224" spans="1:26" x14ac:dyDescent="0.25">
      <c r="A224" t="str">
        <f>'rockfish harvests'!A223</f>
        <v>SC</v>
      </c>
      <c r="B224">
        <f>'rockfish harvests'!B223</f>
        <v>2019</v>
      </c>
      <c r="C224" t="str">
        <f>'rockfish harvests'!C223</f>
        <v>PWSO</v>
      </c>
      <c r="D224">
        <f>'rockfish harvests'!D223</f>
        <v>33682</v>
      </c>
      <c r="E224">
        <v>26059</v>
      </c>
      <c r="F224">
        <f>IF([1]species_comp_Region2_forR!$G352&gt;49,[1]species_comp_Region2_forR!$AD352,[1]species_comp_Region2_forR!$AF352)</f>
        <v>0.79008593699999996</v>
      </c>
      <c r="G224">
        <f>IF([1]species_comp_Region2_forR!$G352&gt;49,[1]species_comp_Region2_forR!$AE352,[1]species_comp_Region2_forR!$AG352)</f>
        <v>1.7513199999999999E-4</v>
      </c>
      <c r="H224" s="7">
        <f>E224*F224</f>
        <v>20588.849432282997</v>
      </c>
      <c r="I224">
        <f>(E224^2)*G224</f>
        <v>118927.146610492</v>
      </c>
      <c r="J224">
        <f>SQRT(I224)</f>
        <v>344.85815433376661</v>
      </c>
      <c r="K224" s="6">
        <f>(1.96*J224)</f>
        <v>675.92198249418254</v>
      </c>
      <c r="M224" s="2">
        <f>'rockfish harvests'!O223</f>
        <v>6995.3520303194382</v>
      </c>
      <c r="N224">
        <f>'rockfish harvests'!P223</f>
        <v>5326815.9562128652</v>
      </c>
      <c r="O224">
        <f>IF([1]species_comp_Region2_forR!$D379&gt;49,[1]species_comp_Region2_forR!$N379,[1]species_comp_Region2_forR!$P379)</f>
        <v>0.57068481599999998</v>
      </c>
      <c r="P224">
        <f>IF([1]species_comp_Region2_forR!$D379&gt;49,[1]species_comp_Region2_forR!$O379,[1]species_comp_Region2_forR!$Q379)</f>
        <v>1.0000149999999999E-3</v>
      </c>
      <c r="Q224" s="13">
        <f t="shared" ref="Q224:Q232" si="235">M224*O224</f>
        <v>3992.1411862780751</v>
      </c>
      <c r="R224" s="2">
        <f>(M224^2)*P224+(O224^2)*N224-(P224*N224)</f>
        <v>1778452.3837273575</v>
      </c>
      <c r="S224">
        <f>SQRT(R224)</f>
        <v>1333.5862865699232</v>
      </c>
      <c r="T224" s="6">
        <f>(1.96*S224)</f>
        <v>2613.8291216770494</v>
      </c>
      <c r="V224" s="13">
        <f>Q224+H224</f>
        <v>24580.990618561074</v>
      </c>
      <c r="W224">
        <f>R224+I224</f>
        <v>1897379.5303378494</v>
      </c>
      <c r="X224">
        <f>SQRT(W224)</f>
        <v>1377.454002984437</v>
      </c>
      <c r="Y224" s="6">
        <f>(1.96*X224)</f>
        <v>2699.8098458494965</v>
      </c>
      <c r="Z224" s="14">
        <f t="shared" si="234"/>
        <v>5.6037367425880849E-2</v>
      </c>
    </row>
    <row r="225" spans="1:26" x14ac:dyDescent="0.25">
      <c r="A225" t="str">
        <f>'rockfish harvests'!A224</f>
        <v>SC</v>
      </c>
      <c r="B225">
        <f>'rockfish harvests'!B224</f>
        <v>2020</v>
      </c>
      <c r="C225" t="str">
        <f>'rockfish harvests'!C224</f>
        <v>PWSO</v>
      </c>
      <c r="D225">
        <f>'rockfish harvests'!D224</f>
        <v>29279</v>
      </c>
      <c r="E225">
        <v>23828</v>
      </c>
      <c r="F225">
        <v>0.90149758026512539</v>
      </c>
      <c r="G225">
        <v>8.5962916787269311E-5</v>
      </c>
      <c r="H225" s="7">
        <f t="shared" ref="H225:H226" si="236">E225*F225</f>
        <v>21480.884342557409</v>
      </c>
      <c r="I225">
        <f t="shared" ref="I225:I226" si="237">(E225^2)*G225</f>
        <v>48807.473355401664</v>
      </c>
      <c r="J225">
        <f t="shared" ref="J225:J226" si="238">SQRT(I225)</f>
        <v>220.92413484135602</v>
      </c>
      <c r="K225" s="6">
        <f t="shared" ref="K225:K226" si="239">(1.96*J225)</f>
        <v>433.01130428905782</v>
      </c>
      <c r="M225" s="2">
        <f>'rockfish harvests'!O224</f>
        <v>6546.1019423978578</v>
      </c>
      <c r="N225">
        <f>'rockfish harvests'!P224</f>
        <v>3018032.5104616564</v>
      </c>
      <c r="O225">
        <v>0.54515706006409503</v>
      </c>
      <c r="P225">
        <v>1.4169190852935298E-3</v>
      </c>
      <c r="Q225" s="13">
        <f t="shared" si="235"/>
        <v>3568.6536897974779</v>
      </c>
      <c r="R225" s="2">
        <f t="shared" ref="R225:R226" si="240">(M225^2)*P225+(O225^2)*N225-(P225*N225)</f>
        <v>953388.584742576</v>
      </c>
      <c r="S225">
        <f t="shared" ref="S225:S226" si="241">SQRT(R225)</f>
        <v>976.416194428675</v>
      </c>
      <c r="T225" s="6">
        <f t="shared" ref="T225:T226" si="242">(1.96*S225)</f>
        <v>1913.775741080203</v>
      </c>
      <c r="V225" s="13">
        <f t="shared" ref="V225:V226" si="243">Q225+H225</f>
        <v>25049.538032354885</v>
      </c>
      <c r="W225">
        <f t="shared" ref="W225:W226" si="244">R225+I225</f>
        <v>1002196.0580979777</v>
      </c>
      <c r="X225">
        <f t="shared" ref="X225:X226" si="245">SQRT(W225)</f>
        <v>1001.0974268761146</v>
      </c>
      <c r="Y225" s="6">
        <f t="shared" ref="Y225:Y226" si="246">(1.96*X225)</f>
        <v>1962.1509566771845</v>
      </c>
      <c r="Z225" s="14">
        <f t="shared" ref="Z225:Z226" si="247">X225/V225</f>
        <v>3.9964706158774711E-2</v>
      </c>
    </row>
    <row r="226" spans="1:26" x14ac:dyDescent="0.25">
      <c r="A226" t="str">
        <f>'rockfish harvests'!A225</f>
        <v>SC</v>
      </c>
      <c r="B226">
        <f>'rockfish harvests'!B225</f>
        <v>2021</v>
      </c>
      <c r="C226" t="str">
        <f>'rockfish harvests'!C225</f>
        <v>PWSO</v>
      </c>
      <c r="D226">
        <f>'rockfish harvests'!D225</f>
        <v>38638</v>
      </c>
      <c r="E226">
        <v>32675</v>
      </c>
      <c r="F226">
        <v>0.84494573889645064</v>
      </c>
      <c r="G226">
        <v>1.6883046033141971E-4</v>
      </c>
      <c r="H226" s="7">
        <f t="shared" si="236"/>
        <v>27608.602018441525</v>
      </c>
      <c r="I226">
        <f t="shared" si="237"/>
        <v>180252.79064417962</v>
      </c>
      <c r="J226">
        <f t="shared" si="238"/>
        <v>424.56188081854407</v>
      </c>
      <c r="K226" s="6">
        <f t="shared" si="239"/>
        <v>832.14128640434637</v>
      </c>
      <c r="M226" s="2">
        <f>'rockfish harvests'!O225</f>
        <v>8140.8816955045913</v>
      </c>
      <c r="N226">
        <f>'rockfish harvests'!P225</f>
        <v>4846611.7748930994</v>
      </c>
      <c r="O226">
        <v>0.64592902584913237</v>
      </c>
      <c r="P226">
        <v>2.8235150545027564E-3</v>
      </c>
      <c r="Q226" s="13">
        <f t="shared" si="235"/>
        <v>5258.4317831303133</v>
      </c>
      <c r="R226" s="2">
        <f t="shared" si="240"/>
        <v>2195565.2640702077</v>
      </c>
      <c r="S226">
        <f t="shared" si="241"/>
        <v>1481.7439941063394</v>
      </c>
      <c r="T226" s="6">
        <f t="shared" si="242"/>
        <v>2904.2182284484252</v>
      </c>
      <c r="V226" s="13">
        <f t="shared" si="243"/>
        <v>32867.033801571837</v>
      </c>
      <c r="W226">
        <f t="shared" si="244"/>
        <v>2375818.0547143873</v>
      </c>
      <c r="X226">
        <f t="shared" si="245"/>
        <v>1541.3688898879423</v>
      </c>
      <c r="Y226" s="6">
        <f t="shared" si="246"/>
        <v>3021.0830241803669</v>
      </c>
      <c r="Z226" s="14">
        <f t="shared" si="247"/>
        <v>4.6897109705538065E-2</v>
      </c>
    </row>
    <row r="227" spans="1:26" s="51" customFormat="1" x14ac:dyDescent="0.25">
      <c r="A227" s="51" t="s">
        <v>81</v>
      </c>
      <c r="B227" s="51">
        <v>2022</v>
      </c>
      <c r="C227" s="51" t="s">
        <v>52</v>
      </c>
      <c r="D227">
        <f>'rockfish harvests'!D226</f>
        <v>36656</v>
      </c>
      <c r="E227" s="43">
        <v>17939</v>
      </c>
      <c r="F227" s="103">
        <v>0.88210502284153725</v>
      </c>
      <c r="G227" s="103">
        <v>1.7104564394616499E-4</v>
      </c>
      <c r="H227" s="7">
        <f t="shared" ref="H227" si="248">E227*F227</f>
        <v>15824.082004754337</v>
      </c>
      <c r="I227">
        <f t="shared" ref="I227" si="249">(E227^2)*G227</f>
        <v>55043.808865292798</v>
      </c>
      <c r="J227">
        <f t="shared" ref="J227" si="250">SQRT(I227)</f>
        <v>234.61417021418976</v>
      </c>
      <c r="K227" s="6">
        <f t="shared" ref="K227" si="251">(1.96*J227)</f>
        <v>459.84377361981188</v>
      </c>
      <c r="M227" s="2">
        <f>'rockfish harvests'!O226</f>
        <v>13333.02302338033</v>
      </c>
      <c r="N227">
        <f>'rockfish harvests'!P226</f>
        <v>23551712.984039951</v>
      </c>
      <c r="O227" s="103">
        <v>0.68179343203008302</v>
      </c>
      <c r="P227" s="103">
        <v>1.937063822060032E-3</v>
      </c>
      <c r="Q227" s="13">
        <f t="shared" ref="Q227" si="252">M227*O227</f>
        <v>9090.3675264465892</v>
      </c>
      <c r="R227" s="2">
        <f t="shared" ref="R227" si="253">(M227^2)*P227+(O227^2)*N227-(P227*N227)</f>
        <v>11246561.756302029</v>
      </c>
      <c r="S227">
        <f t="shared" ref="S227" si="254">SQRT(R227)</f>
        <v>3353.5893839738383</v>
      </c>
      <c r="T227" s="6">
        <f t="shared" ref="T227" si="255">(1.96*S227)</f>
        <v>6573.0351925887226</v>
      </c>
      <c r="V227" s="13">
        <f t="shared" ref="V227" si="256">Q227+H227</f>
        <v>24914.449531200924</v>
      </c>
      <c r="W227">
        <f t="shared" ref="W227" si="257">R227+I227</f>
        <v>11301605.565167321</v>
      </c>
      <c r="X227">
        <f t="shared" ref="X227" si="258">SQRT(W227)</f>
        <v>3361.7860677275885</v>
      </c>
      <c r="Y227" s="6">
        <f t="shared" ref="Y227" si="259">(1.96*X227)</f>
        <v>6589.100692746073</v>
      </c>
      <c r="Z227" s="14">
        <f t="shared" ref="Z227" si="260">X227/V227</f>
        <v>0.13493318660392431</v>
      </c>
    </row>
    <row r="228" spans="1:26" x14ac:dyDescent="0.25">
      <c r="A228" t="str">
        <f>'rockfish harvests'!A227</f>
        <v>SE</v>
      </c>
      <c r="B228">
        <f>'rockfish harvests'!B227</f>
        <v>1998</v>
      </c>
      <c r="C228" t="str">
        <f>'rockfish harvests'!C227</f>
        <v>CSEO</v>
      </c>
      <c r="D228">
        <f>'rockfish harvests'!D227</f>
        <v>9366</v>
      </c>
      <c r="E228">
        <v>4464</v>
      </c>
      <c r="F228" s="32">
        <v>0.96489930700000004</v>
      </c>
      <c r="G228" s="32">
        <v>4.2331399999999999E-4</v>
      </c>
      <c r="H228" s="7">
        <f t="shared" ref="H228:H233" si="261">E228*F228</f>
        <v>4307.3105064480005</v>
      </c>
      <c r="I228">
        <f t="shared" ref="I228:I234" si="262">(E228^2)*G228</f>
        <v>8435.5033789440004</v>
      </c>
      <c r="J228">
        <f t="shared" ref="J228:J233" si="263">SQRT(I228)</f>
        <v>91.84499648290047</v>
      </c>
      <c r="K228" s="6">
        <f t="shared" ref="K228:K233" si="264">(1.96*J228)</f>
        <v>180.01619310648491</v>
      </c>
      <c r="M228" s="2">
        <f>'rockfish harvests'!O227</f>
        <v>1419.5566561478372</v>
      </c>
      <c r="N228">
        <f>'rockfish harvests'!P227</f>
        <v>224247.08472663842</v>
      </c>
      <c r="O228" s="32">
        <v>0.56494793700000001</v>
      </c>
      <c r="P228" s="32">
        <v>1.0198659999999999E-3</v>
      </c>
      <c r="Q228" s="13">
        <f t="shared" si="235"/>
        <v>801.97560434533898</v>
      </c>
      <c r="R228" s="2">
        <f t="shared" si="208"/>
        <v>73398.555422641613</v>
      </c>
      <c r="S228">
        <f t="shared" ref="S228:S233" si="265">SQRT(R228)</f>
        <v>270.92167765360085</v>
      </c>
      <c r="T228" s="6">
        <f t="shared" ref="T228:T233" si="266">(1.96*S228)</f>
        <v>531.00648820105766</v>
      </c>
      <c r="V228" s="13">
        <f t="shared" ref="V228:W232" si="267">Q228+H228</f>
        <v>5109.2861107933395</v>
      </c>
      <c r="W228">
        <f t="shared" si="267"/>
        <v>81834.058801585619</v>
      </c>
      <c r="X228">
        <f t="shared" ref="X228:X233" si="268">SQRT(W228)</f>
        <v>286.06652862854406</v>
      </c>
      <c r="Y228" s="6">
        <f t="shared" ref="Y228:Y233" si="269">(1.96*X228)</f>
        <v>560.69039611194637</v>
      </c>
      <c r="Z228" s="14">
        <f t="shared" si="234"/>
        <v>5.5989530127160049E-2</v>
      </c>
    </row>
    <row r="229" spans="1:26" x14ac:dyDescent="0.25">
      <c r="A229" t="str">
        <f>'rockfish harvests'!A228</f>
        <v>SE</v>
      </c>
      <c r="B229">
        <f>'rockfish harvests'!B228</f>
        <v>1999</v>
      </c>
      <c r="C229" t="str">
        <f>'rockfish harvests'!C228</f>
        <v>CSEO</v>
      </c>
      <c r="D229">
        <f>'rockfish harvests'!D228</f>
        <v>9636</v>
      </c>
      <c r="E229">
        <v>3836</v>
      </c>
      <c r="F229" s="32">
        <v>0.96489930700000004</v>
      </c>
      <c r="G229" s="32">
        <v>4.2331399999999999E-4</v>
      </c>
      <c r="H229" s="7">
        <f t="shared" si="261"/>
        <v>3701.3537416520003</v>
      </c>
      <c r="I229">
        <f t="shared" si="262"/>
        <v>6229.0214853440002</v>
      </c>
      <c r="J229">
        <f t="shared" si="263"/>
        <v>78.924150203496012</v>
      </c>
      <c r="K229" s="6">
        <f t="shared" si="264"/>
        <v>154.69133439885218</v>
      </c>
      <c r="M229" s="2">
        <f>'rockfish harvests'!O228</f>
        <v>1460.4791734615155</v>
      </c>
      <c r="N229">
        <f>'rockfish harvests'!P228</f>
        <v>237362.48582500662</v>
      </c>
      <c r="O229" s="32">
        <v>0.56494793700000001</v>
      </c>
      <c r="P229" s="32">
        <v>1.0198659999999999E-3</v>
      </c>
      <c r="Q229" s="13">
        <f t="shared" si="235"/>
        <v>825.0946960785484</v>
      </c>
      <c r="R229" s="2">
        <f t="shared" si="208"/>
        <v>77691.371516916566</v>
      </c>
      <c r="S229">
        <f t="shared" si="265"/>
        <v>278.731719610303</v>
      </c>
      <c r="T229" s="6">
        <f t="shared" si="266"/>
        <v>546.31417043619388</v>
      </c>
      <c r="V229" s="13">
        <f t="shared" si="267"/>
        <v>4526.4484377305489</v>
      </c>
      <c r="W229">
        <f t="shared" si="267"/>
        <v>83920.393002260564</v>
      </c>
      <c r="X229">
        <f t="shared" si="268"/>
        <v>289.690167251601</v>
      </c>
      <c r="Y229" s="6">
        <f t="shared" si="269"/>
        <v>567.79272781313796</v>
      </c>
      <c r="Z229" s="14">
        <f t="shared" si="234"/>
        <v>6.3999440452445447E-2</v>
      </c>
    </row>
    <row r="230" spans="1:26" x14ac:dyDescent="0.25">
      <c r="A230" t="str">
        <f>'rockfish harvests'!A229</f>
        <v>SE</v>
      </c>
      <c r="B230">
        <f>'rockfish harvests'!B229</f>
        <v>2000</v>
      </c>
      <c r="C230" t="str">
        <f>'rockfish harvests'!C229</f>
        <v>CSEO</v>
      </c>
      <c r="D230">
        <f>'rockfish harvests'!D229</f>
        <v>16855</v>
      </c>
      <c r="E230">
        <v>5777</v>
      </c>
      <c r="F230" s="32">
        <v>0.96489930700000004</v>
      </c>
      <c r="G230" s="32">
        <v>4.2331399999999999E-4</v>
      </c>
      <c r="H230" s="7">
        <f t="shared" si="261"/>
        <v>5574.2232965390003</v>
      </c>
      <c r="I230">
        <f t="shared" si="262"/>
        <v>14127.566717906</v>
      </c>
      <c r="J230">
        <f t="shared" si="263"/>
        <v>118.85944101292922</v>
      </c>
      <c r="K230" s="6">
        <f t="shared" si="264"/>
        <v>232.96450438534129</v>
      </c>
      <c r="M230" s="2">
        <f>'rockfish harvests'!O229</f>
        <v>2554.6260345261362</v>
      </c>
      <c r="N230">
        <f>'rockfish harvests'!P229</f>
        <v>726233.05564746587</v>
      </c>
      <c r="O230" s="32">
        <v>0.56494793700000001</v>
      </c>
      <c r="P230" s="32">
        <v>1.0198659999999999E-3</v>
      </c>
      <c r="Q230" s="13">
        <f t="shared" si="235"/>
        <v>1443.2307080120315</v>
      </c>
      <c r="R230" s="2">
        <f t="shared" si="208"/>
        <v>237704.12556165029</v>
      </c>
      <c r="S230">
        <f t="shared" si="265"/>
        <v>487.54910066746129</v>
      </c>
      <c r="T230" s="6">
        <f t="shared" si="266"/>
        <v>955.59623730822409</v>
      </c>
      <c r="V230" s="13">
        <f t="shared" si="267"/>
        <v>7017.4540045510321</v>
      </c>
      <c r="W230">
        <f t="shared" si="267"/>
        <v>251831.6922795563</v>
      </c>
      <c r="X230">
        <f t="shared" si="268"/>
        <v>501.82834941796216</v>
      </c>
      <c r="Y230" s="6">
        <f t="shared" si="269"/>
        <v>983.58356485920581</v>
      </c>
      <c r="Z230" s="14">
        <f t="shared" si="234"/>
        <v>7.1511455449869879E-2</v>
      </c>
    </row>
    <row r="231" spans="1:26" x14ac:dyDescent="0.25">
      <c r="A231" t="str">
        <f>'rockfish harvests'!A230</f>
        <v>SE</v>
      </c>
      <c r="B231">
        <f>'rockfish harvests'!B230</f>
        <v>2001</v>
      </c>
      <c r="C231" t="str">
        <f>'rockfish harvests'!C230</f>
        <v>CSEO</v>
      </c>
      <c r="D231">
        <f>'rockfish harvests'!D230</f>
        <v>15083</v>
      </c>
      <c r="E231">
        <v>4037</v>
      </c>
      <c r="F231" s="32">
        <v>0.96489930700000004</v>
      </c>
      <c r="G231" s="32">
        <v>4.2331399999999999E-4</v>
      </c>
      <c r="H231" s="7">
        <f t="shared" si="261"/>
        <v>3895.2985023589999</v>
      </c>
      <c r="I231">
        <f t="shared" si="262"/>
        <v>6898.9044608659997</v>
      </c>
      <c r="J231">
        <f t="shared" si="263"/>
        <v>83.059643996744896</v>
      </c>
      <c r="K231" s="6">
        <f t="shared" si="264"/>
        <v>162.79690223361999</v>
      </c>
      <c r="M231" s="2">
        <f>'rockfish harvests'!O230</f>
        <v>2286.0530690452506</v>
      </c>
      <c r="N231">
        <f>'rockfish harvests'!P230</f>
        <v>581559.24091147329</v>
      </c>
      <c r="O231" s="32">
        <v>0.56494793700000001</v>
      </c>
      <c r="P231" s="32">
        <v>1.0198659999999999E-3</v>
      </c>
      <c r="Q231" s="13">
        <f t="shared" si="235"/>
        <v>1291.5009652296328</v>
      </c>
      <c r="R231" s="2">
        <f t="shared" si="208"/>
        <v>190350.78305532821</v>
      </c>
      <c r="S231">
        <f t="shared" si="265"/>
        <v>436.29208456643835</v>
      </c>
      <c r="T231" s="6">
        <f t="shared" si="266"/>
        <v>855.13248575021919</v>
      </c>
      <c r="V231" s="13">
        <f t="shared" si="267"/>
        <v>5186.799467588633</v>
      </c>
      <c r="W231">
        <f t="shared" si="267"/>
        <v>197249.68751619422</v>
      </c>
      <c r="X231">
        <f t="shared" si="268"/>
        <v>444.12800802943536</v>
      </c>
      <c r="Y231" s="6">
        <f t="shared" si="269"/>
        <v>870.49089573769334</v>
      </c>
      <c r="Z231" s="14">
        <f t="shared" si="234"/>
        <v>8.5626600913474779E-2</v>
      </c>
    </row>
    <row r="232" spans="1:26" x14ac:dyDescent="0.25">
      <c r="A232" t="str">
        <f>'rockfish harvests'!A231</f>
        <v>SE</v>
      </c>
      <c r="B232">
        <f>'rockfish harvests'!B231</f>
        <v>2002</v>
      </c>
      <c r="C232" t="str">
        <f>'rockfish harvests'!C231</f>
        <v>CSEO</v>
      </c>
      <c r="D232">
        <f>'rockfish harvests'!D231</f>
        <v>14004</v>
      </c>
      <c r="E232">
        <v>5206</v>
      </c>
      <c r="F232" s="32">
        <v>0.96489930700000004</v>
      </c>
      <c r="G232" s="32">
        <v>4.2331399999999999E-4</v>
      </c>
      <c r="H232" s="7">
        <f t="shared" si="261"/>
        <v>5023.2657922420003</v>
      </c>
      <c r="I232">
        <f t="shared" si="262"/>
        <v>11472.840592904</v>
      </c>
      <c r="J232">
        <f t="shared" si="263"/>
        <v>107.11134670474459</v>
      </c>
      <c r="K232" s="6">
        <f t="shared" si="264"/>
        <v>209.9382395412994</v>
      </c>
      <c r="M232" s="2">
        <f>'rockfish harvests'!O231</f>
        <v>2122.5145646694764</v>
      </c>
      <c r="N232">
        <f>'rockfish harvests'!P231</f>
        <v>501328.85623143055</v>
      </c>
      <c r="O232" s="32">
        <v>0.56494793700000001</v>
      </c>
      <c r="P232" s="32">
        <v>1.0198659999999999E-3</v>
      </c>
      <c r="Q232" s="13">
        <f t="shared" si="235"/>
        <v>1199.1102245624738</v>
      </c>
      <c r="R232" s="2">
        <f t="shared" si="208"/>
        <v>164090.48922053201</v>
      </c>
      <c r="S232">
        <f t="shared" si="265"/>
        <v>405.08084282095098</v>
      </c>
      <c r="T232" s="6">
        <f t="shared" si="266"/>
        <v>793.95845192906393</v>
      </c>
      <c r="V232" s="13">
        <f t="shared" si="267"/>
        <v>6222.3760168044737</v>
      </c>
      <c r="W232">
        <f t="shared" si="267"/>
        <v>175563.32981343599</v>
      </c>
      <c r="X232">
        <f t="shared" si="268"/>
        <v>419.00278019774044</v>
      </c>
      <c r="Y232" s="6">
        <f t="shared" si="269"/>
        <v>821.24544918757124</v>
      </c>
      <c r="Z232" s="14">
        <f t="shared" si="234"/>
        <v>6.7338068137663118E-2</v>
      </c>
    </row>
    <row r="233" spans="1:26" x14ac:dyDescent="0.25">
      <c r="A233" t="str">
        <f>'rockfish harvests'!A232</f>
        <v>SE</v>
      </c>
      <c r="B233">
        <f>'rockfish harvests'!B232</f>
        <v>2003</v>
      </c>
      <c r="C233" t="str">
        <f>'rockfish harvests'!C232</f>
        <v>CSEO</v>
      </c>
      <c r="D233">
        <f>'rockfish harvests'!D232</f>
        <v>15272</v>
      </c>
      <c r="E233">
        <v>6711</v>
      </c>
      <c r="F233" s="32">
        <v>0.96489930700000004</v>
      </c>
      <c r="G233" s="32">
        <v>4.2331399999999999E-4</v>
      </c>
      <c r="H233" s="7">
        <f t="shared" si="261"/>
        <v>6475.4392492770003</v>
      </c>
      <c r="I233">
        <f t="shared" si="262"/>
        <v>19065.013164593998</v>
      </c>
      <c r="J233">
        <f t="shared" si="263"/>
        <v>138.0761136641454</v>
      </c>
      <c r="K233" s="6">
        <f t="shared" si="264"/>
        <v>270.62918278172498</v>
      </c>
      <c r="M233" s="2">
        <f>'rockfish harvests'!O232</f>
        <v>2314.6988311648274</v>
      </c>
      <c r="N233">
        <f>'rockfish harvests'!P232</f>
        <v>596225.20240177307</v>
      </c>
      <c r="O233" s="32">
        <v>0.56494793700000001</v>
      </c>
      <c r="P233" s="32">
        <v>1.0198659999999999E-3</v>
      </c>
      <c r="Q233" s="13">
        <f t="shared" ref="Q233:Q283" si="270">M233*O233</f>
        <v>1307.6843294428807</v>
      </c>
      <c r="R233" s="2">
        <f t="shared" si="208"/>
        <v>195151.11474563458</v>
      </c>
      <c r="S233">
        <f t="shared" si="265"/>
        <v>441.75911393612989</v>
      </c>
      <c r="T233" s="6">
        <f t="shared" si="266"/>
        <v>865.84786331481462</v>
      </c>
      <c r="V233" s="13">
        <f t="shared" ref="V233:V283" si="271">Q233+H233</f>
        <v>7783.1235787198812</v>
      </c>
      <c r="W233">
        <f t="shared" ref="W233:W283" si="272">R233+I233</f>
        <v>214216.12791022856</v>
      </c>
      <c r="X233">
        <f t="shared" si="268"/>
        <v>462.83488190739098</v>
      </c>
      <c r="Y233" s="6">
        <f t="shared" si="269"/>
        <v>907.15636853848628</v>
      </c>
      <c r="Z233" s="14">
        <f t="shared" si="234"/>
        <v>5.9466469628317933E-2</v>
      </c>
    </row>
    <row r="234" spans="1:26" x14ac:dyDescent="0.25">
      <c r="A234" t="str">
        <f>'rockfish harvests'!A233</f>
        <v>SE</v>
      </c>
      <c r="B234">
        <f>'rockfish harvests'!B233</f>
        <v>2004</v>
      </c>
      <c r="C234" t="str">
        <f>'rockfish harvests'!C233</f>
        <v>CSEO</v>
      </c>
      <c r="D234">
        <f>'rockfish harvests'!D233</f>
        <v>21796</v>
      </c>
      <c r="E234">
        <v>9789</v>
      </c>
      <c r="F234" s="32">
        <v>0.96489930700000004</v>
      </c>
      <c r="G234" s="32">
        <v>4.2331399999999999E-4</v>
      </c>
      <c r="H234" s="7">
        <f t="shared" ref="H234:H284" si="273">E234*F234</f>
        <v>9445.3993162229999</v>
      </c>
      <c r="I234">
        <f t="shared" si="262"/>
        <v>40563.861282594</v>
      </c>
      <c r="J234">
        <f t="shared" ref="J234:J284" si="274">SQRT(I234)</f>
        <v>201.40472011001629</v>
      </c>
      <c r="K234" s="6">
        <f t="shared" ref="K234:K284" si="275">(1.96*J234)</f>
        <v>394.75325141563189</v>
      </c>
      <c r="M234" s="2">
        <f>'rockfish harvests'!O233</f>
        <v>3303.5081013664603</v>
      </c>
      <c r="N234">
        <f>'rockfish harvests'!P233</f>
        <v>1214428.9103843591</v>
      </c>
      <c r="O234" s="32">
        <v>0.56494793700000001</v>
      </c>
      <c r="P234" s="32">
        <v>1.0198659999999999E-3</v>
      </c>
      <c r="Q234" s="13">
        <f t="shared" si="270"/>
        <v>1866.3100867297687</v>
      </c>
      <c r="R234" s="2">
        <f t="shared" si="208"/>
        <v>397496.03788323398</v>
      </c>
      <c r="S234">
        <f t="shared" ref="S234:S284" si="276">SQRT(R234)</f>
        <v>630.47286847511054</v>
      </c>
      <c r="T234" s="6">
        <f t="shared" ref="T234:T284" si="277">(1.96*S234)</f>
        <v>1235.7268222112166</v>
      </c>
      <c r="V234" s="13">
        <f t="shared" si="271"/>
        <v>11311.709402952769</v>
      </c>
      <c r="W234">
        <f t="shared" si="272"/>
        <v>438059.89916582796</v>
      </c>
      <c r="X234">
        <f t="shared" ref="X234:X284" si="278">SQRT(W234)</f>
        <v>661.86093642534001</v>
      </c>
      <c r="Y234" s="6">
        <f t="shared" ref="Y234:Y284" si="279">(1.96*X234)</f>
        <v>1297.2474353936664</v>
      </c>
      <c r="Z234" s="14">
        <f t="shared" si="234"/>
        <v>5.8511133273329151E-2</v>
      </c>
    </row>
    <row r="235" spans="1:26" x14ac:dyDescent="0.25">
      <c r="A235" t="str">
        <f>'rockfish harvests'!A234</f>
        <v>SE</v>
      </c>
      <c r="B235">
        <f>'rockfish harvests'!B234</f>
        <v>2005</v>
      </c>
      <c r="C235" t="str">
        <f>'rockfish harvests'!C234</f>
        <v>CSEO</v>
      </c>
      <c r="D235">
        <f>'rockfish harvests'!D234</f>
        <v>27304</v>
      </c>
      <c r="E235">
        <v>12886</v>
      </c>
      <c r="F235" s="32">
        <v>0.96489930700000004</v>
      </c>
      <c r="G235" s="32">
        <v>4.2331399999999999E-4</v>
      </c>
      <c r="H235" s="7">
        <f t="shared" si="273"/>
        <v>12433.692470002001</v>
      </c>
      <c r="I235">
        <f t="shared" ref="I235:I285" si="280">(E235^2)*G235</f>
        <v>70290.864692743999</v>
      </c>
      <c r="J235">
        <f t="shared" si="274"/>
        <v>265.1242438796271</v>
      </c>
      <c r="K235" s="6">
        <f t="shared" si="275"/>
        <v>519.64351800406916</v>
      </c>
      <c r="M235" s="2">
        <f>'rockfish harvests'!O234</f>
        <v>4138.3274545655077</v>
      </c>
      <c r="N235">
        <f>'rockfish harvests'!P234</f>
        <v>1905772.4719131205</v>
      </c>
      <c r="O235" s="32">
        <v>0.56494793700000001</v>
      </c>
      <c r="P235" s="32">
        <v>1.0198659999999999E-3</v>
      </c>
      <c r="Q235" s="13">
        <f t="shared" si="270"/>
        <v>2337.9395580872447</v>
      </c>
      <c r="R235" s="2">
        <f t="shared" si="208"/>
        <v>623780.44545451947</v>
      </c>
      <c r="S235">
        <f t="shared" si="276"/>
        <v>789.79772439183409</v>
      </c>
      <c r="T235" s="6">
        <f t="shared" si="277"/>
        <v>1548.0035398079947</v>
      </c>
      <c r="V235" s="13">
        <f t="shared" si="271"/>
        <v>14771.632028089245</v>
      </c>
      <c r="W235">
        <f t="shared" si="272"/>
        <v>694071.31014726346</v>
      </c>
      <c r="X235">
        <f t="shared" si="278"/>
        <v>833.10942267343455</v>
      </c>
      <c r="Y235" s="6">
        <f t="shared" si="279"/>
        <v>1632.8944684399316</v>
      </c>
      <c r="Z235" s="14">
        <f t="shared" si="234"/>
        <v>5.6399280803178777E-2</v>
      </c>
    </row>
    <row r="236" spans="1:26" x14ac:dyDescent="0.25">
      <c r="A236" t="str">
        <f>'rockfish harvests'!A235</f>
        <v>SE</v>
      </c>
      <c r="B236">
        <f>'rockfish harvests'!B235</f>
        <v>2006</v>
      </c>
      <c r="C236" t="str">
        <f>'rockfish harvests'!C235</f>
        <v>CSEO</v>
      </c>
      <c r="D236">
        <f>'rockfish harvests'!D235</f>
        <v>33748</v>
      </c>
      <c r="E236">
        <v>20139</v>
      </c>
      <c r="F236">
        <f>IF([2]species_comp_Region1_forR!$G10&gt;49,[2]species_comp_Region1_forR!$AD10,[2]species_comp_Region1_forR!$AF10)</f>
        <v>0.99</v>
      </c>
      <c r="G236">
        <f>IF([2]species_comp_Region1_forR!$G10&gt;49,[2]species_comp_Region1_forR!$AE10,[2]species_comp_Region1_forR!$AG10)</f>
        <v>3.2036300000000001E-6</v>
      </c>
      <c r="H236" s="7">
        <f t="shared" si="273"/>
        <v>19937.61</v>
      </c>
      <c r="I236">
        <f t="shared" si="280"/>
        <v>1299.3260801352301</v>
      </c>
      <c r="J236">
        <f t="shared" si="274"/>
        <v>36.046165956107316</v>
      </c>
      <c r="K236" s="6">
        <f t="shared" si="275"/>
        <v>70.650485273970332</v>
      </c>
      <c r="M236" s="2">
        <f>'rockfish harvests'!O235</f>
        <v>5115.01153445198</v>
      </c>
      <c r="N236">
        <f>'rockfish harvests'!P235</f>
        <v>2911485.1530098896</v>
      </c>
      <c r="O236">
        <f>IF([2]species_comp_Region1_forR!$D32&gt;49,[2]species_comp_Region1_forR!$N32,[2]species_comp_Region1_forR!$P32)</f>
        <v>0.53667953700000004</v>
      </c>
      <c r="P236">
        <f>IF([2]species_comp_Region1_forR!$D32&gt;49,[2]species_comp_Region1_forR!$O32,[2]species_comp_Region1_forR!$Q32)</f>
        <v>4.8095700000000001E-4</v>
      </c>
      <c r="Q236" s="13">
        <f t="shared" si="270"/>
        <v>2745.1220220593482</v>
      </c>
      <c r="R236" s="2">
        <f t="shared" si="208"/>
        <v>849763.4378927768</v>
      </c>
      <c r="S236">
        <f t="shared" si="276"/>
        <v>921.82614298617978</v>
      </c>
      <c r="T236" s="6">
        <f t="shared" si="277"/>
        <v>1806.7792402529124</v>
      </c>
      <c r="V236" s="13">
        <f t="shared" si="271"/>
        <v>22682.73202205935</v>
      </c>
      <c r="W236">
        <f t="shared" si="272"/>
        <v>851062.76397291198</v>
      </c>
      <c r="X236">
        <f t="shared" si="278"/>
        <v>922.53063037110701</v>
      </c>
      <c r="Y236" s="6">
        <f t="shared" si="279"/>
        <v>1808.1600355273697</v>
      </c>
      <c r="Z236" s="14">
        <f t="shared" si="234"/>
        <v>4.067105450410162E-2</v>
      </c>
    </row>
    <row r="237" spans="1:26" x14ac:dyDescent="0.25">
      <c r="A237" t="str">
        <f>'rockfish harvests'!A236</f>
        <v>SE</v>
      </c>
      <c r="B237">
        <f>'rockfish harvests'!B236</f>
        <v>2007</v>
      </c>
      <c r="C237" t="str">
        <f>'rockfish harvests'!C236</f>
        <v>CSEO</v>
      </c>
      <c r="D237">
        <f>'rockfish harvests'!D236</f>
        <v>38443</v>
      </c>
      <c r="E237">
        <v>24055</v>
      </c>
      <c r="F237">
        <f>IF([2]species_comp_Region1_forR!$G11&gt;49,[2]species_comp_Region1_forR!$AD11,[2]species_comp_Region1_forR!$AF11)</f>
        <v>0.98786477900000003</v>
      </c>
      <c r="G237">
        <f>IF([2]species_comp_Region1_forR!$G11&gt;49,[2]species_comp_Region1_forR!$AE11,[2]species_comp_Region1_forR!$AG11)</f>
        <v>3.46473E-6</v>
      </c>
      <c r="H237" s="7">
        <f t="shared" si="273"/>
        <v>23763.087258845</v>
      </c>
      <c r="I237">
        <f t="shared" si="280"/>
        <v>2004.8418480082501</v>
      </c>
      <c r="J237">
        <f t="shared" si="274"/>
        <v>44.775460332734156</v>
      </c>
      <c r="K237" s="6">
        <f t="shared" si="275"/>
        <v>87.759902252158938</v>
      </c>
      <c r="M237" s="2">
        <f>'rockfish harvests'!O236</f>
        <v>5826.6086410731732</v>
      </c>
      <c r="N237">
        <f>'rockfish harvests'!P236</f>
        <v>3777922.4788372577</v>
      </c>
      <c r="O237">
        <f>IF([2]species_comp_Region1_forR!$D33&gt;49,[2]species_comp_Region1_forR!$N33,[2]species_comp_Region1_forR!$P33)</f>
        <v>0.56741573000000001</v>
      </c>
      <c r="P237">
        <f>IF([2]species_comp_Region1_forR!$D33&gt;49,[2]species_comp_Region1_forR!$O33,[2]species_comp_Region1_forR!$Q33)</f>
        <v>6.9142300000000004E-4</v>
      </c>
      <c r="Q237" s="13">
        <f t="shared" si="270"/>
        <v>3306.1093954988428</v>
      </c>
      <c r="R237" s="2">
        <f t="shared" si="208"/>
        <v>1237203.4598339598</v>
      </c>
      <c r="S237">
        <f t="shared" si="276"/>
        <v>1112.296480185908</v>
      </c>
      <c r="T237" s="6">
        <f t="shared" si="277"/>
        <v>2180.1011011643795</v>
      </c>
      <c r="V237" s="13">
        <f t="shared" si="271"/>
        <v>27069.196654343843</v>
      </c>
      <c r="W237">
        <f t="shared" si="272"/>
        <v>1239208.3016819682</v>
      </c>
      <c r="X237">
        <f t="shared" si="278"/>
        <v>1113.1973327680803</v>
      </c>
      <c r="Y237" s="6">
        <f t="shared" si="279"/>
        <v>2181.8667722254372</v>
      </c>
      <c r="Z237" s="14">
        <f t="shared" si="234"/>
        <v>4.1124136300862237E-2</v>
      </c>
    </row>
    <row r="238" spans="1:26" x14ac:dyDescent="0.25">
      <c r="A238" t="str">
        <f>'rockfish harvests'!A237</f>
        <v>SE</v>
      </c>
      <c r="B238">
        <f>'rockfish harvests'!B237</f>
        <v>2008</v>
      </c>
      <c r="C238" t="str">
        <f>'rockfish harvests'!C237</f>
        <v>CSEO</v>
      </c>
      <c r="D238">
        <f>'rockfish harvests'!D237</f>
        <v>52901</v>
      </c>
      <c r="E238">
        <v>37625</v>
      </c>
      <c r="F238">
        <f>IF([2]species_comp_Region1_forR!$G12&gt;49,[2]species_comp_Region1_forR!$AD12,[2]species_comp_Region1_forR!$AF12)</f>
        <v>0.98654377900000001</v>
      </c>
      <c r="G238">
        <f>IF([2]species_comp_Region1_forR!$G12&gt;49,[2]species_comp_Region1_forR!$AE12,[2]species_comp_Region1_forR!$AG12)</f>
        <v>2.4474800000000002E-6</v>
      </c>
      <c r="H238" s="7">
        <f t="shared" si="273"/>
        <v>37118.709684875001</v>
      </c>
      <c r="I238">
        <f t="shared" si="280"/>
        <v>3464.7521168750004</v>
      </c>
      <c r="J238">
        <f t="shared" si="274"/>
        <v>58.862145024412762</v>
      </c>
      <c r="K238" s="6">
        <f t="shared" si="275"/>
        <v>115.369804247849</v>
      </c>
      <c r="M238" s="2">
        <f>'rockfish harvests'!O237</f>
        <v>8017.9336607812002</v>
      </c>
      <c r="N238">
        <f>'rockfish harvests'!P237</f>
        <v>7153955.9598475369</v>
      </c>
      <c r="O238">
        <f>IF([2]species_comp_Region1_forR!$D34&gt;49,[2]species_comp_Region1_forR!$N34,[2]species_comp_Region1_forR!$P34)</f>
        <v>0.577946768</v>
      </c>
      <c r="P238">
        <f>IF([2]species_comp_Region1_forR!$D34&gt;49,[2]species_comp_Region1_forR!$O34,[2]species_comp_Region1_forR!$Q34)</f>
        <v>4.6461799999999998E-4</v>
      </c>
      <c r="Q238" s="13">
        <f t="shared" si="270"/>
        <v>4633.9388452869034</v>
      </c>
      <c r="R238" s="2">
        <f t="shared" si="208"/>
        <v>2416127.177498173</v>
      </c>
      <c r="S238">
        <f t="shared" si="276"/>
        <v>1554.3896478998349</v>
      </c>
      <c r="T238" s="6">
        <f t="shared" si="277"/>
        <v>3046.6037098836764</v>
      </c>
      <c r="V238" s="13">
        <f t="shared" si="271"/>
        <v>41752.648530161903</v>
      </c>
      <c r="W238">
        <f t="shared" si="272"/>
        <v>2419591.9296150478</v>
      </c>
      <c r="X238">
        <f t="shared" si="278"/>
        <v>1555.5037542915311</v>
      </c>
      <c r="Y238" s="6">
        <f t="shared" si="279"/>
        <v>3048.7873584114009</v>
      </c>
      <c r="Z238" s="14">
        <f t="shared" si="234"/>
        <v>3.7255211562635192E-2</v>
      </c>
    </row>
    <row r="239" spans="1:26" x14ac:dyDescent="0.25">
      <c r="A239" t="str">
        <f>'rockfish harvests'!A238</f>
        <v>SE</v>
      </c>
      <c r="B239">
        <f>'rockfish harvests'!B238</f>
        <v>2009</v>
      </c>
      <c r="C239" t="str">
        <f>'rockfish harvests'!C238</f>
        <v>CSEO</v>
      </c>
      <c r="D239">
        <f>'rockfish harvests'!D238</f>
        <v>31717</v>
      </c>
      <c r="E239">
        <v>22290</v>
      </c>
      <c r="F239">
        <f>IF([2]species_comp_Region1_forR!$G13&gt;49,[2]species_comp_Region1_forR!$AD13,[2]species_comp_Region1_forR!$AF13)</f>
        <v>0.96443757200000002</v>
      </c>
      <c r="G239">
        <f>IF([2]species_comp_Region1_forR!$G13&gt;49,[2]species_comp_Region1_forR!$AE13,[2]species_comp_Region1_forR!$AG13)</f>
        <v>1.32629E-5</v>
      </c>
      <c r="H239" s="7">
        <f t="shared" si="273"/>
        <v>21497.313479880002</v>
      </c>
      <c r="I239">
        <f t="shared" si="280"/>
        <v>6589.5936138899997</v>
      </c>
      <c r="J239">
        <f t="shared" si="274"/>
        <v>81.176311901256014</v>
      </c>
      <c r="K239" s="6">
        <f t="shared" si="275"/>
        <v>159.10557132646179</v>
      </c>
      <c r="M239" s="2">
        <f>'rockfish harvests'!O238</f>
        <v>4807.1832653257516</v>
      </c>
      <c r="N239">
        <f>'rockfish harvests'!P238</f>
        <v>2571595.7734261826</v>
      </c>
      <c r="O239">
        <f>IF([2]species_comp_Region1_forR!$D35&gt;49,[2]species_comp_Region1_forR!$N35,[2]species_comp_Region1_forR!$P35)</f>
        <v>0.58461538499999999</v>
      </c>
      <c r="P239">
        <f>IF([2]species_comp_Region1_forR!$D35&gt;49,[2]species_comp_Region1_forR!$O35,[2]species_comp_Region1_forR!$Q35)</f>
        <v>6.2426799999999998E-4</v>
      </c>
      <c r="Q239" s="13">
        <f t="shared" si="270"/>
        <v>2810.3532954239713</v>
      </c>
      <c r="R239" s="2">
        <f t="shared" si="208"/>
        <v>891728.37812798622</v>
      </c>
      <c r="S239">
        <f t="shared" si="276"/>
        <v>944.31370747648589</v>
      </c>
      <c r="T239" s="6">
        <f t="shared" si="277"/>
        <v>1850.8548666539123</v>
      </c>
      <c r="V239" s="13">
        <f t="shared" si="271"/>
        <v>24307.666775303973</v>
      </c>
      <c r="W239">
        <f t="shared" si="272"/>
        <v>898317.97174187622</v>
      </c>
      <c r="X239">
        <f t="shared" si="278"/>
        <v>947.79637672966248</v>
      </c>
      <c r="Y239" s="6">
        <f t="shared" si="279"/>
        <v>1857.6808983901385</v>
      </c>
      <c r="Z239" s="14">
        <f t="shared" si="234"/>
        <v>3.8991664049492468E-2</v>
      </c>
    </row>
    <row r="240" spans="1:26" x14ac:dyDescent="0.25">
      <c r="A240" t="str">
        <f>'rockfish harvests'!A239</f>
        <v>SE</v>
      </c>
      <c r="B240">
        <f>'rockfish harvests'!B239</f>
        <v>2010</v>
      </c>
      <c r="C240" t="str">
        <f>'rockfish harvests'!C239</f>
        <v>CSEO</v>
      </c>
      <c r="D240">
        <f>'rockfish harvests'!D239</f>
        <v>43813</v>
      </c>
      <c r="E240">
        <v>30785</v>
      </c>
      <c r="F240">
        <f>IF([2]species_comp_Region1_forR!$G14&gt;49,[2]species_comp_Region1_forR!$AD14,[2]species_comp_Region1_forR!$AF14)</f>
        <v>0.96323676300000005</v>
      </c>
      <c r="G240">
        <f>IF([2]species_comp_Region1_forR!$G14&gt;49,[2]species_comp_Region1_forR!$AE14,[2]species_comp_Region1_forR!$AG14)</f>
        <v>7.0766799999999998E-6</v>
      </c>
      <c r="H240" s="7">
        <f t="shared" si="273"/>
        <v>29653.243748955003</v>
      </c>
      <c r="I240">
        <f t="shared" si="280"/>
        <v>6706.6844551329996</v>
      </c>
      <c r="J240">
        <f t="shared" si="274"/>
        <v>81.894349348004468</v>
      </c>
      <c r="K240" s="6">
        <f t="shared" si="275"/>
        <v>160.51292472208874</v>
      </c>
      <c r="M240" s="2">
        <f>'rockfish harvests'!O239</f>
        <v>6640.5120409785595</v>
      </c>
      <c r="N240">
        <f>'rockfish harvests'!P239</f>
        <v>4907095.1826566225</v>
      </c>
      <c r="O240">
        <f>IF([2]species_comp_Region1_forR!$D36&gt;49,[2]species_comp_Region1_forR!$N36,[2]species_comp_Region1_forR!$P36)</f>
        <v>0.58745874600000003</v>
      </c>
      <c r="P240">
        <f>IF([2]species_comp_Region1_forR!$D36&gt;49,[2]species_comp_Region1_forR!$O36,[2]species_comp_Region1_forR!$Q36)</f>
        <v>2.6690600000000002E-4</v>
      </c>
      <c r="Q240" s="13">
        <f t="shared" si="270"/>
        <v>3901.0268763911654</v>
      </c>
      <c r="R240" s="2">
        <f t="shared" si="208"/>
        <v>1703936.576793178</v>
      </c>
      <c r="S240">
        <f t="shared" si="276"/>
        <v>1305.3492164142046</v>
      </c>
      <c r="T240" s="6">
        <f t="shared" si="277"/>
        <v>2558.484464171841</v>
      </c>
      <c r="V240" s="13">
        <f t="shared" si="271"/>
        <v>33554.270625346166</v>
      </c>
      <c r="W240">
        <f t="shared" si="272"/>
        <v>1710643.261248311</v>
      </c>
      <c r="X240">
        <f t="shared" si="278"/>
        <v>1307.9156170213394</v>
      </c>
      <c r="Y240" s="6">
        <f t="shared" si="279"/>
        <v>2563.514609361825</v>
      </c>
      <c r="Z240" s="14">
        <f t="shared" si="234"/>
        <v>3.8979110338144808E-2</v>
      </c>
    </row>
    <row r="241" spans="1:26" x14ac:dyDescent="0.25">
      <c r="A241" t="str">
        <f>'rockfish harvests'!A240</f>
        <v>SE</v>
      </c>
      <c r="B241">
        <f>'rockfish harvests'!B240</f>
        <v>2011</v>
      </c>
      <c r="C241" t="str">
        <f>'rockfish harvests'!C240</f>
        <v>CSEO</v>
      </c>
      <c r="D241">
        <f>'rockfish harvests'!D240</f>
        <v>58843</v>
      </c>
      <c r="E241">
        <v>46504</v>
      </c>
      <c r="F241">
        <f>IF([2]species_comp_Region1_forR!$G15&gt;49,[2]species_comp_Region1_forR!$AD15,[2]species_comp_Region1_forR!$AF15)</f>
        <v>0.98026697600000001</v>
      </c>
      <c r="G241">
        <f>IF([2]species_comp_Region1_forR!$G15&gt;49,[2]species_comp_Region1_forR!$AE15,[2]species_comp_Region1_forR!$AG15)</f>
        <v>2.8070899999999999E-6</v>
      </c>
      <c r="H241" s="7">
        <f t="shared" si="273"/>
        <v>45586.335451904</v>
      </c>
      <c r="I241">
        <f t="shared" si="280"/>
        <v>6070.6746348934403</v>
      </c>
      <c r="J241">
        <f t="shared" si="274"/>
        <v>77.914534169777596</v>
      </c>
      <c r="K241" s="6">
        <f t="shared" si="275"/>
        <v>152.71248697276408</v>
      </c>
      <c r="M241" s="2">
        <f>'rockfish harvests'!O240</f>
        <v>9637.9680383923114</v>
      </c>
      <c r="N241">
        <f>'rockfish harvests'!P240</f>
        <v>7141508.8030922944</v>
      </c>
      <c r="O241">
        <f>IF([2]species_comp_Region1_forR!$D37&gt;49,[2]species_comp_Region1_forR!$N37,[2]species_comp_Region1_forR!$P37)</f>
        <v>0.53781512600000003</v>
      </c>
      <c r="P241">
        <f>IF([2]species_comp_Region1_forR!$D37&gt;49,[2]species_comp_Region1_forR!$O37,[2]species_comp_Region1_forR!$Q37)</f>
        <v>3.4862599999999999E-4</v>
      </c>
      <c r="Q241" s="13">
        <f t="shared" si="270"/>
        <v>5183.4449949519339</v>
      </c>
      <c r="R241" s="2">
        <f t="shared" si="208"/>
        <v>2095540.8002346565</v>
      </c>
      <c r="S241">
        <f t="shared" si="276"/>
        <v>1447.5982868996</v>
      </c>
      <c r="T241" s="6">
        <f t="shared" si="277"/>
        <v>2837.2926423232161</v>
      </c>
      <c r="V241" s="13">
        <f t="shared" si="271"/>
        <v>50769.780446855933</v>
      </c>
      <c r="W241">
        <f t="shared" si="272"/>
        <v>2101611.4748695502</v>
      </c>
      <c r="X241">
        <f t="shared" si="278"/>
        <v>1449.693579646937</v>
      </c>
      <c r="Y241" s="6">
        <f t="shared" si="279"/>
        <v>2841.3994161079963</v>
      </c>
      <c r="Z241" s="14">
        <f t="shared" si="234"/>
        <v>2.8554261351679992E-2</v>
      </c>
    </row>
    <row r="242" spans="1:26" x14ac:dyDescent="0.25">
      <c r="A242" t="str">
        <f>'rockfish harvests'!A241</f>
        <v>SE</v>
      </c>
      <c r="B242">
        <f>'rockfish harvests'!B241</f>
        <v>2012</v>
      </c>
      <c r="C242" t="str">
        <f>'rockfish harvests'!C241</f>
        <v>CSEO</v>
      </c>
      <c r="D242">
        <f>'rockfish harvests'!D241</f>
        <v>57675</v>
      </c>
      <c r="E242">
        <v>43380</v>
      </c>
      <c r="F242">
        <f>IF([2]species_comp_Region1_forR!$G16&gt;49,[2]species_comp_Region1_forR!$AD16,[2]species_comp_Region1_forR!$AF16)</f>
        <v>0.97152855100000002</v>
      </c>
      <c r="G242">
        <f>IF([2]species_comp_Region1_forR!$G16&gt;49,[2]species_comp_Region1_forR!$AE16,[2]species_comp_Region1_forR!$AG16)</f>
        <v>4.4003900000000004E-6</v>
      </c>
      <c r="H242" s="7">
        <f t="shared" si="273"/>
        <v>42144.908542379999</v>
      </c>
      <c r="I242">
        <f t="shared" si="280"/>
        <v>8280.7612715160012</v>
      </c>
      <c r="J242">
        <f t="shared" si="274"/>
        <v>90.998688295579299</v>
      </c>
      <c r="K242" s="6">
        <f t="shared" si="275"/>
        <v>178.35742905933543</v>
      </c>
      <c r="M242" s="2">
        <f>'rockfish harvests'!O241</f>
        <v>6152.5876396981548</v>
      </c>
      <c r="N242">
        <f>'rockfish harvests'!P241</f>
        <v>1027468.7062518544</v>
      </c>
      <c r="O242">
        <f>IF([2]species_comp_Region1_forR!$D38&gt;49,[2]species_comp_Region1_forR!$N38,[2]species_comp_Region1_forR!$P38)</f>
        <v>0.58744394600000005</v>
      </c>
      <c r="P242">
        <f>IF([2]species_comp_Region1_forR!$D38&gt;49,[2]species_comp_Region1_forR!$O38,[2]species_comp_Region1_forR!$Q38)</f>
        <v>3.6280500000000001E-4</v>
      </c>
      <c r="Q242" s="13">
        <f t="shared" si="270"/>
        <v>3614.3003611751105</v>
      </c>
      <c r="R242" s="2">
        <f t="shared" si="208"/>
        <v>367930.5473407011</v>
      </c>
      <c r="S242">
        <f t="shared" si="276"/>
        <v>606.57278816371343</v>
      </c>
      <c r="T242" s="6">
        <f t="shared" si="277"/>
        <v>1188.8826648008783</v>
      </c>
      <c r="V242" s="13">
        <f t="shared" si="271"/>
        <v>45759.208903555111</v>
      </c>
      <c r="W242">
        <f t="shared" si="272"/>
        <v>376211.30861221708</v>
      </c>
      <c r="X242">
        <f t="shared" si="278"/>
        <v>613.36066764361169</v>
      </c>
      <c r="Y242" s="6">
        <f t="shared" si="279"/>
        <v>1202.186908581479</v>
      </c>
      <c r="Z242" s="14">
        <f t="shared" si="234"/>
        <v>1.3404092473197425E-2</v>
      </c>
    </row>
    <row r="243" spans="1:26" x14ac:dyDescent="0.25">
      <c r="A243" t="str">
        <f>'rockfish harvests'!A242</f>
        <v>SE</v>
      </c>
      <c r="B243">
        <f>'rockfish harvests'!B242</f>
        <v>2013</v>
      </c>
      <c r="C243" t="str">
        <f>'rockfish harvests'!C242</f>
        <v>CSEO</v>
      </c>
      <c r="D243">
        <f>'rockfish harvests'!D242</f>
        <v>60735</v>
      </c>
      <c r="E243">
        <v>48283</v>
      </c>
      <c r="F243">
        <f>IF([2]species_comp_Region1_forR!$G17&gt;49,[2]species_comp_Region1_forR!$AD17,[2]species_comp_Region1_forR!$AF17)</f>
        <v>0.98436396699999995</v>
      </c>
      <c r="G243">
        <f>IF([2]species_comp_Region1_forR!$G17&gt;49,[2]species_comp_Region1_forR!$AE17,[2]species_comp_Region1_forR!$AG17)</f>
        <v>1.5528199999999999E-6</v>
      </c>
      <c r="H243" s="7">
        <f t="shared" si="273"/>
        <v>47528.045418661</v>
      </c>
      <c r="I243">
        <f t="shared" si="280"/>
        <v>3620.0086575609798</v>
      </c>
      <c r="J243">
        <f t="shared" si="274"/>
        <v>60.166507772688455</v>
      </c>
      <c r="K243" s="6">
        <f t="shared" si="275"/>
        <v>117.92635523446937</v>
      </c>
      <c r="M243" s="2">
        <f>'rockfish harvests'!O242</f>
        <v>9629.9871638141776</v>
      </c>
      <c r="N243">
        <f>'rockfish harvests'!P242</f>
        <v>3833914.1323344847</v>
      </c>
      <c r="O243">
        <f>IF([2]species_comp_Region1_forR!$D39&gt;49,[2]species_comp_Region1_forR!$N39,[2]species_comp_Region1_forR!$P39)</f>
        <v>0.60239651400000005</v>
      </c>
      <c r="P243">
        <f>IF([2]species_comp_Region1_forR!$D39&gt;49,[2]species_comp_Region1_forR!$O39,[2]species_comp_Region1_forR!$Q39)</f>
        <v>2.6119400000000002E-4</v>
      </c>
      <c r="Q243" s="13">
        <f t="shared" si="270"/>
        <v>5801.0706973464085</v>
      </c>
      <c r="R243" s="2">
        <f t="shared" si="208"/>
        <v>1414477.6034689052</v>
      </c>
      <c r="S243">
        <f t="shared" si="276"/>
        <v>1189.3181254268789</v>
      </c>
      <c r="T243" s="6">
        <f t="shared" si="277"/>
        <v>2331.0635258366824</v>
      </c>
      <c r="V243" s="13">
        <f t="shared" si="271"/>
        <v>53329.116116007412</v>
      </c>
      <c r="W243">
        <f t="shared" si="272"/>
        <v>1418097.6121264661</v>
      </c>
      <c r="X243">
        <f t="shared" si="278"/>
        <v>1190.8390370350085</v>
      </c>
      <c r="Y243" s="6">
        <f t="shared" si="279"/>
        <v>2334.0445125886167</v>
      </c>
      <c r="Z243" s="14">
        <f t="shared" si="234"/>
        <v>2.2329997640398974E-2</v>
      </c>
    </row>
    <row r="244" spans="1:26" x14ac:dyDescent="0.25">
      <c r="A244" t="str">
        <f>'rockfish harvests'!A243</f>
        <v>SE</v>
      </c>
      <c r="B244">
        <f>'rockfish harvests'!B243</f>
        <v>2014</v>
      </c>
      <c r="C244" t="str">
        <f>'rockfish harvests'!C243</f>
        <v>CSEO</v>
      </c>
      <c r="D244">
        <f>'rockfish harvests'!D243</f>
        <v>73709</v>
      </c>
      <c r="E244">
        <v>60201</v>
      </c>
      <c r="F244">
        <f>IF([2]species_comp_Region1_forR!$G18&gt;49,[2]species_comp_Region1_forR!$AD18,[2]species_comp_Region1_forR!$AF18)</f>
        <v>0.95826043500000002</v>
      </c>
      <c r="G244">
        <f>IF([2]species_comp_Region1_forR!$G18&gt;49,[2]species_comp_Region1_forR!$AE18,[2]species_comp_Region1_forR!$AG18)</f>
        <v>4.99905E-6</v>
      </c>
      <c r="H244" s="7">
        <f t="shared" si="273"/>
        <v>57688.236447435003</v>
      </c>
      <c r="I244">
        <f t="shared" si="280"/>
        <v>18117.359052619049</v>
      </c>
      <c r="J244">
        <f t="shared" si="274"/>
        <v>134.60073942077381</v>
      </c>
      <c r="K244" s="6">
        <f t="shared" si="275"/>
        <v>263.81744926471663</v>
      </c>
      <c r="M244" s="2">
        <f>'rockfish harvests'!O243</f>
        <v>12999.052896462119</v>
      </c>
      <c r="N244">
        <f>'rockfish harvests'!P243</f>
        <v>10006306.818414057</v>
      </c>
      <c r="O244">
        <f>IF([2]species_comp_Region1_forR!$D40&gt;49,[2]species_comp_Region1_forR!$N40,[2]species_comp_Region1_forR!$P40)</f>
        <v>0.57264150899999999</v>
      </c>
      <c r="P244">
        <f>IF([2]species_comp_Region1_forR!$D40&gt;49,[2]species_comp_Region1_forR!$O40,[2]species_comp_Region1_forR!$Q40)</f>
        <v>2.31089E-4</v>
      </c>
      <c r="Q244" s="13">
        <f t="shared" si="270"/>
        <v>7443.7972662008888</v>
      </c>
      <c r="R244" s="2">
        <f t="shared" si="208"/>
        <v>3317987.1027325117</v>
      </c>
      <c r="S244">
        <f t="shared" si="276"/>
        <v>1821.5342716327111</v>
      </c>
      <c r="T244" s="6">
        <f t="shared" si="277"/>
        <v>3570.2071724001139</v>
      </c>
      <c r="V244" s="13">
        <f t="shared" si="271"/>
        <v>65132.033713635894</v>
      </c>
      <c r="W244">
        <f t="shared" si="272"/>
        <v>3336104.4617851307</v>
      </c>
      <c r="X244">
        <f t="shared" si="278"/>
        <v>1826.5006054707812</v>
      </c>
      <c r="Y244" s="6">
        <f t="shared" si="279"/>
        <v>3579.9411867227313</v>
      </c>
      <c r="Z244" s="14">
        <f t="shared" si="234"/>
        <v>2.8043045815232839E-2</v>
      </c>
    </row>
    <row r="245" spans="1:26" x14ac:dyDescent="0.25">
      <c r="A245" t="str">
        <f>'rockfish harvests'!A244</f>
        <v>SE</v>
      </c>
      <c r="B245">
        <f>'rockfish harvests'!B244</f>
        <v>2015</v>
      </c>
      <c r="C245" t="str">
        <f>'rockfish harvests'!C244</f>
        <v>CSEO</v>
      </c>
      <c r="D245">
        <f>'rockfish harvests'!D244</f>
        <v>80105</v>
      </c>
      <c r="E245">
        <v>63217</v>
      </c>
      <c r="F245">
        <f>IF([2]species_comp_Region1_forR!$G19&gt;49,[2]species_comp_Region1_forR!$AD19,[2]species_comp_Region1_forR!$AF19)</f>
        <v>0.97065390699999998</v>
      </c>
      <c r="G245">
        <f>IF([2]species_comp_Region1_forR!$G19&gt;49,[2]species_comp_Region1_forR!$AE19,[2]species_comp_Region1_forR!$AG19)</f>
        <v>3.0290199999999998E-6</v>
      </c>
      <c r="H245" s="7">
        <f t="shared" si="273"/>
        <v>61361.828038818996</v>
      </c>
      <c r="I245">
        <f t="shared" si="280"/>
        <v>12105.142478362779</v>
      </c>
      <c r="J245">
        <f t="shared" si="274"/>
        <v>110.02337241860376</v>
      </c>
      <c r="K245" s="6">
        <f t="shared" si="275"/>
        <v>215.64580994046335</v>
      </c>
      <c r="M245" s="2">
        <f>'rockfish harvests'!O244</f>
        <v>8154.5459903117735</v>
      </c>
      <c r="N245">
        <f>'rockfish harvests'!P244</f>
        <v>3137762.110543259</v>
      </c>
      <c r="O245">
        <f>IF([2]species_comp_Region1_forR!$D41&gt;49,[2]species_comp_Region1_forR!$N41,[2]species_comp_Region1_forR!$P41)</f>
        <v>0.58013120900000004</v>
      </c>
      <c r="P245">
        <f>IF([2]species_comp_Region1_forR!$D41&gt;49,[2]species_comp_Region1_forR!$O41,[2]species_comp_Region1_forR!$Q41)</f>
        <v>2.2849799999999999E-4</v>
      </c>
      <c r="Q245" s="13">
        <f t="shared" si="270"/>
        <v>4730.7066242056717</v>
      </c>
      <c r="R245" s="2">
        <f t="shared" si="208"/>
        <v>1070498.1754356346</v>
      </c>
      <c r="S245">
        <f t="shared" si="276"/>
        <v>1034.6488174427275</v>
      </c>
      <c r="T245" s="6">
        <f t="shared" si="277"/>
        <v>2027.9116821877458</v>
      </c>
      <c r="V245" s="13">
        <f t="shared" si="271"/>
        <v>66092.534663024664</v>
      </c>
      <c r="W245">
        <f t="shared" si="272"/>
        <v>1082603.3179139975</v>
      </c>
      <c r="X245">
        <f t="shared" si="278"/>
        <v>1040.4822525704114</v>
      </c>
      <c r="Y245" s="6">
        <f t="shared" si="279"/>
        <v>2039.3452150380065</v>
      </c>
      <c r="Z245" s="14">
        <f t="shared" si="234"/>
        <v>1.5742810559094916E-2</v>
      </c>
    </row>
    <row r="246" spans="1:26" x14ac:dyDescent="0.25">
      <c r="A246" t="str">
        <f>'rockfish harvests'!A245</f>
        <v>SE</v>
      </c>
      <c r="B246">
        <f>'rockfish harvests'!B245</f>
        <v>2016</v>
      </c>
      <c r="C246" t="str">
        <f>'rockfish harvests'!C245</f>
        <v>CSEO</v>
      </c>
      <c r="D246">
        <f>'rockfish harvests'!D245</f>
        <v>54908</v>
      </c>
      <c r="E246">
        <v>42288</v>
      </c>
      <c r="F246">
        <f>IF([2]species_comp_Region1_forR!$G20&gt;49,[2]species_comp_Region1_forR!$AD20,[2]species_comp_Region1_forR!$AF20)</f>
        <v>0.94855967100000005</v>
      </c>
      <c r="G246">
        <f>IF([2]species_comp_Region1_forR!$G20&gt;49,[2]species_comp_Region1_forR!$AE20,[2]species_comp_Region1_forR!$AG20)</f>
        <v>6.6942299999999998E-6</v>
      </c>
      <c r="H246" s="7">
        <f t="shared" si="273"/>
        <v>40112.691367248</v>
      </c>
      <c r="I246">
        <f t="shared" si="280"/>
        <v>11971.123778373119</v>
      </c>
      <c r="J246">
        <f t="shared" si="274"/>
        <v>109.4126307990678</v>
      </c>
      <c r="K246" s="6">
        <f t="shared" si="275"/>
        <v>214.44875636617289</v>
      </c>
      <c r="M246" s="2">
        <f>'rockfish harvests'!O245</f>
        <v>8439.7721422199611</v>
      </c>
      <c r="N246">
        <f>'rockfish harvests'!P245</f>
        <v>2423165.6191606135</v>
      </c>
      <c r="O246">
        <f>IF([2]species_comp_Region1_forR!$D42&gt;49,[2]species_comp_Region1_forR!$N42,[2]species_comp_Region1_forR!$P42)</f>
        <v>0.511945392</v>
      </c>
      <c r="P246">
        <f>IF([2]species_comp_Region1_forR!$D42&gt;49,[2]species_comp_Region1_forR!$O42,[2]species_comp_Region1_forR!$Q42)</f>
        <v>2.1337099999999999E-4</v>
      </c>
      <c r="Q246" s="13">
        <f t="shared" si="270"/>
        <v>4320.7024577394777</v>
      </c>
      <c r="R246" s="2">
        <f t="shared" si="208"/>
        <v>649764.16581501579</v>
      </c>
      <c r="S246">
        <f t="shared" si="276"/>
        <v>806.07950340832747</v>
      </c>
      <c r="T246" s="6">
        <f t="shared" si="277"/>
        <v>1579.9158266803217</v>
      </c>
      <c r="V246" s="13">
        <f t="shared" si="271"/>
        <v>44433.393824987477</v>
      </c>
      <c r="W246">
        <f t="shared" si="272"/>
        <v>661735.28959338891</v>
      </c>
      <c r="X246">
        <f t="shared" si="278"/>
        <v>813.47113630010801</v>
      </c>
      <c r="Y246" s="6">
        <f t="shared" si="279"/>
        <v>1594.4034271482117</v>
      </c>
      <c r="Z246" s="14">
        <f t="shared" si="234"/>
        <v>1.8307652562038732E-2</v>
      </c>
    </row>
    <row r="247" spans="1:26" x14ac:dyDescent="0.25">
      <c r="A247" t="str">
        <f>'rockfish harvests'!A246</f>
        <v>SE</v>
      </c>
      <c r="B247">
        <f>'rockfish harvests'!B246</f>
        <v>2017</v>
      </c>
      <c r="C247" t="str">
        <f>'rockfish harvests'!C246</f>
        <v>CSEO</v>
      </c>
      <c r="D247">
        <f>'rockfish harvests'!D246</f>
        <v>57388</v>
      </c>
      <c r="E247">
        <v>46059</v>
      </c>
      <c r="F247">
        <f>IF([2]species_comp_Region1_forR!$G21&gt;49,[2]species_comp_Region1_forR!$AD21,[2]species_comp_Region1_forR!$AF21)</f>
        <v>0.93487873499999996</v>
      </c>
      <c r="G247">
        <f>IF([2]species_comp_Region1_forR!$G21&gt;49,[2]species_comp_Region1_forR!$AE21,[2]species_comp_Region1_forR!$AG21)</f>
        <v>8.1587399999999997E-6</v>
      </c>
      <c r="H247" s="7">
        <f t="shared" si="273"/>
        <v>43059.579655365</v>
      </c>
      <c r="I247">
        <f t="shared" si="280"/>
        <v>17308.20788129394</v>
      </c>
      <c r="J247">
        <f t="shared" si="274"/>
        <v>131.56066236263004</v>
      </c>
      <c r="K247" s="6">
        <f t="shared" si="275"/>
        <v>257.85889823075485</v>
      </c>
      <c r="M247" s="2">
        <f>'rockfish harvests'!O246</f>
        <v>14552.082903438393</v>
      </c>
      <c r="N247">
        <f>'rockfish harvests'!P246</f>
        <v>13249322.287968032</v>
      </c>
      <c r="O247">
        <f>IF([2]species_comp_Region1_forR!$D43&gt;49,[2]species_comp_Region1_forR!$N43,[2]species_comp_Region1_forR!$P43)</f>
        <v>0.503926702</v>
      </c>
      <c r="P247">
        <f>IF([2]species_comp_Region1_forR!$D43&gt;49,[2]species_comp_Region1_forR!$O43,[2]species_comp_Region1_forR!$Q43)</f>
        <v>3.2763399999999999E-4</v>
      </c>
      <c r="Q247" s="13">
        <f t="shared" si="270"/>
        <v>7333.1831447602945</v>
      </c>
      <c r="R247" s="2">
        <f t="shared" si="208"/>
        <v>3429600.8720285972</v>
      </c>
      <c r="S247">
        <f t="shared" si="276"/>
        <v>1851.9181601865125</v>
      </c>
      <c r="T247" s="6">
        <f t="shared" si="277"/>
        <v>3629.7595939655644</v>
      </c>
      <c r="V247" s="13">
        <f t="shared" si="271"/>
        <v>50392.762800125296</v>
      </c>
      <c r="W247">
        <f t="shared" si="272"/>
        <v>3446909.0799098909</v>
      </c>
      <c r="X247">
        <f t="shared" si="278"/>
        <v>1856.5853279367182</v>
      </c>
      <c r="Y247" s="6">
        <f t="shared" si="279"/>
        <v>3638.9072427559677</v>
      </c>
      <c r="Z247" s="14">
        <f t="shared" si="234"/>
        <v>3.6842300853806374E-2</v>
      </c>
    </row>
    <row r="248" spans="1:26" x14ac:dyDescent="0.25">
      <c r="A248" t="str">
        <f>'rockfish harvests'!A247</f>
        <v>SE</v>
      </c>
      <c r="B248">
        <f>'rockfish harvests'!B247</f>
        <v>2018</v>
      </c>
      <c r="C248" t="str">
        <f>'rockfish harvests'!C247</f>
        <v>CSEO</v>
      </c>
      <c r="D248">
        <f>'rockfish harvests'!D247</f>
        <v>55460</v>
      </c>
      <c r="E248">
        <v>44943</v>
      </c>
      <c r="F248">
        <f>IF([2]species_comp_Region1_forR!$G22&gt;49,[2]species_comp_Region1_forR!$AD22,[2]species_comp_Region1_forR!$AF22)</f>
        <v>0.93213771700000003</v>
      </c>
      <c r="G248">
        <f>IF([2]species_comp_Region1_forR!$G22&gt;49,[2]species_comp_Region1_forR!$AE22,[2]species_comp_Region1_forR!$AG22)</f>
        <v>7.0036500000000003E-6</v>
      </c>
      <c r="H248" s="7">
        <f t="shared" si="273"/>
        <v>41893.065415131001</v>
      </c>
      <c r="I248">
        <f t="shared" si="280"/>
        <v>14146.485280358851</v>
      </c>
      <c r="J248">
        <f t="shared" si="274"/>
        <v>118.93899814761704</v>
      </c>
      <c r="K248" s="6">
        <f t="shared" si="275"/>
        <v>233.12043636932941</v>
      </c>
      <c r="M248" s="2">
        <f>'rockfish harvests'!O247</f>
        <v>6239.0473207200412</v>
      </c>
      <c r="N248">
        <f>'rockfish harvests'!P247</f>
        <v>1305580.4963851175</v>
      </c>
      <c r="O248">
        <f>IF([2]species_comp_Region1_forR!$D44&gt;49,[2]species_comp_Region1_forR!$N44,[2]species_comp_Region1_forR!$P44)</f>
        <v>0.60050890599999995</v>
      </c>
      <c r="P248">
        <f>IF([2]species_comp_Region1_forR!$D44&gt;49,[2]species_comp_Region1_forR!$O44,[2]species_comp_Region1_forR!$Q44)</f>
        <v>3.0560199999999998E-4</v>
      </c>
      <c r="Q248" s="13">
        <f t="shared" si="270"/>
        <v>3746.6034810478227</v>
      </c>
      <c r="R248" s="2">
        <f t="shared" si="208"/>
        <v>482303.40538838774</v>
      </c>
      <c r="S248">
        <f t="shared" si="276"/>
        <v>694.48067315684727</v>
      </c>
      <c r="T248" s="6">
        <f t="shared" si="277"/>
        <v>1361.1821193874207</v>
      </c>
      <c r="V248" s="13">
        <f t="shared" si="271"/>
        <v>45639.668896178824</v>
      </c>
      <c r="W248">
        <f t="shared" si="272"/>
        <v>496449.89066874661</v>
      </c>
      <c r="X248">
        <f t="shared" si="278"/>
        <v>704.59200298381654</v>
      </c>
      <c r="Y248" s="6">
        <f t="shared" si="279"/>
        <v>1381.0003258482805</v>
      </c>
      <c r="Z248" s="14">
        <f t="shared" si="234"/>
        <v>1.5438148874099488E-2</v>
      </c>
    </row>
    <row r="249" spans="1:26" x14ac:dyDescent="0.25">
      <c r="A249" t="str">
        <f>'rockfish harvests'!A248</f>
        <v>SE</v>
      </c>
      <c r="B249">
        <f>'rockfish harvests'!B248</f>
        <v>2019</v>
      </c>
      <c r="C249" t="str">
        <f>'rockfish harvests'!C248</f>
        <v>CSEO</v>
      </c>
      <c r="D249">
        <f>'rockfish harvests'!D248</f>
        <v>59842</v>
      </c>
      <c r="E249">
        <v>51062</v>
      </c>
      <c r="F249">
        <v>0.93164001254311701</v>
      </c>
      <c r="G249">
        <v>9.9869687269527644E-6</v>
      </c>
      <c r="H249" s="7">
        <f>E249*F249</f>
        <v>47571.402320476642</v>
      </c>
      <c r="I249">
        <f>(E249^2)*G249</f>
        <v>26039.301638941175</v>
      </c>
      <c r="J249">
        <f>SQRT(I249)</f>
        <v>161.36697815520117</v>
      </c>
      <c r="K249" s="6">
        <f>(1.96*J249)</f>
        <v>316.27927718419426</v>
      </c>
      <c r="M249" s="2">
        <f>'rockfish harvests'!O248</f>
        <v>9834.2503043694014</v>
      </c>
      <c r="N249">
        <f>'rockfish harvests'!P248</f>
        <v>3923387.5515685715</v>
      </c>
      <c r="O249">
        <v>0.58120805369127515</v>
      </c>
      <c r="P249">
        <v>3.2715759679526209E-4</v>
      </c>
      <c r="Q249" s="13">
        <f>M249*O249</f>
        <v>5715.7454789153699</v>
      </c>
      <c r="R249" s="2">
        <f>(M249^2)*P249+(O249^2)*N249-(P249*N249)</f>
        <v>1355687.9631621486</v>
      </c>
      <c r="S249">
        <f>SQRT(R249)</f>
        <v>1164.3401406642943</v>
      </c>
      <c r="T249" s="6">
        <f>(1.96*S249)</f>
        <v>2282.1066757020167</v>
      </c>
      <c r="V249" s="13">
        <f>Q249+H249</f>
        <v>53287.147799392013</v>
      </c>
      <c r="W249">
        <f>R249+I249</f>
        <v>1381727.2648010899</v>
      </c>
      <c r="X249">
        <f>SQRT(W249)</f>
        <v>1175.4689552689556</v>
      </c>
      <c r="Y249" s="6">
        <f>(1.96*X249)</f>
        <v>2303.9191523271529</v>
      </c>
      <c r="Z249" s="14">
        <f t="shared" si="234"/>
        <v>2.2059145662931639E-2</v>
      </c>
    </row>
    <row r="250" spans="1:26" x14ac:dyDescent="0.25">
      <c r="A250" t="str">
        <f>'rockfish harvests'!A249</f>
        <v>SE</v>
      </c>
      <c r="B250">
        <f>'rockfish harvests'!B249</f>
        <v>2020</v>
      </c>
      <c r="C250" t="str">
        <f>'rockfish harvests'!C249</f>
        <v>CSEO</v>
      </c>
      <c r="D250">
        <f>'rockfish harvests'!D249</f>
        <v>24728</v>
      </c>
      <c r="E250">
        <v>23904</v>
      </c>
      <c r="F250" t="s">
        <v>278</v>
      </c>
      <c r="G250" t="s">
        <v>279</v>
      </c>
      <c r="H250" s="7">
        <f t="shared" ref="H250:H251" si="281">E250*F250</f>
        <v>22497.882352941167</v>
      </c>
      <c r="I250">
        <f t="shared" ref="I250:I251" si="282">(E250^2)*G250</f>
        <v>9901.3049758760062</v>
      </c>
      <c r="J250">
        <f t="shared" ref="J250:J251" si="283">SQRT(I250)</f>
        <v>99.505301245089484</v>
      </c>
      <c r="K250" s="6">
        <f t="shared" ref="K250:K251" si="284">(1.96*J250)</f>
        <v>195.03039044037538</v>
      </c>
      <c r="M250" s="2">
        <f>'rockfish harvests'!O249</f>
        <v>5579.5825129317564</v>
      </c>
      <c r="N250">
        <f>'rockfish harvests'!P249</f>
        <v>3148769.5238355137</v>
      </c>
      <c r="O250">
        <v>0.88378378378378375</v>
      </c>
      <c r="P250">
        <v>2.7834690326450384E-4</v>
      </c>
      <c r="Q250" s="13">
        <f t="shared" ref="Q250:Q251" si="285">M250*O250</f>
        <v>4931.14454521266</v>
      </c>
      <c r="R250" s="2">
        <f t="shared" ref="R250:R251" si="286">(M250^2)*P250+(O250^2)*N250-(P250*N250)</f>
        <v>2467210.2767044702</v>
      </c>
      <c r="S250">
        <f t="shared" ref="S250:S251" si="287">SQRT(R250)</f>
        <v>1570.7355845922859</v>
      </c>
      <c r="T250" s="6">
        <f t="shared" ref="T250:T251" si="288">(1.96*S250)</f>
        <v>3078.6417458008805</v>
      </c>
      <c r="V250" s="13">
        <f t="shared" ref="V250:V251" si="289">Q250+H250</f>
        <v>27429.026898153828</v>
      </c>
      <c r="W250">
        <f t="shared" ref="W250:W251" si="290">R250+I250</f>
        <v>2477111.5816803463</v>
      </c>
      <c r="X250">
        <f t="shared" ref="X250:X251" si="291">SQRT(W250)</f>
        <v>1573.8842338877234</v>
      </c>
      <c r="Y250" s="6">
        <f t="shared" ref="Y250:Y251" si="292">(1.96*X250)</f>
        <v>3084.8130984199379</v>
      </c>
      <c r="Z250" s="14">
        <f t="shared" ref="Z250:Z251" si="293">X250/V250</f>
        <v>5.7380243190240821E-2</v>
      </c>
    </row>
    <row r="251" spans="1:26" x14ac:dyDescent="0.25">
      <c r="A251" t="str">
        <f>'rockfish harvests'!A250</f>
        <v>SE</v>
      </c>
      <c r="B251">
        <f>'rockfish harvests'!B250</f>
        <v>2021</v>
      </c>
      <c r="C251" t="str">
        <f>'rockfish harvests'!C250</f>
        <v>CSEO</v>
      </c>
      <c r="D251">
        <f>'rockfish harvests'!D250</f>
        <v>56521</v>
      </c>
      <c r="E251">
        <v>53700</v>
      </c>
      <c r="F251" t="s">
        <v>280</v>
      </c>
      <c r="G251" t="s">
        <v>281</v>
      </c>
      <c r="H251" s="7">
        <f t="shared" si="281"/>
        <v>52173.075122864495</v>
      </c>
      <c r="I251">
        <f t="shared" si="282"/>
        <v>8673.3115211498189</v>
      </c>
      <c r="J251">
        <f t="shared" si="283"/>
        <v>93.130615380495684</v>
      </c>
      <c r="K251" s="6">
        <f t="shared" si="284"/>
        <v>182.53600614577152</v>
      </c>
      <c r="M251" s="2">
        <f>'rockfish harvests'!O250</f>
        <v>6300.3832456916716</v>
      </c>
      <c r="N251">
        <f>'rockfish harvests'!P250</f>
        <v>1468791.0672018982</v>
      </c>
      <c r="O251">
        <v>0.89787234042553188</v>
      </c>
      <c r="P251">
        <v>1.9551727233328288E-4</v>
      </c>
      <c r="Q251" s="13">
        <f t="shared" si="285"/>
        <v>5656.9398503869897</v>
      </c>
      <c r="R251" s="2">
        <f t="shared" si="286"/>
        <v>1191576.1069540274</v>
      </c>
      <c r="S251">
        <f t="shared" si="287"/>
        <v>1091.593379859931</v>
      </c>
      <c r="T251" s="6">
        <f t="shared" si="288"/>
        <v>2139.5230245254647</v>
      </c>
      <c r="V251" s="13">
        <f t="shared" si="289"/>
        <v>57830.014973251484</v>
      </c>
      <c r="W251">
        <f t="shared" si="290"/>
        <v>1200249.4184751771</v>
      </c>
      <c r="X251">
        <f t="shared" si="291"/>
        <v>1095.5589525329876</v>
      </c>
      <c r="Y251" s="6">
        <f t="shared" si="292"/>
        <v>2147.2955469646558</v>
      </c>
      <c r="Z251" s="14">
        <f t="shared" si="293"/>
        <v>1.8944469460015254E-2</v>
      </c>
    </row>
    <row r="252" spans="1:26" s="51" customFormat="1" x14ac:dyDescent="0.25">
      <c r="A252" s="51" t="s">
        <v>151</v>
      </c>
      <c r="B252" s="51">
        <v>2022</v>
      </c>
      <c r="C252" s="51" t="s">
        <v>42</v>
      </c>
      <c r="D252">
        <f>'rockfish harvests'!D251</f>
        <v>67729</v>
      </c>
      <c r="E252" s="51">
        <v>64331</v>
      </c>
      <c r="F252" t="s">
        <v>176</v>
      </c>
      <c r="G252" t="s">
        <v>282</v>
      </c>
      <c r="H252" s="7">
        <f t="shared" ref="H252" si="294">E252*F252</f>
        <v>62732.977797318083</v>
      </c>
      <c r="I252">
        <f t="shared" ref="I252" si="295">(E252^2)*G252</f>
        <v>10450.191948344123</v>
      </c>
      <c r="J252">
        <f t="shared" ref="J252" si="296">SQRT(I252)</f>
        <v>102.22618034703304</v>
      </c>
      <c r="K252" s="6">
        <f t="shared" ref="K252" si="297">(1.96*J252)</f>
        <v>200.36331348018476</v>
      </c>
      <c r="M252" s="2">
        <f>'rockfish harvests'!O251</f>
        <v>11225.939425595861</v>
      </c>
      <c r="N252">
        <f>'rockfish harvests'!P251</f>
        <v>5307635.0491281012</v>
      </c>
      <c r="O252" t="s">
        <v>177</v>
      </c>
      <c r="P252" t="s">
        <v>178</v>
      </c>
      <c r="Q252" s="13">
        <f t="shared" ref="Q252" si="298">M252*O252</f>
        <v>9937.3968132665996</v>
      </c>
      <c r="R252" s="2">
        <f t="shared" ref="R252" si="299">(M252^2)*P252+(O252^2)*N252-(P252*N252)</f>
        <v>4180483.4009744744</v>
      </c>
      <c r="S252">
        <f t="shared" ref="S252" si="300">SQRT(R252)</f>
        <v>2044.6230461810007</v>
      </c>
      <c r="T252" s="6">
        <f t="shared" ref="T252" si="301">(1.96*S252)</f>
        <v>4007.4611705147613</v>
      </c>
      <c r="V252" s="13">
        <f t="shared" ref="V252" si="302">Q252+H252</f>
        <v>72670.37461058468</v>
      </c>
      <c r="W252">
        <f t="shared" ref="W252" si="303">R252+I252</f>
        <v>4190933.5929228184</v>
      </c>
      <c r="X252">
        <f t="shared" ref="X252" si="304">SQRT(W252)</f>
        <v>2047.1769813386479</v>
      </c>
      <c r="Y252" s="6">
        <f t="shared" ref="Y252" si="305">(1.96*X252)</f>
        <v>4012.46688342375</v>
      </c>
      <c r="Z252" s="14">
        <f t="shared" ref="Z252" si="306">X252/V252</f>
        <v>2.8170722833186963E-2</v>
      </c>
    </row>
    <row r="253" spans="1:26" x14ac:dyDescent="0.25">
      <c r="A253" t="str">
        <f>'rockfish harvests'!A252</f>
        <v>SE</v>
      </c>
      <c r="B253">
        <f>'rockfish harvests'!B252</f>
        <v>1998</v>
      </c>
      <c r="C253" t="str">
        <f>'rockfish harvests'!C252</f>
        <v>EWYKT</v>
      </c>
      <c r="D253">
        <f>'rockfish harvests'!D252</f>
        <v>1305</v>
      </c>
      <c r="E253">
        <v>699</v>
      </c>
      <c r="F253" s="32">
        <v>0.98779804699999996</v>
      </c>
      <c r="G253" s="32">
        <v>2.0975599999999999E-4</v>
      </c>
      <c r="H253" s="7">
        <f t="shared" si="273"/>
        <v>690.47083485299993</v>
      </c>
      <c r="I253">
        <f t="shared" si="280"/>
        <v>102.48699135599999</v>
      </c>
      <c r="J253">
        <f t="shared" si="274"/>
        <v>10.123585894138499</v>
      </c>
      <c r="K253" s="6">
        <f t="shared" si="275"/>
        <v>19.842228352511459</v>
      </c>
      <c r="M253" s="2">
        <f>'rockfish harvests'!O252</f>
        <v>340.03895326402039</v>
      </c>
      <c r="N253">
        <f>'rockfish harvests'!P252</f>
        <v>27091.93854220381</v>
      </c>
      <c r="O253" s="32">
        <v>0.86861137799999999</v>
      </c>
      <c r="P253" s="32">
        <v>5.2692640000000001E-3</v>
      </c>
      <c r="Q253" s="13">
        <f t="shared" si="270"/>
        <v>295.36170376833837</v>
      </c>
      <c r="R253" s="2">
        <f t="shared" si="208"/>
        <v>20906.992842886113</v>
      </c>
      <c r="S253">
        <f t="shared" si="276"/>
        <v>144.59250617817685</v>
      </c>
      <c r="T253" s="6">
        <f t="shared" si="277"/>
        <v>283.40131210922664</v>
      </c>
      <c r="V253" s="13">
        <f t="shared" si="271"/>
        <v>985.83253862133824</v>
      </c>
      <c r="W253">
        <f t="shared" si="272"/>
        <v>21009.479834242113</v>
      </c>
      <c r="X253">
        <f t="shared" si="278"/>
        <v>144.94647230699377</v>
      </c>
      <c r="Y253" s="6">
        <f t="shared" si="279"/>
        <v>284.09508572170779</v>
      </c>
      <c r="Z253" s="14">
        <f t="shared" si="234"/>
        <v>0.14702950717136778</v>
      </c>
    </row>
    <row r="254" spans="1:26" x14ac:dyDescent="0.25">
      <c r="A254" t="str">
        <f>'rockfish harvests'!A253</f>
        <v>SE</v>
      </c>
      <c r="B254">
        <f>'rockfish harvests'!B253</f>
        <v>1999</v>
      </c>
      <c r="C254" t="str">
        <f>'rockfish harvests'!C253</f>
        <v>EWYKT</v>
      </c>
      <c r="D254">
        <f>'rockfish harvests'!D253</f>
        <v>663</v>
      </c>
      <c r="E254">
        <v>547</v>
      </c>
      <c r="F254" s="32">
        <v>0.98779804699999996</v>
      </c>
      <c r="G254" s="32">
        <v>2.0975599999999999E-4</v>
      </c>
      <c r="H254" s="7">
        <f t="shared" si="273"/>
        <v>540.32553170899996</v>
      </c>
      <c r="I254">
        <f t="shared" si="280"/>
        <v>62.760883004</v>
      </c>
      <c r="J254">
        <f t="shared" si="274"/>
        <v>7.9221766582171087</v>
      </c>
      <c r="K254" s="6">
        <f t="shared" si="275"/>
        <v>15.527466250105533</v>
      </c>
      <c r="M254" s="2">
        <f>'rockfish harvests'!O253</f>
        <v>172.7554222329851</v>
      </c>
      <c r="N254">
        <f>'rockfish harvests'!P253</f>
        <v>6992.7196212962144</v>
      </c>
      <c r="O254" s="32">
        <v>0.86861137799999999</v>
      </c>
      <c r="P254" s="32">
        <v>5.2692640000000001E-3</v>
      </c>
      <c r="Q254" s="13">
        <f t="shared" si="270"/>
        <v>150.05732536276503</v>
      </c>
      <c r="R254" s="2">
        <f t="shared" si="208"/>
        <v>5396.3188661086042</v>
      </c>
      <c r="S254">
        <f t="shared" si="276"/>
        <v>73.459641069832387</v>
      </c>
      <c r="T254" s="6">
        <f t="shared" si="277"/>
        <v>143.98089649687148</v>
      </c>
      <c r="V254" s="13">
        <f t="shared" si="271"/>
        <v>690.38285707176499</v>
      </c>
      <c r="W254">
        <f t="shared" si="272"/>
        <v>5459.0797491126041</v>
      </c>
      <c r="X254">
        <f t="shared" si="278"/>
        <v>73.885585530011227</v>
      </c>
      <c r="Y254" s="6">
        <f t="shared" si="279"/>
        <v>144.81574763882199</v>
      </c>
      <c r="Z254" s="14">
        <f t="shared" si="234"/>
        <v>0.10702117639970724</v>
      </c>
    </row>
    <row r="255" spans="1:26" x14ac:dyDescent="0.25">
      <c r="A255" t="str">
        <f>'rockfish harvests'!A254</f>
        <v>SE</v>
      </c>
      <c r="B255">
        <f>'rockfish harvests'!B254</f>
        <v>2000</v>
      </c>
      <c r="C255" t="str">
        <f>'rockfish harvests'!C254</f>
        <v>EWYKT</v>
      </c>
      <c r="D255">
        <f>'rockfish harvests'!D254</f>
        <v>1199</v>
      </c>
      <c r="E255">
        <v>1057</v>
      </c>
      <c r="F255" s="32">
        <v>0.98779804699999996</v>
      </c>
      <c r="G255" s="32">
        <v>2.0975599999999999E-4</v>
      </c>
      <c r="H255" s="7">
        <f t="shared" si="273"/>
        <v>1044.1025356789999</v>
      </c>
      <c r="I255">
        <f t="shared" si="280"/>
        <v>234.34968124399998</v>
      </c>
      <c r="J255">
        <f t="shared" si="274"/>
        <v>15.308483962953353</v>
      </c>
      <c r="K255" s="6">
        <f t="shared" si="275"/>
        <v>30.004628567388572</v>
      </c>
      <c r="M255" s="2">
        <f>'rockfish harvests'!O254</f>
        <v>312.41893100655966</v>
      </c>
      <c r="N255">
        <f>'rockfish harvests'!P254</f>
        <v>22869.539754384543</v>
      </c>
      <c r="O255" s="32">
        <v>0.86861137799999999</v>
      </c>
      <c r="P255" s="32">
        <v>5.2692640000000001E-3</v>
      </c>
      <c r="Q255" s="13">
        <f t="shared" si="270"/>
        <v>271.37063817489474</v>
      </c>
      <c r="R255" s="2">
        <f t="shared" si="208"/>
        <v>17648.545275569013</v>
      </c>
      <c r="S255">
        <f t="shared" si="276"/>
        <v>132.84782751542841</v>
      </c>
      <c r="T255" s="6">
        <f t="shared" si="277"/>
        <v>260.38174193023968</v>
      </c>
      <c r="V255" s="13">
        <f t="shared" si="271"/>
        <v>1315.4731738538947</v>
      </c>
      <c r="W255">
        <f t="shared" si="272"/>
        <v>17882.894956813012</v>
      </c>
      <c r="X255">
        <f t="shared" si="278"/>
        <v>133.72694177619186</v>
      </c>
      <c r="Y255" s="6">
        <f t="shared" si="279"/>
        <v>262.10480588133606</v>
      </c>
      <c r="Z255" s="14">
        <f t="shared" si="234"/>
        <v>0.10165691283875963</v>
      </c>
    </row>
    <row r="256" spans="1:26" x14ac:dyDescent="0.25">
      <c r="A256" t="str">
        <f>'rockfish harvests'!A255</f>
        <v>SE</v>
      </c>
      <c r="B256">
        <f>'rockfish harvests'!B255</f>
        <v>2001</v>
      </c>
      <c r="C256" t="str">
        <f>'rockfish harvests'!C255</f>
        <v>EWYKT</v>
      </c>
      <c r="D256">
        <f>'rockfish harvests'!D255</f>
        <v>1043</v>
      </c>
      <c r="E256">
        <v>891</v>
      </c>
      <c r="F256" s="32">
        <v>0.98779804699999996</v>
      </c>
      <c r="G256" s="32">
        <v>2.0975599999999999E-4</v>
      </c>
      <c r="H256" s="7">
        <f t="shared" si="273"/>
        <v>880.12805987699994</v>
      </c>
      <c r="I256">
        <f t="shared" si="280"/>
        <v>166.52130303599998</v>
      </c>
      <c r="J256">
        <f t="shared" si="274"/>
        <v>12.904313350039201</v>
      </c>
      <c r="K256" s="6">
        <f t="shared" si="275"/>
        <v>25.292454166076833</v>
      </c>
      <c r="M256" s="2">
        <f>'rockfish harvests'!O255</f>
        <v>271.77059636350441</v>
      </c>
      <c r="N256">
        <f>'rockfish harvests'!P255</f>
        <v>17305.640405277591</v>
      </c>
      <c r="O256" s="32">
        <v>0.86861137799999999</v>
      </c>
      <c r="P256" s="32">
        <v>5.2692640000000001E-3</v>
      </c>
      <c r="Q256" s="13">
        <f t="shared" si="270"/>
        <v>236.06303220718536</v>
      </c>
      <c r="R256" s="2">
        <f t="shared" si="208"/>
        <v>13354.854601160177</v>
      </c>
      <c r="S256">
        <f t="shared" si="276"/>
        <v>115.56320608723253</v>
      </c>
      <c r="T256" s="6">
        <f t="shared" si="277"/>
        <v>226.50388393097575</v>
      </c>
      <c r="V256" s="13">
        <f t="shared" si="271"/>
        <v>1116.1910920841854</v>
      </c>
      <c r="W256">
        <f t="shared" si="272"/>
        <v>13521.375904196177</v>
      </c>
      <c r="X256">
        <f t="shared" si="278"/>
        <v>116.28145124737726</v>
      </c>
      <c r="Y256" s="6">
        <f t="shared" si="279"/>
        <v>227.91164444485943</v>
      </c>
      <c r="Z256" s="14">
        <f t="shared" si="234"/>
        <v>0.10417701061406345</v>
      </c>
    </row>
    <row r="257" spans="1:26" x14ac:dyDescent="0.25">
      <c r="A257" t="str">
        <f>'rockfish harvests'!A256</f>
        <v>SE</v>
      </c>
      <c r="B257">
        <f>'rockfish harvests'!B256</f>
        <v>2002</v>
      </c>
      <c r="C257" t="str">
        <f>'rockfish harvests'!C256</f>
        <v>EWYKT</v>
      </c>
      <c r="D257">
        <f>'rockfish harvests'!D256</f>
        <v>893</v>
      </c>
      <c r="E257">
        <v>791</v>
      </c>
      <c r="F257" s="32">
        <v>0.98779804699999996</v>
      </c>
      <c r="G257" s="32">
        <v>2.0975599999999999E-4</v>
      </c>
      <c r="H257" s="7">
        <f t="shared" si="273"/>
        <v>781.34825517699994</v>
      </c>
      <c r="I257">
        <f t="shared" si="280"/>
        <v>131.24034383599999</v>
      </c>
      <c r="J257">
        <f t="shared" si="274"/>
        <v>11.456017800090919</v>
      </c>
      <c r="K257" s="6">
        <f t="shared" si="275"/>
        <v>22.453794888178201</v>
      </c>
      <c r="M257" s="2">
        <f>'rockfish harvests'!O256</f>
        <v>232.6856592067204</v>
      </c>
      <c r="N257">
        <f>'rockfish harvests'!P256</f>
        <v>12685.920229322461</v>
      </c>
      <c r="O257" s="32">
        <v>0.86861137799999999</v>
      </c>
      <c r="P257" s="32">
        <v>5.2692640000000001E-3</v>
      </c>
      <c r="Q257" s="13">
        <f t="shared" si="270"/>
        <v>202.11341108438779</v>
      </c>
      <c r="R257" s="2">
        <f t="shared" si="208"/>
        <v>9789.7920086708564</v>
      </c>
      <c r="S257">
        <f t="shared" si="276"/>
        <v>98.943377790890366</v>
      </c>
      <c r="T257" s="6">
        <f t="shared" si="277"/>
        <v>193.9290204701451</v>
      </c>
      <c r="V257" s="13">
        <f t="shared" si="271"/>
        <v>983.46166626138779</v>
      </c>
      <c r="W257">
        <f t="shared" si="272"/>
        <v>9921.0323525068561</v>
      </c>
      <c r="X257">
        <f t="shared" si="278"/>
        <v>99.604379183381567</v>
      </c>
      <c r="Y257" s="6">
        <f t="shared" si="279"/>
        <v>195.22458319942785</v>
      </c>
      <c r="Z257" s="14">
        <f t="shared" si="234"/>
        <v>0.10127937122554645</v>
      </c>
    </row>
    <row r="258" spans="1:26" x14ac:dyDescent="0.25">
      <c r="A258" t="str">
        <f>'rockfish harvests'!A257</f>
        <v>SE</v>
      </c>
      <c r="B258">
        <f>'rockfish harvests'!B257</f>
        <v>2003</v>
      </c>
      <c r="C258" t="str">
        <f>'rockfish harvests'!C257</f>
        <v>EWYKT</v>
      </c>
      <c r="D258">
        <f>'rockfish harvests'!D257</f>
        <v>1627</v>
      </c>
      <c r="E258">
        <v>1184</v>
      </c>
      <c r="F258" s="32">
        <v>0.98779804699999996</v>
      </c>
      <c r="G258" s="32">
        <v>2.0975599999999999E-4</v>
      </c>
      <c r="H258" s="7">
        <f t="shared" si="273"/>
        <v>1169.552887648</v>
      </c>
      <c r="I258">
        <f t="shared" si="280"/>
        <v>294.04770713599999</v>
      </c>
      <c r="J258">
        <f t="shared" si="274"/>
        <v>17.147819311387671</v>
      </c>
      <c r="K258" s="6">
        <f t="shared" si="275"/>
        <v>33.609725850319833</v>
      </c>
      <c r="M258" s="2">
        <f>'rockfish harvests'!O257</f>
        <v>423.94128502725016</v>
      </c>
      <c r="N258">
        <f>'rockfish harvests'!P257</f>
        <v>42110.865184765593</v>
      </c>
      <c r="O258" s="32">
        <v>0.86861137799999999</v>
      </c>
      <c r="P258" s="32">
        <v>5.2692640000000001E-3</v>
      </c>
      <c r="Q258" s="13">
        <f t="shared" si="270"/>
        <v>368.24022377861053</v>
      </c>
      <c r="R258" s="2">
        <f t="shared" si="208"/>
        <v>32497.178289923089</v>
      </c>
      <c r="S258">
        <f t="shared" si="276"/>
        <v>180.26973758765803</v>
      </c>
      <c r="T258" s="6">
        <f t="shared" si="277"/>
        <v>353.32868567180975</v>
      </c>
      <c r="V258" s="13">
        <f t="shared" si="271"/>
        <v>1537.7931114266105</v>
      </c>
      <c r="W258">
        <f t="shared" si="272"/>
        <v>32791.225997059089</v>
      </c>
      <c r="X258">
        <f t="shared" si="278"/>
        <v>181.0834779792433</v>
      </c>
      <c r="Y258" s="6">
        <f t="shared" si="279"/>
        <v>354.92361683931688</v>
      </c>
      <c r="Z258" s="14">
        <f t="shared" si="234"/>
        <v>0.11775542277676883</v>
      </c>
    </row>
    <row r="259" spans="1:26" x14ac:dyDescent="0.25">
      <c r="A259" t="str">
        <f>'rockfish harvests'!A258</f>
        <v>SE</v>
      </c>
      <c r="B259">
        <f>'rockfish harvests'!B258</f>
        <v>2004</v>
      </c>
      <c r="C259" t="str">
        <f>'rockfish harvests'!C258</f>
        <v>EWYKT</v>
      </c>
      <c r="D259">
        <f>'rockfish harvests'!D258</f>
        <v>1501</v>
      </c>
      <c r="E259">
        <v>1123</v>
      </c>
      <c r="F259" s="32">
        <v>0.98779804699999996</v>
      </c>
      <c r="G259" s="32">
        <v>2.0975599999999999E-4</v>
      </c>
      <c r="H259" s="7">
        <f t="shared" si="273"/>
        <v>1109.2972067809999</v>
      </c>
      <c r="I259">
        <f t="shared" si="280"/>
        <v>264.52937452399999</v>
      </c>
      <c r="J259">
        <f t="shared" si="274"/>
        <v>16.264359025919219</v>
      </c>
      <c r="K259" s="6">
        <f t="shared" si="275"/>
        <v>31.878143690801668</v>
      </c>
      <c r="M259" s="2">
        <f>'rockfish harvests'!O258</f>
        <v>391.10993781555135</v>
      </c>
      <c r="N259">
        <f>'rockfish harvests'!P258</f>
        <v>35841.026777365994</v>
      </c>
      <c r="O259" s="32">
        <v>0.86861137799999999</v>
      </c>
      <c r="P259" s="32">
        <v>5.2692640000000001E-3</v>
      </c>
      <c r="Q259" s="13">
        <f t="shared" si="270"/>
        <v>339.72254203546038</v>
      </c>
      <c r="R259" s="2">
        <f t="shared" ref="R259:R334" si="307">(M259^2)*P259+(O259^2)*N259-(P259*N259)</f>
        <v>27658.710695389233</v>
      </c>
      <c r="S259">
        <f t="shared" si="276"/>
        <v>166.30908181873062</v>
      </c>
      <c r="T259" s="6">
        <f t="shared" si="277"/>
        <v>325.96580036471198</v>
      </c>
      <c r="V259" s="13">
        <f t="shared" si="271"/>
        <v>1449.0197488164604</v>
      </c>
      <c r="W259">
        <f t="shared" si="272"/>
        <v>27923.240069913234</v>
      </c>
      <c r="X259">
        <f t="shared" si="278"/>
        <v>167.10248373352573</v>
      </c>
      <c r="Y259" s="6">
        <f t="shared" si="279"/>
        <v>327.52086811771045</v>
      </c>
      <c r="Z259" s="14">
        <f t="shared" si="234"/>
        <v>0.11532105333278775</v>
      </c>
    </row>
    <row r="260" spans="1:26" x14ac:dyDescent="0.25">
      <c r="A260" t="str">
        <f>'rockfish harvests'!A259</f>
        <v>SE</v>
      </c>
      <c r="B260">
        <f>'rockfish harvests'!B259</f>
        <v>2005</v>
      </c>
      <c r="C260" t="str">
        <f>'rockfish harvests'!C259</f>
        <v>EWYKT</v>
      </c>
      <c r="D260">
        <f>'rockfish harvests'!D259</f>
        <v>1676</v>
      </c>
      <c r="E260">
        <v>1392</v>
      </c>
      <c r="F260" s="32">
        <v>0.98779804699999996</v>
      </c>
      <c r="G260" s="32">
        <v>2.0975599999999999E-4</v>
      </c>
      <c r="H260" s="7">
        <f t="shared" si="273"/>
        <v>1375.0148814239999</v>
      </c>
      <c r="I260">
        <f t="shared" si="280"/>
        <v>406.43664998399998</v>
      </c>
      <c r="J260">
        <f t="shared" si="274"/>
        <v>20.160274055280102</v>
      </c>
      <c r="K260" s="6">
        <f t="shared" si="275"/>
        <v>39.514137148349</v>
      </c>
      <c r="M260" s="2">
        <f>'rockfish harvests'!O259</f>
        <v>436.70903116513273</v>
      </c>
      <c r="N260">
        <f>'rockfish harvests'!P259</f>
        <v>44685.54786836687</v>
      </c>
      <c r="O260" s="32">
        <v>0.86861137799999999</v>
      </c>
      <c r="P260" s="32">
        <v>5.2692640000000001E-3</v>
      </c>
      <c r="Q260" s="13">
        <f t="shared" si="270"/>
        <v>379.33043334539087</v>
      </c>
      <c r="R260" s="2">
        <f t="shared" si="307"/>
        <v>34484.074589532654</v>
      </c>
      <c r="S260">
        <f t="shared" si="276"/>
        <v>185.69888149779646</v>
      </c>
      <c r="T260" s="6">
        <f t="shared" si="277"/>
        <v>363.96980773568106</v>
      </c>
      <c r="V260" s="13">
        <f t="shared" si="271"/>
        <v>1754.3453147693908</v>
      </c>
      <c r="W260">
        <f t="shared" si="272"/>
        <v>34890.511239516658</v>
      </c>
      <c r="X260">
        <f t="shared" si="278"/>
        <v>186.79001911107738</v>
      </c>
      <c r="Y260" s="6">
        <f t="shared" si="279"/>
        <v>366.10843745771166</v>
      </c>
      <c r="Z260" s="14">
        <f t="shared" si="234"/>
        <v>0.10647277792948703</v>
      </c>
    </row>
    <row r="261" spans="1:26" x14ac:dyDescent="0.25">
      <c r="A261" t="str">
        <f>'rockfish harvests'!A260</f>
        <v>SE</v>
      </c>
      <c r="B261">
        <f>'rockfish harvests'!B260</f>
        <v>2006</v>
      </c>
      <c r="C261" t="str">
        <f>'rockfish harvests'!C260</f>
        <v>EWYKT</v>
      </c>
      <c r="D261">
        <f>'rockfish harvests'!D260</f>
        <v>2529</v>
      </c>
      <c r="E261">
        <v>2089</v>
      </c>
      <c r="F261">
        <f>IF([2]species_comp_Region1_forR!$G318&gt;49,[2]species_comp_Region1_forR!$AD318,[2]species_comp_Region1_forR!$AF318)</f>
        <v>0.99932341000000002</v>
      </c>
      <c r="G261">
        <f>IF([2]species_comp_Region1_forR!$G318&gt;49,[2]species_comp_Region1_forR!$AE318,[2]species_comp_Region1_forR!$AG318)</f>
        <v>4.5777400000000001E-7</v>
      </c>
      <c r="H261" s="7">
        <f t="shared" si="273"/>
        <v>2087.58660349</v>
      </c>
      <c r="I261">
        <f t="shared" si="280"/>
        <v>1.997689571854</v>
      </c>
      <c r="J261">
        <f t="shared" si="274"/>
        <v>1.4133964666200352</v>
      </c>
      <c r="K261" s="6">
        <f t="shared" si="275"/>
        <v>2.770257074575269</v>
      </c>
      <c r="M261" s="2">
        <f>'rockfish harvests'!O260</f>
        <v>658.97204046337765</v>
      </c>
      <c r="N261">
        <f>'rockfish harvests'!P260</f>
        <v>101745.85299552699</v>
      </c>
      <c r="O261">
        <f>IF([2]species_comp_Region1_forR!$D340&gt;49,[2]species_comp_Region1_forR!$N340,[2]species_comp_Region1_forR!$P340)</f>
        <v>0.91249999999999998</v>
      </c>
      <c r="P261">
        <f>IF([2]species_comp_Region1_forR!$D340&gt;49,[2]species_comp_Region1_forR!$O340,[2]species_comp_Region1_forR!$Q340)</f>
        <v>5.0216200000000001E-4</v>
      </c>
      <c r="Q261" s="13">
        <f t="shared" si="270"/>
        <v>601.31198692283215</v>
      </c>
      <c r="R261" s="2">
        <f t="shared" si="307"/>
        <v>84886.288418183613</v>
      </c>
      <c r="S261">
        <f t="shared" si="276"/>
        <v>291.3525157231075</v>
      </c>
      <c r="T261" s="6">
        <f t="shared" si="277"/>
        <v>571.05093081729069</v>
      </c>
      <c r="V261" s="13">
        <f t="shared" si="271"/>
        <v>2688.8985904128322</v>
      </c>
      <c r="W261">
        <f t="shared" si="272"/>
        <v>84888.28610775547</v>
      </c>
      <c r="X261">
        <f t="shared" si="278"/>
        <v>291.35594400621977</v>
      </c>
      <c r="Y261" s="6">
        <f t="shared" si="279"/>
        <v>571.0576502521908</v>
      </c>
      <c r="Z261" s="14">
        <f t="shared" si="234"/>
        <v>0.10835512542013988</v>
      </c>
    </row>
    <row r="262" spans="1:26" x14ac:dyDescent="0.25">
      <c r="A262" t="str">
        <f>'rockfish harvests'!A261</f>
        <v>SE</v>
      </c>
      <c r="B262">
        <f>'rockfish harvests'!B261</f>
        <v>2007</v>
      </c>
      <c r="C262" t="str">
        <f>'rockfish harvests'!C261</f>
        <v>EWYKT</v>
      </c>
      <c r="D262">
        <f>'rockfish harvests'!D261</f>
        <v>2290</v>
      </c>
      <c r="E262">
        <v>1956</v>
      </c>
      <c r="F262">
        <f>IF([2]species_comp_Region1_forR!$G319&gt;49,[2]species_comp_Region1_forR!$AD319,[2]species_comp_Region1_forR!$AF319)</f>
        <v>1</v>
      </c>
      <c r="G262">
        <f>IF([2]species_comp_Region1_forR!$G319&gt;49,[2]species_comp_Region1_forR!$AE319,[2]species_comp_Region1_forR!$AG319)</f>
        <v>0</v>
      </c>
      <c r="H262" s="7">
        <f t="shared" si="273"/>
        <v>1956</v>
      </c>
      <c r="I262">
        <f t="shared" si="280"/>
        <v>0</v>
      </c>
      <c r="J262">
        <f t="shared" si="274"/>
        <v>0</v>
      </c>
      <c r="K262" s="6">
        <f t="shared" si="275"/>
        <v>0</v>
      </c>
      <c r="M262" s="2">
        <f>'rockfish harvests'!O261</f>
        <v>596.69670726023514</v>
      </c>
      <c r="N262">
        <f>'rockfish harvests'!P261</f>
        <v>83423.810519029968</v>
      </c>
      <c r="O262">
        <f>IF([2]species_comp_Region1_forR!$D341&gt;49,[2]species_comp_Region1_forR!$N341,[2]species_comp_Region1_forR!$P341)</f>
        <v>0.94904458599999997</v>
      </c>
      <c r="P262">
        <f>IF([2]species_comp_Region1_forR!$D341&gt;49,[2]species_comp_Region1_forR!$O341,[2]species_comp_Region1_forR!$Q341)</f>
        <v>3.09993E-4</v>
      </c>
      <c r="Q262" s="13">
        <f t="shared" si="270"/>
        <v>566.29177950935309</v>
      </c>
      <c r="R262" s="2">
        <f t="shared" si="307"/>
        <v>75223.138286768197</v>
      </c>
      <c r="S262">
        <f t="shared" si="276"/>
        <v>274.26836909634363</v>
      </c>
      <c r="T262" s="6">
        <f t="shared" si="277"/>
        <v>537.56600342883348</v>
      </c>
      <c r="V262" s="13">
        <f t="shared" si="271"/>
        <v>2522.2917795093531</v>
      </c>
      <c r="W262">
        <f t="shared" si="272"/>
        <v>75223.138286768197</v>
      </c>
      <c r="X262">
        <f t="shared" si="278"/>
        <v>274.26836909634363</v>
      </c>
      <c r="Y262" s="6">
        <f t="shared" si="279"/>
        <v>537.56600342883348</v>
      </c>
      <c r="Z262" s="14">
        <f t="shared" si="234"/>
        <v>0.1087377643318076</v>
      </c>
    </row>
    <row r="263" spans="1:26" x14ac:dyDescent="0.25">
      <c r="A263" t="str">
        <f>'rockfish harvests'!A262</f>
        <v>SE</v>
      </c>
      <c r="B263">
        <f>'rockfish harvests'!B262</f>
        <v>2008</v>
      </c>
      <c r="C263" t="str">
        <f>'rockfish harvests'!C262</f>
        <v>EWYKT</v>
      </c>
      <c r="D263">
        <f>'rockfish harvests'!D262</f>
        <v>2857</v>
      </c>
      <c r="E263">
        <v>2456</v>
      </c>
      <c r="F263">
        <f>IF([2]species_comp_Region1_forR!$G320&gt;49,[2]species_comp_Region1_forR!$AD320,[2]species_comp_Region1_forR!$AF320)</f>
        <v>0.99932111300000004</v>
      </c>
      <c r="G263">
        <f>IF([2]species_comp_Region1_forR!$G320&gt;49,[2]species_comp_Region1_forR!$AE320,[2]species_comp_Region1_forR!$AG320)</f>
        <v>4.6088700000000002E-7</v>
      </c>
      <c r="H263" s="7">
        <f t="shared" si="273"/>
        <v>2454.3326535280003</v>
      </c>
      <c r="I263">
        <f t="shared" si="280"/>
        <v>2.7800408872319999</v>
      </c>
      <c r="J263">
        <f t="shared" si="274"/>
        <v>1.6673454612742975</v>
      </c>
      <c r="K263" s="6">
        <f t="shared" si="275"/>
        <v>3.2679971040976232</v>
      </c>
      <c r="M263" s="2">
        <f>'rockfish harvests'!O262</f>
        <v>744.43776971287843</v>
      </c>
      <c r="N263">
        <f>'rockfish harvests'!P262</f>
        <v>129849.277997606</v>
      </c>
      <c r="O263">
        <f>IF([2]species_comp_Region1_forR!$D342&gt;49,[2]species_comp_Region1_forR!$N342,[2]species_comp_Region1_forR!$P342)</f>
        <v>0.79104477600000001</v>
      </c>
      <c r="P263">
        <f>IF([2]species_comp_Region1_forR!$D342&gt;49,[2]species_comp_Region1_forR!$O342,[2]species_comp_Region1_forR!$Q342)</f>
        <v>2.5044379999999999E-3</v>
      </c>
      <c r="Q263" s="13">
        <f t="shared" si="270"/>
        <v>588.88360878846356</v>
      </c>
      <c r="R263" s="2">
        <f t="shared" si="307"/>
        <v>82316.15332371094</v>
      </c>
      <c r="S263">
        <f t="shared" si="276"/>
        <v>286.9079178477146</v>
      </c>
      <c r="T263" s="6">
        <f t="shared" si="277"/>
        <v>562.33951898152065</v>
      </c>
      <c r="V263" s="13">
        <f t="shared" si="271"/>
        <v>3043.2162623164641</v>
      </c>
      <c r="W263">
        <f t="shared" si="272"/>
        <v>82318.933364598168</v>
      </c>
      <c r="X263">
        <f t="shared" si="278"/>
        <v>286.91276263805025</v>
      </c>
      <c r="Y263" s="6">
        <f t="shared" si="279"/>
        <v>562.34901477057849</v>
      </c>
      <c r="Z263" s="14">
        <f t="shared" si="234"/>
        <v>9.4279452364537275E-2</v>
      </c>
    </row>
    <row r="264" spans="1:26" x14ac:dyDescent="0.25">
      <c r="A264" t="str">
        <f>'rockfish harvests'!A263</f>
        <v>SE</v>
      </c>
      <c r="B264">
        <f>'rockfish harvests'!B263</f>
        <v>2009</v>
      </c>
      <c r="C264" t="str">
        <f>'rockfish harvests'!C263</f>
        <v>EWYKT</v>
      </c>
      <c r="D264">
        <f>'rockfish harvests'!D263</f>
        <v>2494</v>
      </c>
      <c r="E264">
        <v>2193</v>
      </c>
      <c r="F264">
        <f>IF([2]species_comp_Region1_forR!$G321&gt;49,[2]species_comp_Region1_forR!$AD321,[2]species_comp_Region1_forR!$AF321)</f>
        <v>0.99759615400000001</v>
      </c>
      <c r="G264">
        <f>IF([2]species_comp_Region1_forR!$G321&gt;49,[2]species_comp_Region1_forR!$AE321,[2]species_comp_Region1_forR!$AG321)</f>
        <v>1.9230699999999999E-6</v>
      </c>
      <c r="H264" s="7">
        <f t="shared" si="273"/>
        <v>2187.728365722</v>
      </c>
      <c r="I264">
        <f t="shared" si="280"/>
        <v>9.2485224744299988</v>
      </c>
      <c r="J264">
        <f t="shared" si="274"/>
        <v>3.0411383517410053</v>
      </c>
      <c r="K264" s="6">
        <f t="shared" si="275"/>
        <v>5.9606311694123706</v>
      </c>
      <c r="M264" s="2">
        <f>'rockfish harvests'!O263</f>
        <v>649.85222179346101</v>
      </c>
      <c r="N264">
        <f>'rockfish harvests'!P263</f>
        <v>98949.124670686113</v>
      </c>
      <c r="O264">
        <f>IF([2]species_comp_Region1_forR!$D343&gt;49,[2]species_comp_Region1_forR!$N343,[2]species_comp_Region1_forR!$P343)</f>
        <v>0.94270833300000001</v>
      </c>
      <c r="P264">
        <f>IF([2]species_comp_Region1_forR!$D343&gt;49,[2]species_comp_Region1_forR!$O343,[2]species_comp_Region1_forR!$Q343)</f>
        <v>2.8277100000000002E-4</v>
      </c>
      <c r="Q264" s="13">
        <f t="shared" si="270"/>
        <v>612.6211047032599</v>
      </c>
      <c r="R264" s="2">
        <f t="shared" si="307"/>
        <v>88027.424742448362</v>
      </c>
      <c r="S264">
        <f t="shared" si="276"/>
        <v>296.6941602769565</v>
      </c>
      <c r="T264" s="6">
        <f t="shared" si="277"/>
        <v>581.52055414283473</v>
      </c>
      <c r="V264" s="13">
        <f t="shared" si="271"/>
        <v>2800.3494704252598</v>
      </c>
      <c r="W264">
        <f t="shared" si="272"/>
        <v>88036.673264922792</v>
      </c>
      <c r="X264">
        <f t="shared" si="278"/>
        <v>296.7097458205962</v>
      </c>
      <c r="Y264" s="6">
        <f t="shared" si="279"/>
        <v>581.55110180836857</v>
      </c>
      <c r="Z264" s="14">
        <f t="shared" si="234"/>
        <v>0.10595454208632682</v>
      </c>
    </row>
    <row r="265" spans="1:26" x14ac:dyDescent="0.25">
      <c r="A265" t="str">
        <f>'rockfish harvests'!A264</f>
        <v>SE</v>
      </c>
      <c r="B265">
        <f>'rockfish harvests'!B264</f>
        <v>2010</v>
      </c>
      <c r="C265" t="str">
        <f>'rockfish harvests'!C264</f>
        <v>EWYKT</v>
      </c>
      <c r="D265">
        <f>'rockfish harvests'!D264</f>
        <v>2435</v>
      </c>
      <c r="E265">
        <v>1932</v>
      </c>
      <c r="F265">
        <f>IF([2]species_comp_Region1_forR!$G322&gt;49,[2]species_comp_Region1_forR!$AD322,[2]species_comp_Region1_forR!$AF322)</f>
        <v>0.97794117599999997</v>
      </c>
      <c r="G265">
        <f>IF([2]species_comp_Region1_forR!$G322&gt;49,[2]species_comp_Region1_forR!$AE322,[2]species_comp_Region1_forR!$AG322)</f>
        <v>3.1770599999999997E-5</v>
      </c>
      <c r="H265" s="7">
        <f t="shared" si="273"/>
        <v>1889.382352032</v>
      </c>
      <c r="I265">
        <f t="shared" si="280"/>
        <v>118.58770405439999</v>
      </c>
      <c r="J265">
        <f t="shared" si="274"/>
        <v>10.889798164079993</v>
      </c>
      <c r="K265" s="6">
        <f t="shared" si="275"/>
        <v>21.344004401596784</v>
      </c>
      <c r="M265" s="2">
        <f>'rockfish harvests'!O264</f>
        <v>634.4788131784594</v>
      </c>
      <c r="N265">
        <f>'rockfish harvests'!P264</f>
        <v>94322.866254399312</v>
      </c>
      <c r="O265">
        <f>IF([2]species_comp_Region1_forR!$D344&gt;49,[2]species_comp_Region1_forR!$N344,[2]species_comp_Region1_forR!$P344)</f>
        <v>0.89552238799999995</v>
      </c>
      <c r="P265">
        <f>IF([2]species_comp_Region1_forR!$D344&gt;49,[2]species_comp_Region1_forR!$O344,[2]species_comp_Region1_forR!$Q344)</f>
        <v>4.6780999999999998E-4</v>
      </c>
      <c r="Q265" s="13">
        <f t="shared" si="270"/>
        <v>568.18998191297976</v>
      </c>
      <c r="R265" s="2">
        <f t="shared" si="307"/>
        <v>75787.396577436244</v>
      </c>
      <c r="S265">
        <f t="shared" si="276"/>
        <v>275.29510816110815</v>
      </c>
      <c r="T265" s="6">
        <f t="shared" si="277"/>
        <v>539.57841199577194</v>
      </c>
      <c r="V265" s="13">
        <f t="shared" si="271"/>
        <v>2457.5723339449796</v>
      </c>
      <c r="W265">
        <f t="shared" si="272"/>
        <v>75905.984281490644</v>
      </c>
      <c r="X265">
        <f t="shared" si="278"/>
        <v>275.51040684789137</v>
      </c>
      <c r="Y265" s="6">
        <f t="shared" si="279"/>
        <v>540.00039742186709</v>
      </c>
      <c r="Z265" s="14">
        <f t="shared" si="234"/>
        <v>0.11210673356077076</v>
      </c>
    </row>
    <row r="266" spans="1:26" x14ac:dyDescent="0.25">
      <c r="A266" t="str">
        <f>'rockfish harvests'!A265</f>
        <v>SE</v>
      </c>
      <c r="B266">
        <f>'rockfish harvests'!B265</f>
        <v>2011</v>
      </c>
      <c r="C266" t="str">
        <f>'rockfish harvests'!C265</f>
        <v>EWYKT</v>
      </c>
      <c r="D266">
        <f>'rockfish harvests'!D265</f>
        <v>2848</v>
      </c>
      <c r="E266">
        <v>2363</v>
      </c>
      <c r="F266">
        <f>IF([2]species_comp_Region1_forR!$G323&gt;49,[2]species_comp_Region1_forR!$AD323,[2]species_comp_Region1_forR!$AF323)</f>
        <v>0.98593750000000002</v>
      </c>
      <c r="G266">
        <f>IF([2]species_comp_Region1_forR!$G323&gt;49,[2]species_comp_Region1_forR!$AE323,[2]species_comp_Region1_forR!$AG323)</f>
        <v>1.08403E-5</v>
      </c>
      <c r="H266" s="7">
        <f t="shared" si="273"/>
        <v>2329.7703125000003</v>
      </c>
      <c r="I266">
        <f t="shared" si="280"/>
        <v>60.529731090700004</v>
      </c>
      <c r="J266">
        <f t="shared" si="274"/>
        <v>7.7800855452044999</v>
      </c>
      <c r="K266" s="6">
        <f t="shared" si="275"/>
        <v>15.24896766860082</v>
      </c>
      <c r="M266" s="2">
        <f>'rockfish harvests'!O265</f>
        <v>1436.4366812227072</v>
      </c>
      <c r="N266">
        <f>'rockfish harvests'!P265</f>
        <v>404683.38862902793</v>
      </c>
      <c r="O266">
        <f>IF([2]species_comp_Region1_forR!$D345&gt;49,[2]species_comp_Region1_forR!$N345,[2]species_comp_Region1_forR!$P345)</f>
        <v>0.82608695700000001</v>
      </c>
      <c r="P266">
        <f>IF([2]species_comp_Region1_forR!$D345&gt;49,[2]species_comp_Region1_forR!$O345,[2]species_comp_Region1_forR!$Q345)</f>
        <v>5.22427E-4</v>
      </c>
      <c r="Q266" s="13">
        <f t="shared" si="270"/>
        <v>1186.6216069144452</v>
      </c>
      <c r="R266" s="2">
        <f t="shared" si="307"/>
        <v>277030.43308750447</v>
      </c>
      <c r="S266">
        <f t="shared" si="276"/>
        <v>526.3368057503717</v>
      </c>
      <c r="T266" s="6">
        <f t="shared" si="277"/>
        <v>1031.6201392707285</v>
      </c>
      <c r="V266" s="13">
        <f t="shared" si="271"/>
        <v>3516.3919194144455</v>
      </c>
      <c r="W266">
        <f t="shared" si="272"/>
        <v>277090.96281859517</v>
      </c>
      <c r="X266">
        <f t="shared" si="278"/>
        <v>526.39430355826914</v>
      </c>
      <c r="Y266" s="6">
        <f t="shared" si="279"/>
        <v>1031.7328349742074</v>
      </c>
      <c r="Z266" s="14">
        <f t="shared" si="234"/>
        <v>0.14969727937661881</v>
      </c>
    </row>
    <row r="267" spans="1:26" x14ac:dyDescent="0.25">
      <c r="A267" t="str">
        <f>'rockfish harvests'!A266</f>
        <v>SE</v>
      </c>
      <c r="B267">
        <f>'rockfish harvests'!B266</f>
        <v>2012</v>
      </c>
      <c r="C267" t="str">
        <f>'rockfish harvests'!C266</f>
        <v>EWYKT</v>
      </c>
      <c r="D267">
        <f>'rockfish harvests'!D266</f>
        <v>3241</v>
      </c>
      <c r="E267">
        <v>2727</v>
      </c>
      <c r="F267">
        <f>IF([2]species_comp_Region1_forR!$G324&gt;49,[2]species_comp_Region1_forR!$AD324,[2]species_comp_Region1_forR!$AF324)</f>
        <v>0.97657295899999996</v>
      </c>
      <c r="G267">
        <f>IF([2]species_comp_Region1_forR!$G324&gt;49,[2]species_comp_Region1_forR!$AE324,[2]species_comp_Region1_forR!$AG324)</f>
        <v>1.53237E-5</v>
      </c>
      <c r="H267" s="7">
        <f t="shared" si="273"/>
        <v>2663.1144591929997</v>
      </c>
      <c r="I267">
        <f t="shared" si="280"/>
        <v>113.95513943730001</v>
      </c>
      <c r="J267">
        <f t="shared" si="274"/>
        <v>10.674977256992166</v>
      </c>
      <c r="K267" s="6">
        <f t="shared" si="275"/>
        <v>20.922955423704646</v>
      </c>
      <c r="M267" s="2">
        <f>'rockfish harvests'!O266</f>
        <v>535.14427701186287</v>
      </c>
      <c r="N267">
        <f>'rockfish harvests'!P266</f>
        <v>48300.340637739224</v>
      </c>
      <c r="O267">
        <f>IF([2]species_comp_Region1_forR!$D346&gt;49,[2]species_comp_Region1_forR!$N346,[2]species_comp_Region1_forR!$P346)</f>
        <v>0.79259259299999996</v>
      </c>
      <c r="P267">
        <f>IF([2]species_comp_Region1_forR!$D346&gt;49,[2]species_comp_Region1_forR!$O346,[2]species_comp_Region1_forR!$Q346)</f>
        <v>1.2267879999999999E-3</v>
      </c>
      <c r="Q267" s="13">
        <f t="shared" si="270"/>
        <v>424.15139014594268</v>
      </c>
      <c r="R267" s="2">
        <f t="shared" si="307"/>
        <v>30634.49231183044</v>
      </c>
      <c r="S267">
        <f t="shared" si="276"/>
        <v>175.02711878971908</v>
      </c>
      <c r="T267" s="6">
        <f t="shared" si="277"/>
        <v>343.05315282784937</v>
      </c>
      <c r="V267" s="13">
        <f t="shared" si="271"/>
        <v>3087.2658493389422</v>
      </c>
      <c r="W267">
        <f t="shared" si="272"/>
        <v>30748.447451267741</v>
      </c>
      <c r="X267">
        <f t="shared" si="278"/>
        <v>175.35235228324638</v>
      </c>
      <c r="Y267" s="6">
        <f t="shared" si="279"/>
        <v>343.69061047516288</v>
      </c>
      <c r="Z267" s="14">
        <f t="shared" si="234"/>
        <v>5.6798591647296434E-2</v>
      </c>
    </row>
    <row r="268" spans="1:26" x14ac:dyDescent="0.25">
      <c r="A268" t="str">
        <f>'rockfish harvests'!A267</f>
        <v>SE</v>
      </c>
      <c r="B268">
        <f>'rockfish harvests'!B267</f>
        <v>2013</v>
      </c>
      <c r="C268" t="str">
        <f>'rockfish harvests'!C267</f>
        <v>EWYKT</v>
      </c>
      <c r="D268">
        <f>'rockfish harvests'!D267</f>
        <v>3884</v>
      </c>
      <c r="E268">
        <v>3432</v>
      </c>
      <c r="F268">
        <f>IF([2]species_comp_Region1_forR!$G325&gt;49,[2]species_comp_Region1_forR!$AD325,[2]species_comp_Region1_forR!$AF325)</f>
        <v>0.99558255100000004</v>
      </c>
      <c r="G268">
        <f>IF([2]species_comp_Region1_forR!$G325&gt;49,[2]species_comp_Region1_forR!$AE325,[2]species_comp_Region1_forR!$AG325)</f>
        <v>2.4298E-6</v>
      </c>
      <c r="H268" s="7">
        <f t="shared" si="273"/>
        <v>3416.8393150320003</v>
      </c>
      <c r="I268">
        <f t="shared" si="280"/>
        <v>28.619700595200001</v>
      </c>
      <c r="J268">
        <f t="shared" si="274"/>
        <v>5.3497383669858101</v>
      </c>
      <c r="K268" s="6">
        <f t="shared" si="275"/>
        <v>10.485487199292187</v>
      </c>
      <c r="M268" s="2">
        <f>'rockfish harvests'!O267</f>
        <v>591.36648814078035</v>
      </c>
      <c r="N268">
        <f>'rockfish harvests'!P267</f>
        <v>87012.297802534755</v>
      </c>
      <c r="O268" s="32">
        <v>0.86861137799999999</v>
      </c>
      <c r="P268" s="32">
        <v>5.2692640000000001E-3</v>
      </c>
      <c r="Q268" s="13">
        <f t="shared" si="270"/>
        <v>513.66766016698386</v>
      </c>
      <c r="R268" s="2">
        <f t="shared" si="307"/>
        <v>67033.783003355231</v>
      </c>
      <c r="S268">
        <f t="shared" si="276"/>
        <v>258.90883145106352</v>
      </c>
      <c r="T268" s="6">
        <f t="shared" si="277"/>
        <v>507.46130964408451</v>
      </c>
      <c r="V268" s="13">
        <f t="shared" si="271"/>
        <v>3930.506975198984</v>
      </c>
      <c r="W268">
        <f t="shared" si="272"/>
        <v>67062.402703950429</v>
      </c>
      <c r="X268">
        <f t="shared" si="278"/>
        <v>258.9640953953857</v>
      </c>
      <c r="Y268" s="6">
        <f t="shared" si="279"/>
        <v>507.56962697495595</v>
      </c>
      <c r="Z268" s="14">
        <f t="shared" si="234"/>
        <v>6.5885672517417559E-2</v>
      </c>
    </row>
    <row r="269" spans="1:26" x14ac:dyDescent="0.25">
      <c r="A269" t="str">
        <f>'rockfish harvests'!A268</f>
        <v>SE</v>
      </c>
      <c r="B269">
        <f>'rockfish harvests'!B268</f>
        <v>2014</v>
      </c>
      <c r="C269" t="str">
        <f>'rockfish harvests'!C268</f>
        <v>EWYKT</v>
      </c>
      <c r="D269">
        <f>'rockfish harvests'!D268</f>
        <v>4695</v>
      </c>
      <c r="E269">
        <v>4020</v>
      </c>
      <c r="F269">
        <f>IF([2]species_comp_Region1_forR!$G326&gt;49,[2]species_comp_Region1_forR!$AD326,[2]species_comp_Region1_forR!$AF326)</f>
        <v>0.998878924</v>
      </c>
      <c r="G269">
        <f>IF([2]species_comp_Region1_forR!$G326&gt;49,[2]species_comp_Region1_forR!$AE326,[2]species_comp_Region1_forR!$AG326)</f>
        <v>6.2805399999999997E-7</v>
      </c>
      <c r="H269" s="7">
        <f t="shared" si="273"/>
        <v>4015.4932744799999</v>
      </c>
      <c r="I269">
        <f t="shared" si="280"/>
        <v>10.149603861599999</v>
      </c>
      <c r="J269">
        <f t="shared" si="274"/>
        <v>3.1858442933702831</v>
      </c>
      <c r="K269" s="6">
        <f t="shared" si="275"/>
        <v>6.2442548150057551</v>
      </c>
      <c r="M269" s="2">
        <f>'rockfish harvests'!O268</f>
        <v>1023.1397849462364</v>
      </c>
      <c r="N269">
        <f>'rockfish harvests'!P268</f>
        <v>234030.60206548884</v>
      </c>
      <c r="O269" s="32">
        <v>0.86861137799999999</v>
      </c>
      <c r="P269" s="32">
        <v>5.2692640000000001E-3</v>
      </c>
      <c r="Q269" s="13">
        <f t="shared" si="270"/>
        <v>888.71085848877408</v>
      </c>
      <c r="R269" s="2">
        <f t="shared" si="307"/>
        <v>180855.52437426348</v>
      </c>
      <c r="S269">
        <f t="shared" si="276"/>
        <v>425.27111866933012</v>
      </c>
      <c r="T269" s="6">
        <f t="shared" si="277"/>
        <v>833.53139259188697</v>
      </c>
      <c r="V269" s="13">
        <f t="shared" si="271"/>
        <v>4904.2041329687736</v>
      </c>
      <c r="W269">
        <f t="shared" si="272"/>
        <v>180865.67397812507</v>
      </c>
      <c r="X269">
        <f t="shared" si="278"/>
        <v>425.28305159990219</v>
      </c>
      <c r="Y269" s="6">
        <f t="shared" si="279"/>
        <v>833.5547811358083</v>
      </c>
      <c r="Z269" s="14">
        <f t="shared" si="234"/>
        <v>8.6718056603907287E-2</v>
      </c>
    </row>
    <row r="270" spans="1:26" x14ac:dyDescent="0.25">
      <c r="A270" t="str">
        <f>'rockfish harvests'!A269</f>
        <v>SE</v>
      </c>
      <c r="B270">
        <f>'rockfish harvests'!B269</f>
        <v>2015</v>
      </c>
      <c r="C270" t="str">
        <f>'rockfish harvests'!C269</f>
        <v>EWYKT</v>
      </c>
      <c r="D270">
        <f>'rockfish harvests'!D269</f>
        <v>5729</v>
      </c>
      <c r="E270">
        <v>4715</v>
      </c>
      <c r="F270">
        <f>IF([2]species_comp_Region1_forR!$G327&gt;49,[2]species_comp_Region1_forR!$AD327,[2]species_comp_Region1_forR!$AF327)</f>
        <v>0.99692780299999995</v>
      </c>
      <c r="G270">
        <f>IF([2]species_comp_Region1_forR!$G327&gt;49,[2]species_comp_Region1_forR!$AE327,[2]species_comp_Region1_forR!$AG327)</f>
        <v>1.56904E-6</v>
      </c>
      <c r="H270" s="7">
        <f t="shared" si="273"/>
        <v>4700.5145911449999</v>
      </c>
      <c r="I270">
        <f t="shared" si="280"/>
        <v>34.881681274000002</v>
      </c>
      <c r="J270">
        <f t="shared" si="274"/>
        <v>5.9060715601827924</v>
      </c>
      <c r="K270" s="6">
        <f t="shared" si="275"/>
        <v>11.575900257958272</v>
      </c>
      <c r="M270" s="2">
        <f>'rockfish harvests'!O269</f>
        <v>2397.5678935972783</v>
      </c>
      <c r="N270">
        <f>'rockfish harvests'!P269</f>
        <v>1115072.9274274483</v>
      </c>
      <c r="O270">
        <f>IF([2]species_comp_Region1_forR!$D349&gt;49,[2]species_comp_Region1_forR!$N349,[2]species_comp_Region1_forR!$P349)</f>
        <v>0.98181818200000004</v>
      </c>
      <c r="P270">
        <f>IF([2]species_comp_Region1_forR!$D349&gt;49,[2]species_comp_Region1_forR!$O349,[2]species_comp_Region1_forR!$Q349)</f>
        <v>3.3057900000000001E-4</v>
      </c>
      <c r="Q270" s="13">
        <f t="shared" si="270"/>
        <v>2353.9757505132493</v>
      </c>
      <c r="R270" s="2">
        <f t="shared" si="307"/>
        <v>1076425.0986095064</v>
      </c>
      <c r="S270">
        <f t="shared" si="276"/>
        <v>1037.5090836274671</v>
      </c>
      <c r="T270" s="6">
        <f t="shared" si="277"/>
        <v>2033.5178039098355</v>
      </c>
      <c r="V270" s="13">
        <f t="shared" si="271"/>
        <v>7054.4903416582492</v>
      </c>
      <c r="W270">
        <f t="shared" si="272"/>
        <v>1076459.9802907803</v>
      </c>
      <c r="X270">
        <f t="shared" si="278"/>
        <v>1037.5258937929118</v>
      </c>
      <c r="Y270" s="6">
        <f t="shared" si="279"/>
        <v>2033.5507518341071</v>
      </c>
      <c r="Z270" s="14">
        <f t="shared" si="234"/>
        <v>0.14707311847407362</v>
      </c>
    </row>
    <row r="271" spans="1:26" x14ac:dyDescent="0.25">
      <c r="A271" t="str">
        <f>'rockfish harvests'!A270</f>
        <v>SE</v>
      </c>
      <c r="B271">
        <f>'rockfish harvests'!B270</f>
        <v>2016</v>
      </c>
      <c r="C271" t="str">
        <f>'rockfish harvests'!C270</f>
        <v>EWYKT</v>
      </c>
      <c r="D271">
        <f>'rockfish harvests'!D270</f>
        <v>7499</v>
      </c>
      <c r="E271">
        <v>6237</v>
      </c>
      <c r="F271">
        <f>IF([2]species_comp_Region1_forR!$G328&gt;49,[2]species_comp_Region1_forR!$AD328,[2]species_comp_Region1_forR!$AF328)</f>
        <v>0.99944903600000001</v>
      </c>
      <c r="G271">
        <f>IF([2]species_comp_Region1_forR!$G328&gt;49,[2]species_comp_Region1_forR!$AE328,[2]species_comp_Region1_forR!$AG328)</f>
        <v>3.03562E-7</v>
      </c>
      <c r="H271" s="7">
        <f t="shared" si="273"/>
        <v>6233.563637532</v>
      </c>
      <c r="I271">
        <f t="shared" si="280"/>
        <v>11.808613101978001</v>
      </c>
      <c r="J271">
        <f t="shared" si="274"/>
        <v>3.4363662642358133</v>
      </c>
      <c r="K271" s="6">
        <f t="shared" si="275"/>
        <v>6.7352778779021936</v>
      </c>
      <c r="M271" s="2">
        <f>'rockfish harvests'!O270</f>
        <v>2107.8674308497375</v>
      </c>
      <c r="N271">
        <f>'rockfish harvests'!P270</f>
        <v>521828.91183042602</v>
      </c>
      <c r="O271">
        <f>IF([2]species_comp_Region1_forR!$D350&gt;49,[2]species_comp_Region1_forR!$N350,[2]species_comp_Region1_forR!$P350)</f>
        <v>0.85</v>
      </c>
      <c r="P271">
        <f>IF([2]species_comp_Region1_forR!$D350&gt;49,[2]species_comp_Region1_forR!$O350,[2]species_comp_Region1_forR!$Q350)</f>
        <v>1.6139240000000001E-3</v>
      </c>
      <c r="Q271" s="13">
        <f t="shared" si="270"/>
        <v>1791.6873162222769</v>
      </c>
      <c r="R271" s="2">
        <f t="shared" si="307"/>
        <v>383350.03055794153</v>
      </c>
      <c r="S271">
        <f t="shared" si="276"/>
        <v>619.15267144537256</v>
      </c>
      <c r="T271" s="6">
        <f t="shared" si="277"/>
        <v>1213.5392360329301</v>
      </c>
      <c r="V271" s="13">
        <f t="shared" si="271"/>
        <v>8025.2509537542774</v>
      </c>
      <c r="W271">
        <f t="shared" si="272"/>
        <v>383361.83917104348</v>
      </c>
      <c r="X271">
        <f t="shared" si="278"/>
        <v>619.16220747962609</v>
      </c>
      <c r="Y271" s="6">
        <f t="shared" si="279"/>
        <v>1213.5579266600671</v>
      </c>
      <c r="Z271" s="14">
        <f t="shared" si="234"/>
        <v>7.7151756505505542E-2</v>
      </c>
    </row>
    <row r="272" spans="1:26" x14ac:dyDescent="0.25">
      <c r="A272" t="str">
        <f>'rockfish harvests'!A271</f>
        <v>SE</v>
      </c>
      <c r="B272">
        <f>'rockfish harvests'!B271</f>
        <v>2017</v>
      </c>
      <c r="C272" t="str">
        <f>'rockfish harvests'!C271</f>
        <v>EWYKT</v>
      </c>
      <c r="D272">
        <f>'rockfish harvests'!D271</f>
        <v>6324</v>
      </c>
      <c r="E272">
        <v>5527</v>
      </c>
      <c r="F272">
        <f>IF([2]species_comp_Region1_forR!$G329&gt;49,[2]species_comp_Region1_forR!$AD329,[2]species_comp_Region1_forR!$AF329)</f>
        <v>0.96864111500000005</v>
      </c>
      <c r="G272">
        <f>IF([2]species_comp_Region1_forR!$G329&gt;49,[2]species_comp_Region1_forR!$AE329,[2]species_comp_Region1_forR!$AG329)</f>
        <v>1.51272E-5</v>
      </c>
      <c r="H272" s="7">
        <f t="shared" si="273"/>
        <v>5353.6794426050001</v>
      </c>
      <c r="I272">
        <f t="shared" si="280"/>
        <v>462.10160612879997</v>
      </c>
      <c r="J272">
        <f t="shared" si="274"/>
        <v>21.496548702729005</v>
      </c>
      <c r="K272" s="6">
        <f t="shared" si="275"/>
        <v>42.133235457348846</v>
      </c>
      <c r="M272" s="2">
        <f>'rockfish harvests'!O271</f>
        <v>1256.0488400488402</v>
      </c>
      <c r="N272">
        <f>'rockfish harvests'!P271</f>
        <v>191271.46761998921</v>
      </c>
      <c r="O272">
        <f>IF([2]species_comp_Region1_forR!$D351&gt;49,[2]species_comp_Region1_forR!$N351,[2]species_comp_Region1_forR!$P351)</f>
        <v>0.90537084400000001</v>
      </c>
      <c r="P272">
        <f>IF([2]species_comp_Region1_forR!$D351&gt;49,[2]species_comp_Region1_forR!$O351,[2]species_comp_Region1_forR!$Q351)</f>
        <v>2.1967800000000001E-4</v>
      </c>
      <c r="Q272" s="13">
        <f t="shared" si="270"/>
        <v>1137.1899984202396</v>
      </c>
      <c r="R272" s="2">
        <f t="shared" si="307"/>
        <v>157089.08553986004</v>
      </c>
      <c r="S272">
        <f t="shared" si="276"/>
        <v>396.34465499090567</v>
      </c>
      <c r="T272" s="6">
        <f t="shared" si="277"/>
        <v>776.83552378217507</v>
      </c>
      <c r="V272" s="13">
        <f t="shared" si="271"/>
        <v>6490.8694410252392</v>
      </c>
      <c r="W272">
        <f t="shared" si="272"/>
        <v>157551.18714598884</v>
      </c>
      <c r="X272">
        <f t="shared" si="278"/>
        <v>396.92718116297959</v>
      </c>
      <c r="Y272" s="6">
        <f t="shared" si="279"/>
        <v>777.97727507944001</v>
      </c>
      <c r="Z272" s="14">
        <f t="shared" si="234"/>
        <v>6.1151619943889145E-2</v>
      </c>
    </row>
    <row r="273" spans="1:26" x14ac:dyDescent="0.25">
      <c r="A273" t="str">
        <f>'rockfish harvests'!A272</f>
        <v>SE</v>
      </c>
      <c r="B273">
        <f>'rockfish harvests'!B272</f>
        <v>2018</v>
      </c>
      <c r="C273" t="str">
        <f>'rockfish harvests'!C272</f>
        <v>EWYKT</v>
      </c>
      <c r="D273">
        <f>'rockfish harvests'!D272</f>
        <v>8659</v>
      </c>
      <c r="E273">
        <v>7682</v>
      </c>
      <c r="F273">
        <f>IF([2]species_comp_Region1_forR!$G330&gt;49,[2]species_comp_Region1_forR!$AD330,[2]species_comp_Region1_forR!$AF330)</f>
        <v>0.978901099</v>
      </c>
      <c r="G273">
        <f>IF([2]species_comp_Region1_forR!$G330&gt;49,[2]species_comp_Region1_forR!$AE330,[2]species_comp_Region1_forR!$AG330)</f>
        <v>9.0825600000000007E-6</v>
      </c>
      <c r="H273" s="7">
        <f t="shared" si="273"/>
        <v>7519.9182425179997</v>
      </c>
      <c r="I273">
        <f t="shared" si="280"/>
        <v>535.99023951744005</v>
      </c>
      <c r="J273">
        <f t="shared" si="274"/>
        <v>23.15146301030326</v>
      </c>
      <c r="K273" s="6">
        <f t="shared" si="275"/>
        <v>45.376867500194386</v>
      </c>
      <c r="M273" s="2">
        <f>'rockfish harvests'!O272</f>
        <v>1971.3795063043872</v>
      </c>
      <c r="N273">
        <f>'rockfish harvests'!P272</f>
        <v>502872.73387700756</v>
      </c>
      <c r="O273">
        <f>IF([2]species_comp_Region1_forR!$D352&gt;49,[2]species_comp_Region1_forR!$N352,[2]species_comp_Region1_forR!$P352)</f>
        <v>0.76131687199999998</v>
      </c>
      <c r="P273">
        <f>IF([2]species_comp_Region1_forR!$D352&gt;49,[2]species_comp_Region1_forR!$O352,[2]species_comp_Region1_forR!$Q352)</f>
        <v>7.5088200000000003E-4</v>
      </c>
      <c r="Q273" s="13">
        <f t="shared" si="270"/>
        <v>1500.8444792645603</v>
      </c>
      <c r="R273" s="2">
        <f t="shared" si="307"/>
        <v>294007.31859333575</v>
      </c>
      <c r="S273">
        <f t="shared" si="276"/>
        <v>542.22441718658865</v>
      </c>
      <c r="T273" s="6">
        <f t="shared" si="277"/>
        <v>1062.7598576857138</v>
      </c>
      <c r="V273" s="13">
        <f t="shared" si="271"/>
        <v>9020.7627217825593</v>
      </c>
      <c r="W273">
        <f t="shared" si="272"/>
        <v>294543.30883285316</v>
      </c>
      <c r="X273">
        <f t="shared" si="278"/>
        <v>542.7184434242613</v>
      </c>
      <c r="Y273" s="6">
        <f t="shared" si="279"/>
        <v>1063.7281491115521</v>
      </c>
      <c r="Z273" s="14">
        <f t="shared" si="234"/>
        <v>6.0163254501058056E-2</v>
      </c>
    </row>
    <row r="274" spans="1:26" x14ac:dyDescent="0.25">
      <c r="A274" t="str">
        <f>'rockfish harvests'!A273</f>
        <v>SE</v>
      </c>
      <c r="B274">
        <f>'rockfish harvests'!B273</f>
        <v>2019</v>
      </c>
      <c r="C274" t="str">
        <f>'rockfish harvests'!C273</f>
        <v>EWYKT</v>
      </c>
      <c r="D274">
        <f>'rockfish harvests'!D273</f>
        <v>7908</v>
      </c>
      <c r="E274">
        <v>7169</v>
      </c>
      <c r="F274">
        <v>0.96074154852780802</v>
      </c>
      <c r="G274">
        <v>1.3715354712799101E-5</v>
      </c>
      <c r="H274" s="7">
        <f>E274*F274</f>
        <v>6887.5561613958553</v>
      </c>
      <c r="I274">
        <f>(E274^2)*G274</f>
        <v>704.8946344235909</v>
      </c>
      <c r="J274">
        <f>SQRT(I274)</f>
        <v>26.549851871970791</v>
      </c>
      <c r="K274" s="6">
        <f>(1.96*J274)</f>
        <v>52.03770966906275</v>
      </c>
      <c r="M274" s="2">
        <f>'rockfish harvests'!O273</f>
        <v>3002.4944735311237</v>
      </c>
      <c r="N274">
        <f>'rockfish harvests'!P273</f>
        <v>1226769.4446075337</v>
      </c>
      <c r="O274">
        <v>0.85871964679911694</v>
      </c>
      <c r="P274">
        <v>2.6840755531043535E-4</v>
      </c>
      <c r="Q274" s="13">
        <f>M274*O274</f>
        <v>2578.300993826947</v>
      </c>
      <c r="R274" s="2">
        <f>(M274^2)*P274+(O274^2)*N274-(P274*N274)</f>
        <v>906709.50409535458</v>
      </c>
      <c r="S274">
        <f>SQRT(R274)</f>
        <v>952.21295102269778</v>
      </c>
      <c r="T274" s="6">
        <f>(1.96*S274)</f>
        <v>1866.3373840044876</v>
      </c>
      <c r="V274" s="13">
        <f>Q274+H274</f>
        <v>9465.8571552228022</v>
      </c>
      <c r="W274">
        <f>R274+I274</f>
        <v>907414.39872977813</v>
      </c>
      <c r="X274">
        <f>SQRT(W274)</f>
        <v>952.58301408841953</v>
      </c>
      <c r="Y274" s="6">
        <f>(1.96*X274)</f>
        <v>1867.0627076133023</v>
      </c>
      <c r="Z274" s="14">
        <f>X274/V274</f>
        <v>0.10063357163200273</v>
      </c>
    </row>
    <row r="275" spans="1:26" x14ac:dyDescent="0.25">
      <c r="A275" t="str">
        <f>'rockfish harvests'!A274</f>
        <v>SE</v>
      </c>
      <c r="B275">
        <f>'rockfish harvests'!B274</f>
        <v>2020</v>
      </c>
      <c r="C275" t="str">
        <f>'rockfish harvests'!C274</f>
        <v>EWYKT</v>
      </c>
      <c r="D275">
        <f>'rockfish harvests'!D274</f>
        <v>4059</v>
      </c>
      <c r="E275">
        <v>3983</v>
      </c>
      <c r="F275" t="s">
        <v>285</v>
      </c>
      <c r="G275" t="s">
        <v>286</v>
      </c>
      <c r="H275" s="7">
        <f t="shared" ref="H275:H276" si="308">E275*F275</f>
        <v>3913.6902552204169</v>
      </c>
      <c r="I275">
        <f t="shared" ref="I275:I276" si="309">(E275^2)*G275</f>
        <v>315.04863267789301</v>
      </c>
      <c r="J275">
        <f t="shared" ref="J275:J276" si="310">SQRT(I275)</f>
        <v>17.749609366909826</v>
      </c>
      <c r="K275" s="6">
        <f t="shared" ref="K275:K276" si="311">(1.96*J275)</f>
        <v>34.789234359143258</v>
      </c>
      <c r="M275" s="2">
        <f>'rockfish harvests'!O274</f>
        <v>914.63838771593146</v>
      </c>
      <c r="N275">
        <f>'rockfish harvests'!P274</f>
        <v>109543.02664472036</v>
      </c>
      <c r="O275">
        <v>0.9887640449438202</v>
      </c>
      <c r="P275">
        <v>1.2624668602449217E-4</v>
      </c>
      <c r="Q275" s="13">
        <f t="shared" ref="Q275:Q276" si="312">M275*O275</f>
        <v>904.36155189889848</v>
      </c>
      <c r="R275" s="2">
        <f t="shared" ref="R275:R276" si="313">(M275^2)*P275+(O275^2)*N275-(P275*N275)</f>
        <v>107186.99895093463</v>
      </c>
      <c r="S275">
        <f t="shared" ref="S275:S276" si="314">SQRT(R275)</f>
        <v>327.39425613613724</v>
      </c>
      <c r="T275" s="6">
        <f t="shared" ref="T275:T276" si="315">(1.96*S275)</f>
        <v>641.69274202682902</v>
      </c>
      <c r="V275" s="13">
        <f t="shared" ref="V275:V276" si="316">Q275+H275</f>
        <v>4818.0518071193155</v>
      </c>
      <c r="W275">
        <f t="shared" ref="W275:W276" si="317">R275+I275</f>
        <v>107502.04758361253</v>
      </c>
      <c r="X275">
        <f t="shared" ref="X275:X276" si="318">SQRT(W275)</f>
        <v>327.87504873596669</v>
      </c>
      <c r="Y275" s="6">
        <f t="shared" ref="Y275:Y276" si="319">(1.96*X275)</f>
        <v>642.63509552249468</v>
      </c>
      <c r="Z275" s="14">
        <f t="shared" ref="Z275:Z276" si="320">X275/V275</f>
        <v>6.8051374676272161E-2</v>
      </c>
    </row>
    <row r="276" spans="1:26" x14ac:dyDescent="0.25">
      <c r="A276" t="str">
        <f>'rockfish harvests'!A275</f>
        <v>SE</v>
      </c>
      <c r="B276">
        <f>'rockfish harvests'!B275</f>
        <v>2021</v>
      </c>
      <c r="C276" t="str">
        <f>'rockfish harvests'!C275</f>
        <v>EWYKT</v>
      </c>
      <c r="D276">
        <f>'rockfish harvests'!D275</f>
        <v>7343</v>
      </c>
      <c r="E276">
        <v>7225</v>
      </c>
      <c r="F276" t="s">
        <v>287</v>
      </c>
      <c r="G276" t="s">
        <v>288</v>
      </c>
      <c r="H276" s="7">
        <f t="shared" si="308"/>
        <v>7153.7144515380114</v>
      </c>
      <c r="I276">
        <f t="shared" si="309"/>
        <v>296.14196179925392</v>
      </c>
      <c r="J276">
        <f t="shared" si="310"/>
        <v>17.20877572052277</v>
      </c>
      <c r="K276" s="6">
        <f t="shared" si="311"/>
        <v>33.729200412224628</v>
      </c>
      <c r="M276" s="2">
        <f>'rockfish harvests'!O275</f>
        <v>1513.750779741571</v>
      </c>
      <c r="N276">
        <f>'rockfish harvests'!P275</f>
        <v>303380.23971291271</v>
      </c>
      <c r="O276">
        <v>0.99661016949152548</v>
      </c>
      <c r="P276">
        <v>1.1490950876184825E-5</v>
      </c>
      <c r="Q276" s="13">
        <f t="shared" si="312"/>
        <v>1508.6194211661759</v>
      </c>
      <c r="R276" s="2">
        <f t="shared" si="313"/>
        <v>301349.75536924769</v>
      </c>
      <c r="S276">
        <f t="shared" si="314"/>
        <v>548.9533271319591</v>
      </c>
      <c r="T276" s="6">
        <f t="shared" si="315"/>
        <v>1075.9485211786398</v>
      </c>
      <c r="V276" s="13">
        <f t="shared" si="316"/>
        <v>8662.3338727041883</v>
      </c>
      <c r="W276">
        <f t="shared" si="317"/>
        <v>301645.89733104693</v>
      </c>
      <c r="X276">
        <f t="shared" si="318"/>
        <v>549.22299417545048</v>
      </c>
      <c r="Y276" s="6">
        <f t="shared" si="319"/>
        <v>1076.477068583883</v>
      </c>
      <c r="Z276" s="14">
        <f t="shared" si="320"/>
        <v>6.3403581788287186E-2</v>
      </c>
    </row>
    <row r="277" spans="1:26" s="51" customFormat="1" x14ac:dyDescent="0.25">
      <c r="A277" s="51" t="s">
        <v>151</v>
      </c>
      <c r="B277" s="51">
        <v>2022</v>
      </c>
      <c r="C277" s="51" t="s">
        <v>83</v>
      </c>
      <c r="D277">
        <f>'rockfish harvests'!D276</f>
        <v>6780</v>
      </c>
      <c r="E277" s="51">
        <v>6589</v>
      </c>
      <c r="F277" t="s">
        <v>179</v>
      </c>
      <c r="G277" t="s">
        <v>289</v>
      </c>
      <c r="H277" s="7">
        <f t="shared" ref="H277" si="321">E277*F277</f>
        <v>6536.8290322580633</v>
      </c>
      <c r="I277">
        <f t="shared" ref="I277" si="322">(E277^2)*G277</f>
        <v>99.892412588307991</v>
      </c>
      <c r="J277">
        <f t="shared" ref="J277" si="323">SQRT(I277)</f>
        <v>9.9946191817551497</v>
      </c>
      <c r="K277" s="6">
        <f t="shared" ref="K277" si="324">(1.96*J277)</f>
        <v>19.589453596240094</v>
      </c>
      <c r="L277"/>
      <c r="M277" s="2">
        <f>'rockfish harvests'!O276</f>
        <v>2639.4706368899915</v>
      </c>
      <c r="N277">
        <f>'rockfish harvests'!P276</f>
        <v>966290.79621620791</v>
      </c>
      <c r="O277" t="s">
        <v>180</v>
      </c>
      <c r="P277" t="s">
        <v>181</v>
      </c>
      <c r="Q277" s="13">
        <f t="shared" ref="Q277" si="325">M277*O277</f>
        <v>2592.5467144563909</v>
      </c>
      <c r="R277" s="2">
        <f t="shared" ref="R277" si="326">(M277^2)*P277+(O277^2)*N277-(P277*N277)</f>
        <v>932472.5473272762</v>
      </c>
      <c r="S277">
        <f t="shared" ref="S277" si="327">SQRT(R277)</f>
        <v>965.64618123165394</v>
      </c>
      <c r="T277" s="6">
        <f t="shared" ref="T277" si="328">(1.96*S277)</f>
        <v>1892.6665152140417</v>
      </c>
      <c r="U277"/>
      <c r="V277" s="13">
        <f t="shared" ref="V277" si="329">Q277+H277</f>
        <v>9129.3757467144533</v>
      </c>
      <c r="W277">
        <f t="shared" ref="W277" si="330">R277+I277</f>
        <v>932572.43973986455</v>
      </c>
      <c r="X277">
        <f t="shared" ref="X277" si="331">SQRT(W277)</f>
        <v>965.69790293852486</v>
      </c>
      <c r="Y277" s="6">
        <f t="shared" ref="Y277" si="332">(1.96*X277)</f>
        <v>1892.7678897595088</v>
      </c>
      <c r="Z277" s="14">
        <f t="shared" ref="Z277" si="333">X277/V277</f>
        <v>0.10577918246886348</v>
      </c>
    </row>
    <row r="278" spans="1:26" x14ac:dyDescent="0.25">
      <c r="A278" t="str">
        <f>'rockfish harvests'!A277</f>
        <v>SE</v>
      </c>
      <c r="B278">
        <f>'rockfish harvests'!B277</f>
        <v>1998</v>
      </c>
      <c r="C278" t="str">
        <f>'rockfish harvests'!C277</f>
        <v>NSEI</v>
      </c>
      <c r="D278">
        <f>'rockfish harvests'!D277</f>
        <v>5285</v>
      </c>
      <c r="E278">
        <v>2544</v>
      </c>
      <c r="F278" s="32">
        <v>0.71222023499999998</v>
      </c>
      <c r="G278" s="32">
        <v>6.5559435999999999E-2</v>
      </c>
      <c r="H278" s="7">
        <f t="shared" si="273"/>
        <v>1811.88827784</v>
      </c>
      <c r="I278">
        <f t="shared" si="280"/>
        <v>424296.473988096</v>
      </c>
      <c r="J278">
        <f t="shared" si="274"/>
        <v>651.38043721629833</v>
      </c>
      <c r="K278" s="6">
        <f t="shared" si="275"/>
        <v>1276.7056569439446</v>
      </c>
      <c r="M278" s="2">
        <f>'rockfish harvests'!O277</f>
        <v>3144.4015142904627</v>
      </c>
      <c r="N278">
        <f>'rockfish harvests'!P277</f>
        <v>781648.06612226402</v>
      </c>
      <c r="O278" s="32">
        <v>0.23336578599999999</v>
      </c>
      <c r="P278" s="32">
        <v>6.1192249999999998E-3</v>
      </c>
      <c r="Q278" s="13">
        <f t="shared" si="270"/>
        <v>733.79573088198401</v>
      </c>
      <c r="R278" s="2">
        <f t="shared" si="307"/>
        <v>98287.526854046126</v>
      </c>
      <c r="S278">
        <f t="shared" si="276"/>
        <v>313.50841592219837</v>
      </c>
      <c r="T278" s="6">
        <f t="shared" si="277"/>
        <v>614.47649520750883</v>
      </c>
      <c r="V278" s="13">
        <f t="shared" si="271"/>
        <v>2545.6840087219839</v>
      </c>
      <c r="W278">
        <f t="shared" si="272"/>
        <v>522584.00084214215</v>
      </c>
      <c r="X278">
        <f t="shared" si="278"/>
        <v>722.8997170023946</v>
      </c>
      <c r="Y278" s="6">
        <f t="shared" si="279"/>
        <v>1416.8834453246934</v>
      </c>
      <c r="Z278" s="14">
        <f t="shared" si="234"/>
        <v>0.28397071848886452</v>
      </c>
    </row>
    <row r="279" spans="1:26" x14ac:dyDescent="0.25">
      <c r="A279" t="str">
        <f>'rockfish harvests'!A278</f>
        <v>SE</v>
      </c>
      <c r="B279">
        <f>'rockfish harvests'!B278</f>
        <v>1999</v>
      </c>
      <c r="C279" t="str">
        <f>'rockfish harvests'!C278</f>
        <v>NSEI</v>
      </c>
      <c r="D279">
        <f>'rockfish harvests'!D278</f>
        <v>6363</v>
      </c>
      <c r="E279">
        <v>3857</v>
      </c>
      <c r="F279" s="32">
        <v>0.71222023499999998</v>
      </c>
      <c r="G279" s="32">
        <v>6.5559435999999999E-2</v>
      </c>
      <c r="H279" s="7">
        <f t="shared" si="273"/>
        <v>2747.0334463949998</v>
      </c>
      <c r="I279">
        <f t="shared" si="280"/>
        <v>975291.60612276394</v>
      </c>
      <c r="J279">
        <f t="shared" si="274"/>
        <v>987.5685323676347</v>
      </c>
      <c r="K279" s="6">
        <f t="shared" si="275"/>
        <v>1935.634323440564</v>
      </c>
      <c r="M279" s="2">
        <f>'rockfish harvests'!O278</f>
        <v>3785.7761278013659</v>
      </c>
      <c r="N279">
        <f>'rockfish harvests'!P278</f>
        <v>1133039.6837394333</v>
      </c>
      <c r="O279" s="32">
        <v>0.23336578599999999</v>
      </c>
      <c r="P279" s="32">
        <v>6.1192249999999998E-3</v>
      </c>
      <c r="Q279" s="13">
        <f t="shared" si="270"/>
        <v>883.4706216844022</v>
      </c>
      <c r="R279" s="2">
        <f t="shared" si="307"/>
        <v>142472.90202445176</v>
      </c>
      <c r="S279">
        <f t="shared" si="276"/>
        <v>377.45582791162695</v>
      </c>
      <c r="T279" s="6">
        <f t="shared" si="277"/>
        <v>739.81342270678886</v>
      </c>
      <c r="V279" s="13">
        <f t="shared" si="271"/>
        <v>3630.5040680794018</v>
      </c>
      <c r="W279">
        <f t="shared" si="272"/>
        <v>1117764.5081472157</v>
      </c>
      <c r="X279">
        <f t="shared" si="278"/>
        <v>1057.2438262516437</v>
      </c>
      <c r="Y279" s="6">
        <f t="shared" si="279"/>
        <v>2072.1978994532215</v>
      </c>
      <c r="Z279" s="14">
        <f t="shared" ref="Z279:Z353" si="334">X279/V279</f>
        <v>0.29121130466352668</v>
      </c>
    </row>
    <row r="280" spans="1:26" x14ac:dyDescent="0.25">
      <c r="A280" t="str">
        <f>'rockfish harvests'!A279</f>
        <v>SE</v>
      </c>
      <c r="B280">
        <f>'rockfish harvests'!B279</f>
        <v>2000</v>
      </c>
      <c r="C280" t="str">
        <f>'rockfish harvests'!C279</f>
        <v>NSEI</v>
      </c>
      <c r="D280">
        <f>'rockfish harvests'!D279</f>
        <v>9746</v>
      </c>
      <c r="E280">
        <v>5582</v>
      </c>
      <c r="F280" s="32">
        <v>0.71222023499999998</v>
      </c>
      <c r="G280" s="32">
        <v>6.5559435999999999E-2</v>
      </c>
      <c r="H280" s="7">
        <f t="shared" si="273"/>
        <v>3975.61335177</v>
      </c>
      <c r="I280">
        <f t="shared" si="280"/>
        <v>2042748.3719196639</v>
      </c>
      <c r="J280">
        <f t="shared" si="274"/>
        <v>1429.2474844895351</v>
      </c>
      <c r="K280" s="6">
        <f t="shared" si="275"/>
        <v>2801.3250695994889</v>
      </c>
      <c r="M280" s="2">
        <f>'rockfish harvests'!O279</f>
        <v>5798.550077251628</v>
      </c>
      <c r="N280">
        <f>'rockfish harvests'!P279</f>
        <v>2658116.9727772144</v>
      </c>
      <c r="O280" s="32">
        <v>0.23336578599999999</v>
      </c>
      <c r="P280" s="32">
        <v>6.1192249999999998E-3</v>
      </c>
      <c r="Q280" s="13">
        <f t="shared" si="270"/>
        <v>1353.1831964381868</v>
      </c>
      <c r="R280" s="2">
        <f t="shared" si="307"/>
        <v>334242.16686051455</v>
      </c>
      <c r="S280">
        <f t="shared" si="276"/>
        <v>578.13680635340506</v>
      </c>
      <c r="T280" s="6">
        <f t="shared" si="277"/>
        <v>1133.1481404526739</v>
      </c>
      <c r="V280" s="13">
        <f t="shared" si="271"/>
        <v>5328.7965482081872</v>
      </c>
      <c r="W280">
        <f t="shared" si="272"/>
        <v>2376990.5387801784</v>
      </c>
      <c r="X280">
        <f t="shared" si="278"/>
        <v>1541.749181540298</v>
      </c>
      <c r="Y280" s="6">
        <f t="shared" si="279"/>
        <v>3021.8283958189841</v>
      </c>
      <c r="Z280" s="14">
        <f t="shared" si="334"/>
        <v>0.28932408426415013</v>
      </c>
    </row>
    <row r="281" spans="1:26" x14ac:dyDescent="0.25">
      <c r="A281" t="str">
        <f>'rockfish harvests'!A280</f>
        <v>SE</v>
      </c>
      <c r="B281">
        <f>'rockfish harvests'!B280</f>
        <v>2001</v>
      </c>
      <c r="C281" t="str">
        <f>'rockfish harvests'!C280</f>
        <v>NSEI</v>
      </c>
      <c r="D281">
        <f>'rockfish harvests'!D280</f>
        <v>7242</v>
      </c>
      <c r="E281">
        <v>3909</v>
      </c>
      <c r="F281" s="32">
        <v>0.71222023499999998</v>
      </c>
      <c r="G281" s="32">
        <v>6.5559435999999999E-2</v>
      </c>
      <c r="H281" s="7">
        <f t="shared" si="273"/>
        <v>2784.0688986149999</v>
      </c>
      <c r="I281">
        <f t="shared" si="280"/>
        <v>1001766.6042815159</v>
      </c>
      <c r="J281">
        <f t="shared" si="274"/>
        <v>1000.8829123736282</v>
      </c>
      <c r="K281" s="6">
        <f t="shared" si="275"/>
        <v>1961.7305082523112</v>
      </c>
      <c r="M281" s="2">
        <f>'rockfish harvests'!O280</f>
        <v>4308.7522736975479</v>
      </c>
      <c r="N281">
        <f>'rockfish harvests'!P280</f>
        <v>1467703.4510787677</v>
      </c>
      <c r="O281" s="32">
        <v>0.23336578599999999</v>
      </c>
      <c r="P281" s="32">
        <v>6.1192249999999998E-3</v>
      </c>
      <c r="Q281" s="13">
        <f t="shared" si="270"/>
        <v>1005.5153610307153</v>
      </c>
      <c r="R281" s="2">
        <f t="shared" si="307"/>
        <v>184554.85097959189</v>
      </c>
      <c r="S281">
        <f t="shared" si="276"/>
        <v>429.59847646330394</v>
      </c>
      <c r="T281" s="6">
        <f t="shared" si="277"/>
        <v>842.01301386807575</v>
      </c>
      <c r="V281" s="13">
        <f t="shared" si="271"/>
        <v>3789.5842596457151</v>
      </c>
      <c r="W281">
        <f t="shared" si="272"/>
        <v>1186321.4552611078</v>
      </c>
      <c r="X281">
        <f t="shared" si="278"/>
        <v>1089.1838482373432</v>
      </c>
      <c r="Y281" s="6">
        <f t="shared" si="279"/>
        <v>2134.8003425451925</v>
      </c>
      <c r="Z281" s="14">
        <f t="shared" si="334"/>
        <v>0.28741512884032566</v>
      </c>
    </row>
    <row r="282" spans="1:26" x14ac:dyDescent="0.25">
      <c r="A282" t="str">
        <f>'rockfish harvests'!A281</f>
        <v>SE</v>
      </c>
      <c r="B282">
        <f>'rockfish harvests'!B281</f>
        <v>2002</v>
      </c>
      <c r="C282" t="str">
        <f>'rockfish harvests'!C281</f>
        <v>NSEI</v>
      </c>
      <c r="D282">
        <f>'rockfish harvests'!D281</f>
        <v>4958</v>
      </c>
      <c r="E282">
        <v>3120</v>
      </c>
      <c r="F282" s="32">
        <v>0.71222023499999998</v>
      </c>
      <c r="G282" s="32">
        <v>6.5559435999999999E-2</v>
      </c>
      <c r="H282" s="7">
        <f t="shared" si="273"/>
        <v>2222.1271332000001</v>
      </c>
      <c r="I282">
        <f t="shared" si="280"/>
        <v>638181.77379839995</v>
      </c>
      <c r="J282">
        <f t="shared" si="274"/>
        <v>798.86280035961113</v>
      </c>
      <c r="K282" s="6">
        <f t="shared" si="275"/>
        <v>1565.7710887048379</v>
      </c>
      <c r="M282" s="2">
        <f>'rockfish harvests'!O281</f>
        <v>2949.8472484109971</v>
      </c>
      <c r="N282">
        <f>'rockfish harvests'!P281</f>
        <v>687914.27130295534</v>
      </c>
      <c r="O282" s="32">
        <v>0.23336578599999999</v>
      </c>
      <c r="P282" s="32">
        <v>6.1192249999999998E-3</v>
      </c>
      <c r="Q282" s="13">
        <f t="shared" si="270"/>
        <v>688.39342170536952</v>
      </c>
      <c r="R282" s="2">
        <f t="shared" si="307"/>
        <v>86501.067864722208</v>
      </c>
      <c r="S282">
        <f t="shared" si="276"/>
        <v>294.11063881594322</v>
      </c>
      <c r="T282" s="6">
        <f t="shared" si="277"/>
        <v>576.45685207924873</v>
      </c>
      <c r="V282" s="13">
        <f t="shared" si="271"/>
        <v>2910.5205549053699</v>
      </c>
      <c r="W282">
        <f t="shared" si="272"/>
        <v>724682.84166312218</v>
      </c>
      <c r="X282">
        <f t="shared" si="278"/>
        <v>851.28305613533871</v>
      </c>
      <c r="Y282" s="6">
        <f t="shared" si="279"/>
        <v>1668.5147900252639</v>
      </c>
      <c r="Z282" s="14">
        <f t="shared" si="334"/>
        <v>0.29248481159172457</v>
      </c>
    </row>
    <row r="283" spans="1:26" x14ac:dyDescent="0.25">
      <c r="A283" t="str">
        <f>'rockfish harvests'!A282</f>
        <v>SE</v>
      </c>
      <c r="B283">
        <f>'rockfish harvests'!B282</f>
        <v>2003</v>
      </c>
      <c r="C283" t="str">
        <f>'rockfish harvests'!C282</f>
        <v>NSEI</v>
      </c>
      <c r="D283">
        <f>'rockfish harvests'!D282</f>
        <v>6069</v>
      </c>
      <c r="E283">
        <v>3551</v>
      </c>
      <c r="F283" s="32">
        <v>0.71222023499999998</v>
      </c>
      <c r="G283" s="32">
        <v>6.5559435999999999E-2</v>
      </c>
      <c r="H283" s="7">
        <f t="shared" si="273"/>
        <v>2529.094054485</v>
      </c>
      <c r="I283">
        <f t="shared" si="280"/>
        <v>826678.32974503597</v>
      </c>
      <c r="J283">
        <f t="shared" si="274"/>
        <v>909.21852694774975</v>
      </c>
      <c r="K283" s="6">
        <f t="shared" si="275"/>
        <v>1782.0683128175895</v>
      </c>
      <c r="M283" s="2">
        <f>'rockfish harvests'!O282</f>
        <v>3610.8557786620295</v>
      </c>
      <c r="N283">
        <f>'rockfish harvests'!P282</f>
        <v>1030755.2356043656</v>
      </c>
      <c r="O283" s="32">
        <v>0.23336578599999999</v>
      </c>
      <c r="P283" s="32">
        <v>6.1192249999999998E-3</v>
      </c>
      <c r="Q283" s="13">
        <f t="shared" si="270"/>
        <v>842.65019692010651</v>
      </c>
      <c r="R283" s="2">
        <f t="shared" si="307"/>
        <v>129611.24998621309</v>
      </c>
      <c r="S283">
        <f t="shared" si="276"/>
        <v>360.01562464178289</v>
      </c>
      <c r="T283" s="6">
        <f t="shared" si="277"/>
        <v>705.63062429789443</v>
      </c>
      <c r="V283" s="13">
        <f t="shared" si="271"/>
        <v>3371.7442514051063</v>
      </c>
      <c r="W283">
        <f t="shared" si="272"/>
        <v>956289.57973124902</v>
      </c>
      <c r="X283">
        <f t="shared" si="278"/>
        <v>977.90059808308172</v>
      </c>
      <c r="Y283" s="6">
        <f t="shared" si="279"/>
        <v>1916.6851722428401</v>
      </c>
      <c r="Z283" s="14">
        <f t="shared" si="334"/>
        <v>0.2900281056831524</v>
      </c>
    </row>
    <row r="284" spans="1:26" x14ac:dyDescent="0.25">
      <c r="A284" t="str">
        <f>'rockfish harvests'!A283</f>
        <v>SE</v>
      </c>
      <c r="B284">
        <f>'rockfish harvests'!B283</f>
        <v>2004</v>
      </c>
      <c r="C284" t="str">
        <f>'rockfish harvests'!C283</f>
        <v>NSEI</v>
      </c>
      <c r="D284">
        <f>'rockfish harvests'!D283</f>
        <v>6052</v>
      </c>
      <c r="E284">
        <v>3328</v>
      </c>
      <c r="F284" s="32">
        <v>0.71222023499999998</v>
      </c>
      <c r="G284" s="32">
        <v>6.5559435999999999E-2</v>
      </c>
      <c r="H284" s="7">
        <f t="shared" si="273"/>
        <v>2370.2689420799998</v>
      </c>
      <c r="I284">
        <f t="shared" si="280"/>
        <v>726109.040410624</v>
      </c>
      <c r="J284">
        <f t="shared" si="274"/>
        <v>852.12032038358529</v>
      </c>
      <c r="K284" s="6">
        <f t="shared" si="275"/>
        <v>1670.1558279518272</v>
      </c>
      <c r="M284" s="2">
        <f>'rockfish harvests'!O283</f>
        <v>3600.7413367049921</v>
      </c>
      <c r="N284">
        <f>'rockfish harvests'!P283</f>
        <v>1024988.7840591522</v>
      </c>
      <c r="O284" s="32">
        <v>0.23336578599999999</v>
      </c>
      <c r="P284" s="32">
        <v>6.1192249999999998E-3</v>
      </c>
      <c r="Q284" s="13">
        <f t="shared" ref="Q284:Q359" si="335">M284*O284</f>
        <v>840.28983222285115</v>
      </c>
      <c r="R284" s="2">
        <f t="shared" si="307"/>
        <v>128886.15350652179</v>
      </c>
      <c r="S284">
        <f t="shared" si="276"/>
        <v>359.00717751393466</v>
      </c>
      <c r="T284" s="6">
        <f t="shared" si="277"/>
        <v>703.65406792731198</v>
      </c>
      <c r="V284" s="13">
        <f t="shared" ref="V284:V359" si="336">Q284+H284</f>
        <v>3210.5587743028509</v>
      </c>
      <c r="W284">
        <f t="shared" ref="W284:W359" si="337">R284+I284</f>
        <v>854995.19391714584</v>
      </c>
      <c r="X284">
        <f t="shared" si="278"/>
        <v>924.65950160972545</v>
      </c>
      <c r="Y284" s="6">
        <f t="shared" si="279"/>
        <v>1812.3326231550618</v>
      </c>
      <c r="Z284" s="14">
        <f t="shared" si="334"/>
        <v>0.28800578547592809</v>
      </c>
    </row>
    <row r="285" spans="1:26" x14ac:dyDescent="0.25">
      <c r="A285" t="str">
        <f>'rockfish harvests'!A284</f>
        <v>SE</v>
      </c>
      <c r="B285">
        <f>'rockfish harvests'!B284</f>
        <v>2005</v>
      </c>
      <c r="C285" t="str">
        <f>'rockfish harvests'!C284</f>
        <v>NSEI</v>
      </c>
      <c r="D285">
        <f>'rockfish harvests'!D284</f>
        <v>7678</v>
      </c>
      <c r="E285">
        <v>4465</v>
      </c>
      <c r="F285" s="32">
        <v>0.71222023499999998</v>
      </c>
      <c r="G285" s="32">
        <v>6.5559435999999999E-2</v>
      </c>
      <c r="H285" s="7">
        <f t="shared" ref="H285:H360" si="338">E285*F285</f>
        <v>3180.0633492749998</v>
      </c>
      <c r="I285">
        <f t="shared" si="280"/>
        <v>1307007.6669691</v>
      </c>
      <c r="J285">
        <f t="shared" ref="J285:J360" si="339">SQRT(I285)</f>
        <v>1143.2443601300206</v>
      </c>
      <c r="K285" s="6">
        <f t="shared" ref="K285:K360" si="340">(1.96*J285)</f>
        <v>2240.7589458548405</v>
      </c>
      <c r="M285" s="2">
        <f>'rockfish harvests'!O284</f>
        <v>4568.1579615368355</v>
      </c>
      <c r="N285">
        <f>'rockfish harvests'!P284</f>
        <v>1649747.5421593867</v>
      </c>
      <c r="O285" s="32">
        <v>0.23336578599999999</v>
      </c>
      <c r="P285" s="32">
        <v>6.1192249999999998E-3</v>
      </c>
      <c r="Q285" s="13">
        <f t="shared" si="335"/>
        <v>1066.0517732662013</v>
      </c>
      <c r="R285" s="2">
        <f t="shared" si="307"/>
        <v>207445.7967468753</v>
      </c>
      <c r="S285">
        <f t="shared" ref="S285:S360" si="341">SQRT(R285)</f>
        <v>455.46217927164412</v>
      </c>
      <c r="T285" s="6">
        <f t="shared" ref="T285:T360" si="342">(1.96*S285)</f>
        <v>892.70587137242251</v>
      </c>
      <c r="V285" s="13">
        <f t="shared" si="336"/>
        <v>4246.1151225412013</v>
      </c>
      <c r="W285">
        <f t="shared" si="337"/>
        <v>1514453.4637159754</v>
      </c>
      <c r="X285">
        <f t="shared" ref="X285:X360" si="343">SQRT(W285)</f>
        <v>1230.6313272934244</v>
      </c>
      <c r="Y285" s="6">
        <f t="shared" ref="Y285:Y360" si="344">(1.96*X285)</f>
        <v>2412.0374014951117</v>
      </c>
      <c r="Z285" s="14">
        <f t="shared" si="334"/>
        <v>0.28982523831264378</v>
      </c>
    </row>
    <row r="286" spans="1:26" x14ac:dyDescent="0.25">
      <c r="A286" t="str">
        <f>'rockfish harvests'!A285</f>
        <v>SE</v>
      </c>
      <c r="B286">
        <f>'rockfish harvests'!B285</f>
        <v>2006</v>
      </c>
      <c r="C286" t="str">
        <f>'rockfish harvests'!C285</f>
        <v>NSEI</v>
      </c>
      <c r="D286">
        <f>'rockfish harvests'!D285</f>
        <v>6437</v>
      </c>
      <c r="E286">
        <v>3476</v>
      </c>
      <c r="F286">
        <f>IF([2]species_comp_Region1_forR!$G142&gt;49,[2]species_comp_Region1_forR!$AD142,[2]species_comp_Region1_forR!$AF142)</f>
        <v>0.92330383500000002</v>
      </c>
      <c r="G286">
        <f>IF([2]species_comp_Region1_forR!$G142&gt;49,[2]species_comp_Region1_forR!$AE142,[2]species_comp_Region1_forR!$AG142)</f>
        <v>2.0950799999999999E-4</v>
      </c>
      <c r="H286" s="7">
        <f t="shared" si="338"/>
        <v>3209.40413046</v>
      </c>
      <c r="I286">
        <f t="shared" ref="I286:I361" si="345">(E286^2)*G286</f>
        <v>2531.3963326079997</v>
      </c>
      <c r="J286">
        <f t="shared" si="339"/>
        <v>50.312983737878234</v>
      </c>
      <c r="K286" s="6">
        <f t="shared" si="340"/>
        <v>98.613448126241337</v>
      </c>
      <c r="M286" s="2">
        <f>'rockfish harvests'!O285</f>
        <v>3829.8036986731713</v>
      </c>
      <c r="N286">
        <f>'rockfish harvests'!P285</f>
        <v>1159546.8293526676</v>
      </c>
      <c r="O286">
        <f>IF([2]species_comp_Region1_forR!$D164&gt;49,[2]species_comp_Region1_forR!$N164,[2]species_comp_Region1_forR!$P164)</f>
        <v>0.321052632</v>
      </c>
      <c r="P286">
        <f>IF([2]species_comp_Region1_forR!$D164&gt;49,[2]species_comp_Region1_forR!$O164,[2]species_comp_Region1_forR!$Q164)</f>
        <v>1.153322E-3</v>
      </c>
      <c r="Q286" s="13">
        <f t="shared" si="335"/>
        <v>1229.5685575023565</v>
      </c>
      <c r="R286" s="2">
        <f t="shared" si="307"/>
        <v>135098.94889428656</v>
      </c>
      <c r="S286">
        <f t="shared" si="341"/>
        <v>367.55808914277287</v>
      </c>
      <c r="T286" s="6">
        <f t="shared" si="342"/>
        <v>720.41385471983483</v>
      </c>
      <c r="V286" s="13">
        <f t="shared" si="336"/>
        <v>4438.9726879623568</v>
      </c>
      <c r="W286">
        <f t="shared" si="337"/>
        <v>137630.34522689457</v>
      </c>
      <c r="X286">
        <f t="shared" si="343"/>
        <v>370.98564018960974</v>
      </c>
      <c r="Y286" s="6">
        <f t="shared" si="344"/>
        <v>727.13185477163506</v>
      </c>
      <c r="Z286" s="14">
        <f t="shared" si="334"/>
        <v>8.3574661586824292E-2</v>
      </c>
    </row>
    <row r="287" spans="1:26" x14ac:dyDescent="0.25">
      <c r="A287" t="str">
        <f>'rockfish harvests'!A286</f>
        <v>SE</v>
      </c>
      <c r="B287">
        <f>'rockfish harvests'!B286</f>
        <v>2007</v>
      </c>
      <c r="C287" t="str">
        <f>'rockfish harvests'!C286</f>
        <v>NSEI</v>
      </c>
      <c r="D287">
        <f>'rockfish harvests'!D286</f>
        <v>7499</v>
      </c>
      <c r="E287">
        <v>4164</v>
      </c>
      <c r="F287">
        <f>IF([2]species_comp_Region1_forR!$G143&gt;49,[2]species_comp_Region1_forR!$AD143,[2]species_comp_Region1_forR!$AF143)</f>
        <v>0.96747967499999998</v>
      </c>
      <c r="G287">
        <f>IF([2]species_comp_Region1_forR!$G143&gt;49,[2]species_comp_Region1_forR!$AE143,[2]species_comp_Region1_forR!$AG143)</f>
        <v>8.5496599999999997E-5</v>
      </c>
      <c r="H287" s="7">
        <f t="shared" si="338"/>
        <v>4028.5853667000001</v>
      </c>
      <c r="I287">
        <f t="shared" si="345"/>
        <v>1482.4166557536</v>
      </c>
      <c r="J287">
        <f t="shared" si="339"/>
        <v>38.50216429960269</v>
      </c>
      <c r="K287" s="6">
        <f t="shared" si="340"/>
        <v>75.464242027221275</v>
      </c>
      <c r="M287" s="2">
        <f>'rockfish harvests'!O286</f>
        <v>4461.6588374009807</v>
      </c>
      <c r="N287">
        <f>'rockfish harvests'!P286</f>
        <v>1573721.8750711286</v>
      </c>
      <c r="O287">
        <f>IF([2]species_comp_Region1_forR!$D165&gt;49,[2]species_comp_Region1_forR!$N165,[2]species_comp_Region1_forR!$P165)</f>
        <v>0.167464115</v>
      </c>
      <c r="P287">
        <f>IF([2]species_comp_Region1_forR!$D165&gt;49,[2]species_comp_Region1_forR!$O165,[2]species_comp_Region1_forR!$Q165)</f>
        <v>6.70288E-4</v>
      </c>
      <c r="Q287" s="13">
        <f t="shared" si="335"/>
        <v>747.16774863728415</v>
      </c>
      <c r="R287" s="2">
        <f t="shared" si="307"/>
        <v>56421.991800211981</v>
      </c>
      <c r="S287">
        <f t="shared" si="341"/>
        <v>237.53313832013416</v>
      </c>
      <c r="T287" s="6">
        <f t="shared" si="342"/>
        <v>465.56495110746295</v>
      </c>
      <c r="V287" s="13">
        <f t="shared" si="336"/>
        <v>4775.7531153372838</v>
      </c>
      <c r="W287">
        <f t="shared" si="337"/>
        <v>57904.408455965582</v>
      </c>
      <c r="X287">
        <f t="shared" si="343"/>
        <v>240.63334859483959</v>
      </c>
      <c r="Y287" s="6">
        <f t="shared" si="344"/>
        <v>471.6413632458856</v>
      </c>
      <c r="Z287" s="14">
        <f t="shared" si="334"/>
        <v>5.0386471574932964E-2</v>
      </c>
    </row>
    <row r="288" spans="1:26" x14ac:dyDescent="0.25">
      <c r="A288" t="str">
        <f>'rockfish harvests'!A287</f>
        <v>SE</v>
      </c>
      <c r="B288">
        <f>'rockfish harvests'!B287</f>
        <v>2008</v>
      </c>
      <c r="C288" t="str">
        <f>'rockfish harvests'!C287</f>
        <v>NSEI</v>
      </c>
      <c r="D288">
        <f>'rockfish harvests'!D287</f>
        <v>10923</v>
      </c>
      <c r="E288">
        <v>6828</v>
      </c>
      <c r="F288">
        <f>IF([2]species_comp_Region1_forR!$G144&gt;49,[2]species_comp_Region1_forR!$AD144,[2]species_comp_Region1_forR!$AF144)</f>
        <v>0.955242967</v>
      </c>
      <c r="G288">
        <f>IF([2]species_comp_Region1_forR!$G144&gt;49,[2]species_comp_Region1_forR!$AE144,[2]species_comp_Region1_forR!$AG144)</f>
        <v>5.47424E-5</v>
      </c>
      <c r="H288" s="7">
        <f t="shared" si="338"/>
        <v>6522.3989786760003</v>
      </c>
      <c r="I288">
        <f t="shared" si="345"/>
        <v>2552.1773999615998</v>
      </c>
      <c r="J288">
        <f t="shared" si="339"/>
        <v>50.519079563681679</v>
      </c>
      <c r="K288" s="6">
        <f t="shared" si="340"/>
        <v>99.017395944816087</v>
      </c>
      <c r="M288" s="2">
        <f>'rockfish harvests'!O287</f>
        <v>6498.8264409829208</v>
      </c>
      <c r="N288">
        <f>'rockfish harvests'!P287</f>
        <v>3338913.2975072474</v>
      </c>
      <c r="O288">
        <f>IF([2]species_comp_Region1_forR!$D166&gt;49,[2]species_comp_Region1_forR!$N166,[2]species_comp_Region1_forR!$P166)</f>
        <v>0.12790697700000001</v>
      </c>
      <c r="P288">
        <f>IF([2]species_comp_Region1_forR!$D166&gt;49,[2]species_comp_Region1_forR!$O166,[2]species_comp_Region1_forR!$Q166)</f>
        <v>6.5231999999999996E-4</v>
      </c>
      <c r="Q288" s="13">
        <f t="shared" si="335"/>
        <v>831.24524411379434</v>
      </c>
      <c r="R288" s="2">
        <f t="shared" si="307"/>
        <v>79997.800859534429</v>
      </c>
      <c r="S288">
        <f t="shared" si="341"/>
        <v>282.83882488006208</v>
      </c>
      <c r="T288" s="6">
        <f t="shared" si="342"/>
        <v>554.36409676492167</v>
      </c>
      <c r="V288" s="13">
        <f t="shared" si="336"/>
        <v>7353.6442227897951</v>
      </c>
      <c r="W288">
        <f t="shared" si="337"/>
        <v>82549.978259496027</v>
      </c>
      <c r="X288">
        <f t="shared" si="343"/>
        <v>287.31512013727371</v>
      </c>
      <c r="Y288" s="6">
        <f t="shared" si="344"/>
        <v>563.13763546905648</v>
      </c>
      <c r="Z288" s="14">
        <f t="shared" si="334"/>
        <v>3.9071120580847642E-2</v>
      </c>
    </row>
    <row r="289" spans="1:26" x14ac:dyDescent="0.25">
      <c r="A289" t="str">
        <f>'rockfish harvests'!A288</f>
        <v>SE</v>
      </c>
      <c r="B289">
        <f>'rockfish harvests'!B288</f>
        <v>2009</v>
      </c>
      <c r="C289" t="str">
        <f>'rockfish harvests'!C288</f>
        <v>NSEI</v>
      </c>
      <c r="D289">
        <f>'rockfish harvests'!D288</f>
        <v>9325</v>
      </c>
      <c r="E289">
        <v>5994</v>
      </c>
      <c r="F289">
        <f>IF([2]species_comp_Region1_forR!$G145&gt;49,[2]species_comp_Region1_forR!$AD145,[2]species_comp_Region1_forR!$AF145)</f>
        <v>0.83406113500000001</v>
      </c>
      <c r="G289">
        <f>IF([2]species_comp_Region1_forR!$G145&gt;49,[2]species_comp_Region1_forR!$AE145,[2]species_comp_Region1_forR!$AG145)</f>
        <v>3.0285199999999999E-4</v>
      </c>
      <c r="H289" s="7">
        <f t="shared" si="338"/>
        <v>4999.3624431899998</v>
      </c>
      <c r="I289">
        <f t="shared" si="345"/>
        <v>10880.877558672</v>
      </c>
      <c r="J289">
        <f t="shared" si="339"/>
        <v>104.31144500327852</v>
      </c>
      <c r="K289" s="6">
        <f t="shared" si="340"/>
        <v>204.45043220642589</v>
      </c>
      <c r="M289" s="2">
        <f>'rockfish harvests'!O288</f>
        <v>5548.0688970214906</v>
      </c>
      <c r="N289">
        <f>'rockfish harvests'!P288</f>
        <v>2433430.5466266801</v>
      </c>
      <c r="O289">
        <f>IF([2]species_comp_Region1_forR!$D167&gt;49,[2]species_comp_Region1_forR!$N167,[2]species_comp_Region1_forR!$P167)</f>
        <v>0.14479638</v>
      </c>
      <c r="P289">
        <f>IF([2]species_comp_Region1_forR!$D167&gt;49,[2]species_comp_Region1_forR!$O167,[2]species_comp_Region1_forR!$Q167)</f>
        <v>5.6286499999999996E-4</v>
      </c>
      <c r="Q289" s="13">
        <f t="shared" si="335"/>
        <v>803.34029227930466</v>
      </c>
      <c r="R289" s="2">
        <f t="shared" si="307"/>
        <v>66975.177777251796</v>
      </c>
      <c r="S289">
        <f t="shared" si="341"/>
        <v>258.79562936273055</v>
      </c>
      <c r="T289" s="6">
        <f t="shared" si="342"/>
        <v>507.23943355095184</v>
      </c>
      <c r="V289" s="13">
        <f t="shared" si="336"/>
        <v>5802.7027354693046</v>
      </c>
      <c r="W289">
        <f t="shared" si="337"/>
        <v>77856.055335923797</v>
      </c>
      <c r="X289">
        <f t="shared" si="343"/>
        <v>279.02697958427569</v>
      </c>
      <c r="Y289" s="6">
        <f t="shared" si="344"/>
        <v>546.89287998518034</v>
      </c>
      <c r="Z289" s="14">
        <f t="shared" si="334"/>
        <v>4.8085692530604685E-2</v>
      </c>
    </row>
    <row r="290" spans="1:26" x14ac:dyDescent="0.25">
      <c r="A290" t="str">
        <f>'rockfish harvests'!A289</f>
        <v>SE</v>
      </c>
      <c r="B290">
        <f>'rockfish harvests'!B289</f>
        <v>2010</v>
      </c>
      <c r="C290" t="str">
        <f>'rockfish harvests'!C289</f>
        <v>NSEI</v>
      </c>
      <c r="D290">
        <f>'rockfish harvests'!D289</f>
        <v>11942</v>
      </c>
      <c r="E290">
        <v>7473</v>
      </c>
      <c r="F290">
        <f>IF([2]species_comp_Region1_forR!$G146&gt;49,[2]species_comp_Region1_forR!$AD146,[2]species_comp_Region1_forR!$AF146)</f>
        <v>0.83190394499999998</v>
      </c>
      <c r="G290">
        <f>IF([2]species_comp_Region1_forR!$G146&gt;49,[2]species_comp_Region1_forR!$AE146,[2]species_comp_Region1_forR!$AG146)</f>
        <v>2.40275E-4</v>
      </c>
      <c r="H290" s="7">
        <f t="shared" si="338"/>
        <v>6216.8181809850003</v>
      </c>
      <c r="I290">
        <f t="shared" si="345"/>
        <v>13418.332535475</v>
      </c>
      <c r="J290">
        <f t="shared" si="339"/>
        <v>115.83752645613164</v>
      </c>
      <c r="K290" s="6">
        <f t="shared" si="340"/>
        <v>227.04155185401802</v>
      </c>
      <c r="M290" s="2">
        <f>'rockfish harvests'!O289</f>
        <v>7105.0979912311668</v>
      </c>
      <c r="N290">
        <f>'rockfish harvests'!P289</f>
        <v>3990941.9253061144</v>
      </c>
      <c r="O290">
        <f>IF([2]species_comp_Region1_forR!$D168&gt;49,[2]species_comp_Region1_forR!$N168,[2]species_comp_Region1_forR!$P168)</f>
        <v>0.20293398500000001</v>
      </c>
      <c r="P290">
        <f>IF([2]species_comp_Region1_forR!$D168&gt;49,[2]species_comp_Region1_forR!$O168,[2]species_comp_Region1_forR!$Q168)</f>
        <v>3.9645000000000001E-4</v>
      </c>
      <c r="Q290" s="13">
        <f t="shared" si="335"/>
        <v>1441.8658491760359</v>
      </c>
      <c r="R290" s="2">
        <f t="shared" si="307"/>
        <v>182787.32308542935</v>
      </c>
      <c r="S290">
        <f t="shared" si="341"/>
        <v>427.53634124531374</v>
      </c>
      <c r="T290" s="6">
        <f t="shared" si="342"/>
        <v>837.97122884081489</v>
      </c>
      <c r="V290" s="13">
        <f t="shared" si="336"/>
        <v>7658.6840301610364</v>
      </c>
      <c r="W290">
        <f t="shared" si="337"/>
        <v>196205.65562090435</v>
      </c>
      <c r="X290">
        <f t="shared" si="343"/>
        <v>442.95107587735276</v>
      </c>
      <c r="Y290" s="6">
        <f t="shared" si="344"/>
        <v>868.18410871961146</v>
      </c>
      <c r="Z290" s="14">
        <f t="shared" si="334"/>
        <v>5.7836447375677801E-2</v>
      </c>
    </row>
    <row r="291" spans="1:26" x14ac:dyDescent="0.25">
      <c r="A291" t="str">
        <f>'rockfish harvests'!A290</f>
        <v>SE</v>
      </c>
      <c r="B291">
        <f>'rockfish harvests'!B290</f>
        <v>2011</v>
      </c>
      <c r="C291" t="str">
        <f>'rockfish harvests'!C290</f>
        <v>NSEI</v>
      </c>
      <c r="D291">
        <f>'rockfish harvests'!D290</f>
        <v>13281</v>
      </c>
      <c r="E291">
        <v>8325</v>
      </c>
      <c r="F291">
        <f>IF([2]species_comp_Region1_forR!$G147&gt;49,[2]species_comp_Region1_forR!$AD147,[2]species_comp_Region1_forR!$AF147)</f>
        <v>0.93116634799999998</v>
      </c>
      <c r="G291">
        <f>IF([2]species_comp_Region1_forR!$G147&gt;49,[2]species_comp_Region1_forR!$AE147,[2]species_comp_Region1_forR!$AG147)</f>
        <v>1.22788E-4</v>
      </c>
      <c r="H291" s="7">
        <f t="shared" si="338"/>
        <v>7751.9598470999999</v>
      </c>
      <c r="I291">
        <f t="shared" si="345"/>
        <v>8509.8990825000001</v>
      </c>
      <c r="J291">
        <f t="shared" si="339"/>
        <v>92.2491142640405</v>
      </c>
      <c r="K291" s="6">
        <f t="shared" si="340"/>
        <v>180.80826395751939</v>
      </c>
      <c r="M291" s="2">
        <f>'rockfish harvests'!O290</f>
        <v>7853.144125958821</v>
      </c>
      <c r="N291">
        <f>'rockfish harvests'!P290</f>
        <v>2883554.5471730651</v>
      </c>
      <c r="O291">
        <f>IF([2]species_comp_Region1_forR!$D169&gt;49,[2]species_comp_Region1_forR!$N169,[2]species_comp_Region1_forR!$P169)</f>
        <v>0.20689655200000001</v>
      </c>
      <c r="P291">
        <f>IF([2]species_comp_Region1_forR!$D169&gt;49,[2]species_comp_Region1_forR!$O169,[2]species_comp_Region1_forR!$Q169)</f>
        <v>4.7288300000000001E-4</v>
      </c>
      <c r="Q291" s="13">
        <f t="shared" si="335"/>
        <v>1624.7884420199339</v>
      </c>
      <c r="R291" s="2">
        <f t="shared" si="307"/>
        <v>151233.96053412071</v>
      </c>
      <c r="S291">
        <f t="shared" si="341"/>
        <v>388.88810798752991</v>
      </c>
      <c r="T291" s="6">
        <f t="shared" si="342"/>
        <v>762.22069165555865</v>
      </c>
      <c r="V291" s="13">
        <f t="shared" si="336"/>
        <v>9376.7482891199343</v>
      </c>
      <c r="W291">
        <f t="shared" si="337"/>
        <v>159743.8596166207</v>
      </c>
      <c r="X291">
        <f t="shared" si="343"/>
        <v>399.67969627768269</v>
      </c>
      <c r="Y291" s="6">
        <f t="shared" si="344"/>
        <v>783.37220470425802</v>
      </c>
      <c r="Z291" s="14">
        <f t="shared" si="334"/>
        <v>4.2624552131941155E-2</v>
      </c>
    </row>
    <row r="292" spans="1:26" x14ac:dyDescent="0.25">
      <c r="A292" t="str">
        <f>'rockfish harvests'!A291</f>
        <v>SE</v>
      </c>
      <c r="B292">
        <f>'rockfish harvests'!B291</f>
        <v>2012</v>
      </c>
      <c r="C292" t="str">
        <f>'rockfish harvests'!C291</f>
        <v>NSEI</v>
      </c>
      <c r="D292">
        <f>'rockfish harvests'!D291</f>
        <v>15243</v>
      </c>
      <c r="E292">
        <v>9183</v>
      </c>
      <c r="F292">
        <f>IF([2]species_comp_Region1_forR!$G148&gt;49,[2]species_comp_Region1_forR!$AD148,[2]species_comp_Region1_forR!$AF148)</f>
        <v>0.86212914500000004</v>
      </c>
      <c r="G292">
        <f>IF([2]species_comp_Region1_forR!$G148&gt;49,[2]species_comp_Region1_forR!$AE148,[2]species_comp_Region1_forR!$AG148)</f>
        <v>2.0780199999999999E-4</v>
      </c>
      <c r="H292" s="7">
        <f t="shared" si="338"/>
        <v>7916.931938535</v>
      </c>
      <c r="I292">
        <f t="shared" si="345"/>
        <v>17523.420869178</v>
      </c>
      <c r="J292">
        <f t="shared" si="339"/>
        <v>132.3760585195752</v>
      </c>
      <c r="K292" s="6">
        <f t="shared" si="340"/>
        <v>259.45707469836736</v>
      </c>
      <c r="M292" s="2">
        <f>'rockfish harvests'!O291</f>
        <v>15088.837840909095</v>
      </c>
      <c r="N292">
        <f>'rockfish harvests'!P291</f>
        <v>11116596.990618348</v>
      </c>
      <c r="O292">
        <f>IF([2]species_comp_Region1_forR!$D170&gt;49,[2]species_comp_Region1_forR!$N170,[2]species_comp_Region1_forR!$P170)</f>
        <v>0.34630350199999999</v>
      </c>
      <c r="P292">
        <f>IF([2]species_comp_Region1_forR!$D170&gt;49,[2]species_comp_Region1_forR!$O170,[2]species_comp_Region1_forR!$Q170)</f>
        <v>4.4128100000000002E-4</v>
      </c>
      <c r="Q292" s="13">
        <f t="shared" si="335"/>
        <v>5225.3173854169381</v>
      </c>
      <c r="R292" s="2">
        <f t="shared" si="307"/>
        <v>1428732.5327983953</v>
      </c>
      <c r="S292">
        <f t="shared" si="341"/>
        <v>1195.2960021678293</v>
      </c>
      <c r="T292" s="6">
        <f t="shared" si="342"/>
        <v>2342.7801642489453</v>
      </c>
      <c r="V292" s="13">
        <f t="shared" si="336"/>
        <v>13142.249323951939</v>
      </c>
      <c r="W292">
        <f t="shared" si="337"/>
        <v>1446255.9536675732</v>
      </c>
      <c r="X292">
        <f t="shared" si="343"/>
        <v>1202.6038224068527</v>
      </c>
      <c r="Y292" s="6">
        <f t="shared" si="344"/>
        <v>2357.1034919174313</v>
      </c>
      <c r="Z292" s="14">
        <f t="shared" si="334"/>
        <v>9.1506696666839971E-2</v>
      </c>
    </row>
    <row r="293" spans="1:26" x14ac:dyDescent="0.25">
      <c r="A293" t="str">
        <f>'rockfish harvests'!A292</f>
        <v>SE</v>
      </c>
      <c r="B293">
        <f>'rockfish harvests'!B292</f>
        <v>2013</v>
      </c>
      <c r="C293" t="str">
        <f>'rockfish harvests'!C292</f>
        <v>NSEI</v>
      </c>
      <c r="D293">
        <f>'rockfish harvests'!D292</f>
        <v>14770</v>
      </c>
      <c r="E293">
        <v>9583</v>
      </c>
      <c r="F293">
        <f>IF([2]species_comp_Region1_forR!$G149&gt;49,[2]species_comp_Region1_forR!$AD149,[2]species_comp_Region1_forR!$AF149)</f>
        <v>0.75684379999999996</v>
      </c>
      <c r="G293">
        <f>IF([2]species_comp_Region1_forR!$G149&gt;49,[2]species_comp_Region1_forR!$AE149,[2]species_comp_Region1_forR!$AG149)</f>
        <v>2.9682500000000002E-4</v>
      </c>
      <c r="H293" s="7">
        <f t="shared" si="338"/>
        <v>7252.8341353999995</v>
      </c>
      <c r="I293">
        <f t="shared" si="345"/>
        <v>27258.594102425002</v>
      </c>
      <c r="J293">
        <f t="shared" si="339"/>
        <v>165.10176892579014</v>
      </c>
      <c r="K293" s="6">
        <f t="shared" si="340"/>
        <v>323.59946709454869</v>
      </c>
      <c r="M293" s="2">
        <f>'rockfish harvests'!O292</f>
        <v>8172.238805970148</v>
      </c>
      <c r="N293">
        <f>'rockfish harvests'!P292</f>
        <v>2814788.8573717903</v>
      </c>
      <c r="O293">
        <f>IF([2]species_comp_Region1_forR!$D171&gt;49,[2]species_comp_Region1_forR!$N171,[2]species_comp_Region1_forR!$P171)</f>
        <v>0.368260427</v>
      </c>
      <c r="P293">
        <f>IF([2]species_comp_Region1_forR!$D171&gt;49,[2]species_comp_Region1_forR!$O171,[2]species_comp_Region1_forR!$Q171)</f>
        <v>2.3690899999999999E-4</v>
      </c>
      <c r="Q293" s="13">
        <f t="shared" si="335"/>
        <v>3009.5121522325367</v>
      </c>
      <c r="R293" s="2">
        <f t="shared" si="307"/>
        <v>396884.91388141381</v>
      </c>
      <c r="S293">
        <f t="shared" si="341"/>
        <v>629.98802677623473</v>
      </c>
      <c r="T293" s="6">
        <f t="shared" si="342"/>
        <v>1234.77653248142</v>
      </c>
      <c r="V293" s="13">
        <f t="shared" si="336"/>
        <v>10262.346287632536</v>
      </c>
      <c r="W293">
        <f t="shared" si="337"/>
        <v>424143.50798383879</v>
      </c>
      <c r="X293">
        <f t="shared" si="343"/>
        <v>651.26300983845135</v>
      </c>
      <c r="Y293" s="6">
        <f t="shared" si="344"/>
        <v>1276.4754992833646</v>
      </c>
      <c r="Z293" s="14">
        <f t="shared" si="334"/>
        <v>6.3461414337899327E-2</v>
      </c>
    </row>
    <row r="294" spans="1:26" x14ac:dyDescent="0.25">
      <c r="A294" t="str">
        <f>'rockfish harvests'!A293</f>
        <v>SE</v>
      </c>
      <c r="B294">
        <f>'rockfish harvests'!B293</f>
        <v>2014</v>
      </c>
      <c r="C294" t="str">
        <f>'rockfish harvests'!C293</f>
        <v>NSEI</v>
      </c>
      <c r="D294">
        <f>'rockfish harvests'!D293</f>
        <v>19857</v>
      </c>
      <c r="E294">
        <v>13571</v>
      </c>
      <c r="F294">
        <f>IF([2]species_comp_Region1_forR!$G150&gt;49,[2]species_comp_Region1_forR!$AD150,[2]species_comp_Region1_forR!$AF150)</f>
        <v>0.70642201800000004</v>
      </c>
      <c r="G294">
        <f>IF([2]species_comp_Region1_forR!$G150&gt;49,[2]species_comp_Region1_forR!$AE150,[2]species_comp_Region1_forR!$AG150)</f>
        <v>2.7216499999999999E-4</v>
      </c>
      <c r="H294" s="7">
        <f t="shared" si="338"/>
        <v>9586.8532062780014</v>
      </c>
      <c r="I294">
        <f t="shared" si="345"/>
        <v>50125.183538764999</v>
      </c>
      <c r="J294">
        <f t="shared" si="339"/>
        <v>223.88654166511438</v>
      </c>
      <c r="K294" s="6">
        <f t="shared" si="340"/>
        <v>438.81762166362415</v>
      </c>
      <c r="M294" s="2">
        <f>'rockfish harvests'!O293</f>
        <v>12419.119924151324</v>
      </c>
      <c r="N294">
        <f>'rockfish harvests'!P293</f>
        <v>9528568.3691134229</v>
      </c>
      <c r="O294">
        <f>IF([2]species_comp_Region1_forR!$D172&gt;49,[2]species_comp_Region1_forR!$N172,[2]species_comp_Region1_forR!$P172)</f>
        <v>0.29830810299999999</v>
      </c>
      <c r="P294">
        <f>IF([2]species_comp_Region1_forR!$D172&gt;49,[2]species_comp_Region1_forR!$O172,[2]species_comp_Region1_forR!$Q172)</f>
        <v>1.8656E-4</v>
      </c>
      <c r="Q294" s="13">
        <f t="shared" si="335"/>
        <v>3704.7241055030854</v>
      </c>
      <c r="R294" s="2">
        <f t="shared" si="307"/>
        <v>874921.9611613733</v>
      </c>
      <c r="S294">
        <f t="shared" si="341"/>
        <v>935.372632249508</v>
      </c>
      <c r="T294" s="6">
        <f t="shared" si="342"/>
        <v>1833.3303592090356</v>
      </c>
      <c r="V294" s="13">
        <f t="shared" si="336"/>
        <v>13291.577311781086</v>
      </c>
      <c r="W294">
        <f t="shared" si="337"/>
        <v>925047.14470013825</v>
      </c>
      <c r="X294">
        <f t="shared" si="343"/>
        <v>961.79371213381216</v>
      </c>
      <c r="Y294" s="6">
        <f t="shared" si="344"/>
        <v>1885.1156757822719</v>
      </c>
      <c r="Z294" s="14">
        <f t="shared" si="334"/>
        <v>7.2361141915137442E-2</v>
      </c>
    </row>
    <row r="295" spans="1:26" x14ac:dyDescent="0.25">
      <c r="A295" t="str">
        <f>'rockfish harvests'!A294</f>
        <v>SE</v>
      </c>
      <c r="B295">
        <f>'rockfish harvests'!B294</f>
        <v>2015</v>
      </c>
      <c r="C295" t="str">
        <f>'rockfish harvests'!C294</f>
        <v>NSEI</v>
      </c>
      <c r="D295">
        <f>'rockfish harvests'!D294</f>
        <v>22095</v>
      </c>
      <c r="E295">
        <v>13976</v>
      </c>
      <c r="F295">
        <f>IF([2]species_comp_Region1_forR!$G151&gt;49,[2]species_comp_Region1_forR!$AD151,[2]species_comp_Region1_forR!$AF151)</f>
        <v>0.80268199200000001</v>
      </c>
      <c r="G295">
        <f>IF([2]species_comp_Region1_forR!$G151&gt;49,[2]species_comp_Region1_forR!$AE151,[2]species_comp_Region1_forR!$AG151)</f>
        <v>1.5185400000000001E-4</v>
      </c>
      <c r="H295" s="7">
        <f t="shared" si="338"/>
        <v>11218.283520192001</v>
      </c>
      <c r="I295">
        <f t="shared" si="345"/>
        <v>29661.425579904004</v>
      </c>
      <c r="J295">
        <f t="shared" si="339"/>
        <v>172.22492728958838</v>
      </c>
      <c r="K295" s="6">
        <f t="shared" si="340"/>
        <v>337.56085748759324</v>
      </c>
      <c r="M295" s="2">
        <f>'rockfish harvests'!O294</f>
        <v>9668.8857001484394</v>
      </c>
      <c r="N295">
        <f>'rockfish harvests'!P294</f>
        <v>4304414.6066964231</v>
      </c>
      <c r="O295">
        <f>IF([2]species_comp_Region1_forR!$D173&gt;49,[2]species_comp_Region1_forR!$N173,[2]species_comp_Region1_forR!$P173)</f>
        <v>0.25740131599999999</v>
      </c>
      <c r="P295">
        <f>IF([2]species_comp_Region1_forR!$D173&gt;49,[2]species_comp_Region1_forR!$O173,[2]species_comp_Region1_forR!$Q173)</f>
        <v>1.57322E-4</v>
      </c>
      <c r="Q295" s="13">
        <f t="shared" si="335"/>
        <v>2488.7839034717895</v>
      </c>
      <c r="R295" s="2">
        <f t="shared" si="307"/>
        <v>299221.31072497723</v>
      </c>
      <c r="S295">
        <f t="shared" si="341"/>
        <v>547.01125283213071</v>
      </c>
      <c r="T295" s="6">
        <f t="shared" si="342"/>
        <v>1072.1420555509762</v>
      </c>
      <c r="V295" s="13">
        <f t="shared" si="336"/>
        <v>13707.06742366379</v>
      </c>
      <c r="W295">
        <f t="shared" si="337"/>
        <v>328882.73630488123</v>
      </c>
      <c r="X295">
        <f t="shared" si="343"/>
        <v>573.4829869358648</v>
      </c>
      <c r="Y295" s="6">
        <f t="shared" si="344"/>
        <v>1124.0266543942951</v>
      </c>
      <c r="Z295" s="14">
        <f t="shared" si="334"/>
        <v>4.1838488803652311E-2</v>
      </c>
    </row>
    <row r="296" spans="1:26" x14ac:dyDescent="0.25">
      <c r="A296" t="str">
        <f>'rockfish harvests'!A295</f>
        <v>SE</v>
      </c>
      <c r="B296">
        <f>'rockfish harvests'!B295</f>
        <v>2016</v>
      </c>
      <c r="C296" t="str">
        <f>'rockfish harvests'!C295</f>
        <v>NSEI</v>
      </c>
      <c r="D296">
        <f>'rockfish harvests'!D295</f>
        <v>25877</v>
      </c>
      <c r="E296">
        <v>16646</v>
      </c>
      <c r="F296">
        <f>IF([2]species_comp_Region1_forR!$G152&gt;49,[2]species_comp_Region1_forR!$AD152,[2]species_comp_Region1_forR!$AF152)</f>
        <v>0.51254953800000003</v>
      </c>
      <c r="G296">
        <f>IF([2]species_comp_Region1_forR!$G152&gt;49,[2]species_comp_Region1_forR!$AE152,[2]species_comp_Region1_forR!$AG152)</f>
        <v>3.3048000000000002E-4</v>
      </c>
      <c r="H296" s="7">
        <f t="shared" si="338"/>
        <v>8531.8996095479997</v>
      </c>
      <c r="I296">
        <f t="shared" si="345"/>
        <v>91572.47715168001</v>
      </c>
      <c r="J296">
        <f t="shared" si="339"/>
        <v>302.60944656715526</v>
      </c>
      <c r="K296" s="6">
        <f t="shared" si="340"/>
        <v>593.11451527162433</v>
      </c>
      <c r="M296" s="2">
        <f>'rockfish harvests'!O295</f>
        <v>14189.291818701371</v>
      </c>
      <c r="N296">
        <f>'rockfish harvests'!P295</f>
        <v>6762576.6255513411</v>
      </c>
      <c r="O296">
        <f>IF([2]species_comp_Region1_forR!$D174&gt;49,[2]species_comp_Region1_forR!$N174,[2]species_comp_Region1_forR!$P174)</f>
        <v>0.152555301</v>
      </c>
      <c r="P296">
        <f>IF([2]species_comp_Region1_forR!$D174&gt;49,[2]species_comp_Region1_forR!$O174,[2]species_comp_Region1_forR!$Q174)</f>
        <v>9.8688699999999996E-5</v>
      </c>
      <c r="Q296" s="13">
        <f t="shared" si="335"/>
        <v>2164.6516843788249</v>
      </c>
      <c r="R296" s="2">
        <f t="shared" si="307"/>
        <v>176588.4548264982</v>
      </c>
      <c r="S296">
        <f t="shared" si="341"/>
        <v>420.22429109524143</v>
      </c>
      <c r="T296" s="6">
        <f t="shared" si="342"/>
        <v>823.63961054667323</v>
      </c>
      <c r="V296" s="13">
        <f t="shared" si="336"/>
        <v>10696.551293926825</v>
      </c>
      <c r="W296">
        <f t="shared" si="337"/>
        <v>268160.93197817821</v>
      </c>
      <c r="X296">
        <f t="shared" si="343"/>
        <v>517.84257451292876</v>
      </c>
      <c r="Y296" s="6">
        <f t="shared" si="344"/>
        <v>1014.9714460453404</v>
      </c>
      <c r="Z296" s="14">
        <f t="shared" si="334"/>
        <v>4.8412105947357439E-2</v>
      </c>
    </row>
    <row r="297" spans="1:26" x14ac:dyDescent="0.25">
      <c r="A297" t="str">
        <f>'rockfish harvests'!A296</f>
        <v>SE</v>
      </c>
      <c r="B297">
        <f>'rockfish harvests'!B296</f>
        <v>2017</v>
      </c>
      <c r="C297" t="str">
        <f>'rockfish harvests'!C296</f>
        <v>NSEI</v>
      </c>
      <c r="D297">
        <f>'rockfish harvests'!D296</f>
        <v>24305</v>
      </c>
      <c r="E297">
        <v>19203</v>
      </c>
      <c r="F297">
        <f>IF([2]species_comp_Region1_forR!$G153&gt;49,[2]species_comp_Region1_forR!$AD153,[2]species_comp_Region1_forR!$AF153)</f>
        <v>0.39860748499999998</v>
      </c>
      <c r="G297">
        <f>IF([2]species_comp_Region1_forR!$G153&gt;49,[2]species_comp_Region1_forR!$AE153,[2]species_comp_Region1_forR!$AG153)</f>
        <v>2.08815E-4</v>
      </c>
      <c r="H297" s="7">
        <f t="shared" si="338"/>
        <v>7654.4595344549998</v>
      </c>
      <c r="I297">
        <f t="shared" si="345"/>
        <v>77001.618967335002</v>
      </c>
      <c r="J297">
        <f t="shared" si="339"/>
        <v>277.49165567154449</v>
      </c>
      <c r="K297" s="6">
        <f t="shared" si="340"/>
        <v>543.88364511622717</v>
      </c>
      <c r="M297" s="2">
        <f>'rockfish harvests'!O296</f>
        <v>16806.228360636691</v>
      </c>
      <c r="N297">
        <f>'rockfish harvests'!P296</f>
        <v>14540377.874931889</v>
      </c>
      <c r="O297">
        <f>IF([2]species_comp_Region1_forR!$D175&gt;49,[2]species_comp_Region1_forR!$N175,[2]species_comp_Region1_forR!$P175)</f>
        <v>0.27392449499999999</v>
      </c>
      <c r="P297">
        <f>IF([2]species_comp_Region1_forR!$D175&gt;49,[2]species_comp_Region1_forR!$O175,[2]species_comp_Region1_forR!$Q175)</f>
        <v>1.74771E-4</v>
      </c>
      <c r="Q297" s="13">
        <f t="shared" si="335"/>
        <v>4603.6376165420834</v>
      </c>
      <c r="R297" s="2">
        <f t="shared" si="307"/>
        <v>1137854.5710735868</v>
      </c>
      <c r="S297">
        <f t="shared" si="341"/>
        <v>1066.7026629167037</v>
      </c>
      <c r="T297" s="6">
        <f t="shared" si="342"/>
        <v>2090.7372193167394</v>
      </c>
      <c r="V297" s="13">
        <f t="shared" si="336"/>
        <v>12258.097150997084</v>
      </c>
      <c r="W297">
        <f t="shared" si="337"/>
        <v>1214856.1900409218</v>
      </c>
      <c r="X297">
        <f t="shared" si="343"/>
        <v>1102.2051487998601</v>
      </c>
      <c r="Y297" s="6">
        <f t="shared" si="344"/>
        <v>2160.3220916477258</v>
      </c>
      <c r="Z297" s="14">
        <f t="shared" si="334"/>
        <v>8.9916496436823048E-2</v>
      </c>
    </row>
    <row r="298" spans="1:26" x14ac:dyDescent="0.25">
      <c r="A298" t="str">
        <f>'rockfish harvests'!A297</f>
        <v>SE</v>
      </c>
      <c r="B298">
        <f>'rockfish harvests'!B297</f>
        <v>2018</v>
      </c>
      <c r="C298" t="str">
        <f>'rockfish harvests'!C297</f>
        <v>NSEI</v>
      </c>
      <c r="D298">
        <f>'rockfish harvests'!D297</f>
        <v>34673</v>
      </c>
      <c r="E298">
        <v>28268</v>
      </c>
      <c r="F298">
        <f>IF([2]species_comp_Region1_forR!$G154&gt;49,[2]species_comp_Region1_forR!$AD154,[2]species_comp_Region1_forR!$AF154)</f>
        <v>0.262548263</v>
      </c>
      <c r="G298">
        <f>IF([2]species_comp_Region1_forR!$G154&gt;49,[2]species_comp_Region1_forR!$AE154,[2]species_comp_Region1_forR!$AG154)</f>
        <v>8.3097300000000001E-5</v>
      </c>
      <c r="H298" s="7">
        <f t="shared" si="338"/>
        <v>7421.7142984840002</v>
      </c>
      <c r="I298">
        <f t="shared" si="345"/>
        <v>66401.375858875195</v>
      </c>
      <c r="J298">
        <f t="shared" si="339"/>
        <v>257.68464420464636</v>
      </c>
      <c r="K298" s="6">
        <f t="shared" si="340"/>
        <v>505.06190264110688</v>
      </c>
      <c r="M298" s="2">
        <f>'rockfish harvests'!O297</f>
        <v>15349.26901059274</v>
      </c>
      <c r="N298">
        <f>'rockfish harvests'!P297</f>
        <v>8197994.4604236083</v>
      </c>
      <c r="O298">
        <f>IF([2]species_comp_Region1_forR!$D176&gt;49,[2]species_comp_Region1_forR!$N176,[2]species_comp_Region1_forR!$P176)</f>
        <v>0.18615751799999999</v>
      </c>
      <c r="P298">
        <f>IF([2]species_comp_Region1_forR!$D176&gt;49,[2]species_comp_Region1_forR!$O176,[2]species_comp_Region1_forR!$Q176)</f>
        <v>1.20623E-4</v>
      </c>
      <c r="Q298" s="13">
        <f t="shared" si="335"/>
        <v>2857.38182212626</v>
      </c>
      <c r="R298" s="2">
        <f t="shared" si="307"/>
        <v>311528.31440020946</v>
      </c>
      <c r="S298">
        <f t="shared" si="341"/>
        <v>558.14721570586505</v>
      </c>
      <c r="T298" s="6">
        <f t="shared" si="342"/>
        <v>1093.9685427834954</v>
      </c>
      <c r="V298" s="13">
        <f t="shared" si="336"/>
        <v>10279.09612061026</v>
      </c>
      <c r="W298">
        <f t="shared" si="337"/>
        <v>377929.69025908469</v>
      </c>
      <c r="X298">
        <f t="shared" si="343"/>
        <v>614.75986389734703</v>
      </c>
      <c r="Y298" s="6">
        <f t="shared" si="344"/>
        <v>1204.9293332388002</v>
      </c>
      <c r="Z298" s="14">
        <f t="shared" si="334"/>
        <v>5.9806801754165258E-2</v>
      </c>
    </row>
    <row r="299" spans="1:26" x14ac:dyDescent="0.25">
      <c r="A299" t="str">
        <f>'rockfish harvests'!A298</f>
        <v>SE</v>
      </c>
      <c r="B299">
        <f>'rockfish harvests'!B298</f>
        <v>2019</v>
      </c>
      <c r="C299" t="str">
        <f>'rockfish harvests'!C298</f>
        <v>NSEI</v>
      </c>
      <c r="D299">
        <f>'rockfish harvests'!D298</f>
        <v>36293</v>
      </c>
      <c r="E299">
        <v>30096</v>
      </c>
      <c r="F299">
        <v>0.26164331692540704</v>
      </c>
      <c r="G299">
        <v>7.3176549861241682E-5</v>
      </c>
      <c r="H299" s="7">
        <f>E299*F299</f>
        <v>7874.4172661870507</v>
      </c>
      <c r="I299">
        <f>(E299^2)*G299</f>
        <v>66281.066197401786</v>
      </c>
      <c r="J299">
        <f>SQRT(I299)</f>
        <v>257.4510947683109</v>
      </c>
      <c r="K299" s="6">
        <f>(1.96*J299)</f>
        <v>504.60414574588935</v>
      </c>
      <c r="M299" s="2">
        <f>'rockfish harvests'!O298</f>
        <v>23183.361216730038</v>
      </c>
      <c r="N299">
        <f>'rockfish harvests'!P298</f>
        <v>24125308.819017805</v>
      </c>
      <c r="O299">
        <v>0.21815286624203822</v>
      </c>
      <c r="P299">
        <v>9.0580028248763466E-5</v>
      </c>
      <c r="Q299" s="13">
        <f>M299*O299</f>
        <v>5057.5166985541646</v>
      </c>
      <c r="R299" s="2">
        <f>(M299^2)*P299+(O299^2)*N299-(P299*N299)</f>
        <v>1194638.3011905067</v>
      </c>
      <c r="S299">
        <f>SQRT(R299)</f>
        <v>1092.9951057486519</v>
      </c>
      <c r="T299" s="6">
        <f>(1.96*S299)</f>
        <v>2142.2704072673578</v>
      </c>
      <c r="V299" s="13">
        <f>Q299+H299</f>
        <v>12931.933964741216</v>
      </c>
      <c r="W299">
        <f>R299+I299</f>
        <v>1260919.3673879085</v>
      </c>
      <c r="X299">
        <f>SQRT(W299)</f>
        <v>1122.9066601405073</v>
      </c>
      <c r="Y299" s="6">
        <f>(1.96*X299)</f>
        <v>2200.8970538753942</v>
      </c>
      <c r="Z299" s="14">
        <f t="shared" si="334"/>
        <v>8.6832075016938737E-2</v>
      </c>
    </row>
    <row r="300" spans="1:26" x14ac:dyDescent="0.25">
      <c r="A300" t="str">
        <f>'rockfish harvests'!A299</f>
        <v>SE</v>
      </c>
      <c r="B300">
        <f>'rockfish harvests'!B299</f>
        <v>2020</v>
      </c>
      <c r="C300" t="str">
        <f>'rockfish harvests'!C299</f>
        <v>NSEI</v>
      </c>
      <c r="D300">
        <f>'rockfish harvests'!D299</f>
        <v>17585</v>
      </c>
      <c r="E300">
        <v>17302</v>
      </c>
      <c r="F300" t="s">
        <v>183</v>
      </c>
      <c r="G300" t="s">
        <v>294</v>
      </c>
      <c r="H300" s="7">
        <f t="shared" ref="H300:H301" si="346">E300*F300</f>
        <v>9205.5512820512813</v>
      </c>
      <c r="I300">
        <f t="shared" ref="I300:I301" si="347">(E300^2)*G300</f>
        <v>113616.27115179144</v>
      </c>
      <c r="J300">
        <f t="shared" ref="J300:J301" si="348">SQRT(I300)</f>
        <v>337.07012794341694</v>
      </c>
      <c r="K300" s="6">
        <f t="shared" ref="K300:K301" si="349">(1.96*J300)</f>
        <v>660.65745076909718</v>
      </c>
      <c r="M300" s="2">
        <f>'rockfish harvests'!O299</f>
        <v>4858.3978904449577</v>
      </c>
      <c r="N300">
        <f>'rockfish harvests'!P299</f>
        <v>1472700.4379098967</v>
      </c>
      <c r="O300" t="s">
        <v>185</v>
      </c>
      <c r="P300" t="s">
        <v>186</v>
      </c>
      <c r="Q300" s="13">
        <f t="shared" ref="Q300:Q301" si="350">M300*O300</f>
        <v>314.28989048700538</v>
      </c>
      <c r="R300" s="2">
        <f t="shared" ref="R300:R301" si="351">(M300^2)*P300+(O300^2)*N300-(P300*N300)</f>
        <v>9782.040322204828</v>
      </c>
      <c r="S300">
        <f t="shared" ref="S300:S301" si="352">SQRT(R300)</f>
        <v>98.904197697594356</v>
      </c>
      <c r="T300" s="6">
        <f t="shared" ref="T300:T301" si="353">(1.96*S300)</f>
        <v>193.85222748728492</v>
      </c>
      <c r="V300" s="13">
        <f t="shared" ref="V300:V301" si="354">Q300+H300</f>
        <v>9519.8411725382866</v>
      </c>
      <c r="W300">
        <f t="shared" ref="W300:W301" si="355">R300+I300</f>
        <v>123398.31147399628</v>
      </c>
      <c r="X300">
        <f t="shared" ref="X300:X301" si="356">SQRT(W300)</f>
        <v>351.28095802931915</v>
      </c>
      <c r="Y300" s="6">
        <f t="shared" ref="Y300:Y301" si="357">(1.96*X300)</f>
        <v>688.51067773746547</v>
      </c>
      <c r="Z300" s="14">
        <f t="shared" ref="Z300:Z301" si="358">X300/V300</f>
        <v>3.6899875918376977E-2</v>
      </c>
    </row>
    <row r="301" spans="1:26" x14ac:dyDescent="0.25">
      <c r="A301" t="str">
        <f>'rockfish harvests'!A300</f>
        <v>SE</v>
      </c>
      <c r="B301">
        <f>'rockfish harvests'!B300</f>
        <v>2021</v>
      </c>
      <c r="C301" t="str">
        <f>'rockfish harvests'!C300</f>
        <v>NSEI</v>
      </c>
      <c r="D301">
        <f>'rockfish harvests'!D300</f>
        <v>33151</v>
      </c>
      <c r="E301">
        <v>31211</v>
      </c>
      <c r="F301" t="s">
        <v>184</v>
      </c>
      <c r="G301" t="s">
        <v>295</v>
      </c>
      <c r="H301" s="7">
        <f t="shared" si="346"/>
        <v>12228.121994134886</v>
      </c>
      <c r="I301">
        <f t="shared" si="347"/>
        <v>127401.17895471949</v>
      </c>
      <c r="J301">
        <f t="shared" si="348"/>
        <v>356.93301746226769</v>
      </c>
      <c r="K301" s="6">
        <f t="shared" si="349"/>
        <v>699.58871422604466</v>
      </c>
      <c r="M301" s="2">
        <f>'rockfish harvests'!O300</f>
        <v>7926.4899805809182</v>
      </c>
      <c r="N301">
        <f>'rockfish harvests'!P300</f>
        <v>3864104.3574178377</v>
      </c>
      <c r="O301" t="s">
        <v>187</v>
      </c>
      <c r="P301" t="s">
        <v>188</v>
      </c>
      <c r="Q301" s="13">
        <f t="shared" si="350"/>
        <v>150.98076153487426</v>
      </c>
      <c r="R301" s="2">
        <f t="shared" si="351"/>
        <v>4031.4229535450722</v>
      </c>
      <c r="S301">
        <f t="shared" si="352"/>
        <v>63.493487489230517</v>
      </c>
      <c r="T301" s="6">
        <f t="shared" si="353"/>
        <v>124.44723547889181</v>
      </c>
      <c r="V301" s="13">
        <f t="shared" si="354"/>
        <v>12379.102755669761</v>
      </c>
      <c r="W301">
        <f t="shared" si="355"/>
        <v>131432.60190826457</v>
      </c>
      <c r="X301">
        <f t="shared" si="356"/>
        <v>362.53634563759891</v>
      </c>
      <c r="Y301" s="6">
        <f t="shared" si="357"/>
        <v>710.57123744969385</v>
      </c>
      <c r="Z301" s="14">
        <f t="shared" si="358"/>
        <v>2.9286156904348614E-2</v>
      </c>
    </row>
    <row r="302" spans="1:26" s="51" customFormat="1" x14ac:dyDescent="0.25">
      <c r="A302" s="51" t="s">
        <v>151</v>
      </c>
      <c r="B302" s="51">
        <v>2022</v>
      </c>
      <c r="C302" s="51" t="s">
        <v>38</v>
      </c>
      <c r="D302">
        <f>'rockfish harvests'!D301</f>
        <v>34168</v>
      </c>
      <c r="E302" s="51">
        <v>31320</v>
      </c>
      <c r="F302" t="s">
        <v>182</v>
      </c>
      <c r="G302" t="s">
        <v>296</v>
      </c>
      <c r="H302" s="7">
        <f t="shared" ref="H302" si="359">E302*F302</f>
        <v>19895.947995666305</v>
      </c>
      <c r="I302">
        <f t="shared" ref="I302" si="360">(E302^2)*G302</f>
        <v>78457.833820507629</v>
      </c>
      <c r="J302">
        <f t="shared" ref="J302" si="361">SQRT(I302)</f>
        <v>280.10325564067909</v>
      </c>
      <c r="K302" s="6">
        <f t="shared" ref="K302" si="362">(1.96*J302)</f>
        <v>549.00238105573101</v>
      </c>
      <c r="M302" s="2">
        <f>'rockfish harvests'!O301</f>
        <v>23959.726273535314</v>
      </c>
      <c r="N302">
        <f>'rockfish harvests'!P301</f>
        <v>56312393.20575878</v>
      </c>
      <c r="O302" t="s">
        <v>189</v>
      </c>
      <c r="P302" t="s">
        <v>190</v>
      </c>
      <c r="Q302" s="13">
        <f t="shared" ref="Q302" si="363">M302*O302</f>
        <v>10983.669826887184</v>
      </c>
      <c r="R302" s="2">
        <f t="shared" ref="R302" si="364">(M302^2)*P302+(O302^2)*N302-(P302*N302)</f>
        <v>11925524.870251849</v>
      </c>
      <c r="S302">
        <f t="shared" ref="S302" si="365">SQRT(R302)</f>
        <v>3453.3353254863405</v>
      </c>
      <c r="T302" s="6">
        <f t="shared" ref="T302" si="366">(1.96*S302)</f>
        <v>6768.5372379532273</v>
      </c>
      <c r="U302"/>
      <c r="V302" s="13">
        <f t="shared" ref="V302" si="367">Q302+H302</f>
        <v>30879.61782255349</v>
      </c>
      <c r="W302">
        <f t="shared" ref="W302" si="368">R302+I302</f>
        <v>12003982.704072356</v>
      </c>
      <c r="X302">
        <f t="shared" ref="X302" si="369">SQRT(W302)</f>
        <v>3464.6764212653907</v>
      </c>
      <c r="Y302" s="6">
        <f t="shared" ref="Y302" si="370">(1.96*X302)</f>
        <v>6790.7657856801652</v>
      </c>
      <c r="Z302" s="14">
        <f t="shared" ref="Z302" si="371">X302/V302</f>
        <v>0.11219945924119894</v>
      </c>
    </row>
    <row r="303" spans="1:26" x14ac:dyDescent="0.25">
      <c r="A303" t="str">
        <f>'rockfish harvests'!A302</f>
        <v>SE</v>
      </c>
      <c r="B303">
        <f>'rockfish harvests'!B302</f>
        <v>1998</v>
      </c>
      <c r="C303" t="str">
        <f>'rockfish harvests'!C302</f>
        <v>NSEO</v>
      </c>
      <c r="D303">
        <f>'rockfish harvests'!D302</f>
        <v>1123</v>
      </c>
      <c r="E303">
        <v>601</v>
      </c>
      <c r="F303" s="32">
        <v>0.94497086500000005</v>
      </c>
      <c r="G303" s="32">
        <v>1.0541039999999999E-3</v>
      </c>
      <c r="H303" s="7">
        <f t="shared" si="338"/>
        <v>567.92748986499998</v>
      </c>
      <c r="I303">
        <f t="shared" si="345"/>
        <v>380.74341890399995</v>
      </c>
      <c r="J303">
        <f t="shared" si="339"/>
        <v>19.51264766514273</v>
      </c>
      <c r="K303" s="6">
        <f t="shared" si="340"/>
        <v>38.244789423679748</v>
      </c>
      <c r="M303" s="2">
        <f>'rockfish harvests'!O302</f>
        <v>595.65533897155365</v>
      </c>
      <c r="N303">
        <f>'rockfish harvests'!P302</f>
        <v>93360.34279041113</v>
      </c>
      <c r="O303" s="32">
        <v>0.60406434499999995</v>
      </c>
      <c r="P303" s="32">
        <v>2.2998472999999998E-2</v>
      </c>
      <c r="Q303" s="13">
        <f t="shared" si="335"/>
        <v>359.81415218160447</v>
      </c>
      <c r="R303" s="2">
        <f t="shared" si="307"/>
        <v>40079.438380482126</v>
      </c>
      <c r="S303">
        <f t="shared" si="341"/>
        <v>200.19849744811305</v>
      </c>
      <c r="T303" s="6">
        <f t="shared" si="342"/>
        <v>392.38905499830156</v>
      </c>
      <c r="V303" s="13">
        <f t="shared" si="336"/>
        <v>927.74164204660451</v>
      </c>
      <c r="W303">
        <f t="shared" si="337"/>
        <v>40460.181799386126</v>
      </c>
      <c r="X303">
        <f t="shared" si="343"/>
        <v>201.14716453230486</v>
      </c>
      <c r="Y303" s="6">
        <f t="shared" si="344"/>
        <v>394.24844248331749</v>
      </c>
      <c r="Z303" s="14">
        <f t="shared" si="334"/>
        <v>0.2168137716536824</v>
      </c>
    </row>
    <row r="304" spans="1:26" x14ac:dyDescent="0.25">
      <c r="A304" t="str">
        <f>'rockfish harvests'!A303</f>
        <v>SE</v>
      </c>
      <c r="B304">
        <f>'rockfish harvests'!B303</f>
        <v>1999</v>
      </c>
      <c r="C304" t="str">
        <f>'rockfish harvests'!C303</f>
        <v>NSEO</v>
      </c>
      <c r="D304">
        <f>'rockfish harvests'!D303</f>
        <v>1071</v>
      </c>
      <c r="E304">
        <v>484</v>
      </c>
      <c r="F304" s="32">
        <v>0.94497086500000005</v>
      </c>
      <c r="G304" s="32">
        <v>1.0541039999999999E-3</v>
      </c>
      <c r="H304" s="7">
        <f t="shared" si="338"/>
        <v>457.36589866000003</v>
      </c>
      <c r="I304">
        <f t="shared" si="345"/>
        <v>246.93018662399999</v>
      </c>
      <c r="J304">
        <f t="shared" si="339"/>
        <v>15.714012429166523</v>
      </c>
      <c r="K304" s="6">
        <f t="shared" si="340"/>
        <v>30.799464361166386</v>
      </c>
      <c r="M304" s="2">
        <f>'rockfish harvests'!O303</f>
        <v>568.07379166387705</v>
      </c>
      <c r="N304">
        <f>'rockfish harvests'!P303</f>
        <v>84914.501969787365</v>
      </c>
      <c r="O304" s="32">
        <v>0.60406434499999995</v>
      </c>
      <c r="P304" s="32">
        <v>2.2998472999999998E-2</v>
      </c>
      <c r="Q304" s="13">
        <f t="shared" si="335"/>
        <v>343.15312287310633</v>
      </c>
      <c r="R304" s="2">
        <f t="shared" si="307"/>
        <v>36453.653099236159</v>
      </c>
      <c r="S304">
        <f t="shared" si="341"/>
        <v>190.92839783341859</v>
      </c>
      <c r="T304" s="6">
        <f t="shared" si="342"/>
        <v>374.21965975350042</v>
      </c>
      <c r="V304" s="13">
        <f t="shared" si="336"/>
        <v>800.5190215331063</v>
      </c>
      <c r="W304">
        <f t="shared" si="337"/>
        <v>36700.583285860157</v>
      </c>
      <c r="X304">
        <f t="shared" si="343"/>
        <v>191.57396296433438</v>
      </c>
      <c r="Y304" s="6">
        <f t="shared" si="344"/>
        <v>375.48496741009541</v>
      </c>
      <c r="Z304" s="14">
        <f t="shared" si="334"/>
        <v>0.23931219347848018</v>
      </c>
    </row>
    <row r="305" spans="1:26" x14ac:dyDescent="0.25">
      <c r="A305" t="str">
        <f>'rockfish harvests'!A304</f>
        <v>SE</v>
      </c>
      <c r="B305">
        <f>'rockfish harvests'!B304</f>
        <v>2000</v>
      </c>
      <c r="C305" t="str">
        <f>'rockfish harvests'!C304</f>
        <v>NSEO</v>
      </c>
      <c r="D305">
        <f>'rockfish harvests'!D304</f>
        <v>2883</v>
      </c>
      <c r="E305">
        <v>1457</v>
      </c>
      <c r="F305" s="32">
        <v>0.94497086500000005</v>
      </c>
      <c r="G305" s="32">
        <v>1.0541039999999999E-3</v>
      </c>
      <c r="H305" s="7">
        <f t="shared" si="338"/>
        <v>1376.822550305</v>
      </c>
      <c r="I305">
        <f t="shared" si="345"/>
        <v>2237.703622296</v>
      </c>
      <c r="J305">
        <f t="shared" si="339"/>
        <v>47.304372126643855</v>
      </c>
      <c r="K305" s="6">
        <f t="shared" si="340"/>
        <v>92.716569368221954</v>
      </c>
      <c r="M305" s="2">
        <f>'rockfish harvests'!O304</f>
        <v>1529.1846324621447</v>
      </c>
      <c r="N305">
        <f>'rockfish harvests'!P304</f>
        <v>615307.50161743129</v>
      </c>
      <c r="O305" s="32">
        <v>0.60406434499999995</v>
      </c>
      <c r="P305" s="32">
        <v>2.2998472999999998E-2</v>
      </c>
      <c r="Q305" s="13">
        <f t="shared" si="335"/>
        <v>923.7259133923111</v>
      </c>
      <c r="R305" s="2">
        <f t="shared" si="307"/>
        <v>264150.4771623133</v>
      </c>
      <c r="S305">
        <f t="shared" si="341"/>
        <v>513.95571517623318</v>
      </c>
      <c r="T305" s="6">
        <f t="shared" si="342"/>
        <v>1007.353201745417</v>
      </c>
      <c r="V305" s="13">
        <f t="shared" si="336"/>
        <v>2300.548463697311</v>
      </c>
      <c r="W305">
        <f t="shared" si="337"/>
        <v>266388.18078460929</v>
      </c>
      <c r="X305">
        <f t="shared" si="343"/>
        <v>516.12806626321856</v>
      </c>
      <c r="Y305" s="6">
        <f t="shared" si="344"/>
        <v>1011.6110098759084</v>
      </c>
      <c r="Z305" s="14">
        <f t="shared" si="334"/>
        <v>0.22435000801231841</v>
      </c>
    </row>
    <row r="306" spans="1:26" x14ac:dyDescent="0.25">
      <c r="A306" t="str">
        <f>'rockfish harvests'!A305</f>
        <v>SE</v>
      </c>
      <c r="B306">
        <f>'rockfish harvests'!B305</f>
        <v>2001</v>
      </c>
      <c r="C306" t="str">
        <f>'rockfish harvests'!C305</f>
        <v>NSEO</v>
      </c>
      <c r="D306">
        <f>'rockfish harvests'!D305</f>
        <v>2839</v>
      </c>
      <c r="E306">
        <v>1235</v>
      </c>
      <c r="F306" s="32">
        <v>0.94497086500000005</v>
      </c>
      <c r="G306" s="32">
        <v>1.0541039999999999E-3</v>
      </c>
      <c r="H306" s="7">
        <f t="shared" si="338"/>
        <v>1167.039018275</v>
      </c>
      <c r="I306">
        <f t="shared" si="345"/>
        <v>1607.7457734</v>
      </c>
      <c r="J306">
        <f t="shared" si="339"/>
        <v>40.09670526863772</v>
      </c>
      <c r="K306" s="6">
        <f t="shared" si="340"/>
        <v>78.589542326529937</v>
      </c>
      <c r="M306" s="2">
        <f>'rockfish harvests'!O305</f>
        <v>1505.8464001248803</v>
      </c>
      <c r="N306">
        <f>'rockfish harvests'!P305</f>
        <v>596669.32361688081</v>
      </c>
      <c r="O306" s="32">
        <v>0.60406434499999995</v>
      </c>
      <c r="P306" s="32">
        <v>2.2998472999999998E-2</v>
      </c>
      <c r="Q306" s="13">
        <f t="shared" si="335"/>
        <v>909.62811936204366</v>
      </c>
      <c r="R306" s="2">
        <f t="shared" si="307"/>
        <v>256149.13864565309</v>
      </c>
      <c r="S306">
        <f t="shared" si="341"/>
        <v>506.11178473303016</v>
      </c>
      <c r="T306" s="6">
        <f t="shared" si="342"/>
        <v>991.97909807673909</v>
      </c>
      <c r="V306" s="13">
        <f t="shared" si="336"/>
        <v>2076.6671376370437</v>
      </c>
      <c r="W306">
        <f t="shared" si="337"/>
        <v>257756.88441905309</v>
      </c>
      <c r="X306">
        <f t="shared" si="343"/>
        <v>507.69763089761716</v>
      </c>
      <c r="Y306" s="6">
        <f t="shared" si="344"/>
        <v>995.08735655932958</v>
      </c>
      <c r="Z306" s="14">
        <f t="shared" si="334"/>
        <v>0.24447713439299953</v>
      </c>
    </row>
    <row r="307" spans="1:26" x14ac:dyDescent="0.25">
      <c r="A307" t="str">
        <f>'rockfish harvests'!A306</f>
        <v>SE</v>
      </c>
      <c r="B307">
        <f>'rockfish harvests'!B306</f>
        <v>2002</v>
      </c>
      <c r="C307" t="str">
        <f>'rockfish harvests'!C306</f>
        <v>NSEO</v>
      </c>
      <c r="D307">
        <f>'rockfish harvests'!D306</f>
        <v>2029</v>
      </c>
      <c r="E307">
        <v>687</v>
      </c>
      <c r="F307" s="32">
        <v>0.94497086500000005</v>
      </c>
      <c r="G307" s="32">
        <v>1.0541039999999999E-3</v>
      </c>
      <c r="H307" s="7">
        <f t="shared" si="338"/>
        <v>649.19498425500001</v>
      </c>
      <c r="I307">
        <f t="shared" si="345"/>
        <v>497.50441077599999</v>
      </c>
      <c r="J307">
        <f t="shared" si="339"/>
        <v>22.304806898424385</v>
      </c>
      <c r="K307" s="6">
        <f t="shared" si="340"/>
        <v>43.717421520911792</v>
      </c>
      <c r="M307" s="2">
        <f>'rockfish harvests'!O306</f>
        <v>1076.2107593706878</v>
      </c>
      <c r="N307">
        <f>'rockfish harvests'!P306</f>
        <v>304766.3537779394</v>
      </c>
      <c r="O307" s="32">
        <v>0.60406434499999995</v>
      </c>
      <c r="P307" s="32">
        <v>2.2998472999999998E-2</v>
      </c>
      <c r="Q307" s="13">
        <f t="shared" si="335"/>
        <v>650.10054744120714</v>
      </c>
      <c r="R307" s="2">
        <f t="shared" si="307"/>
        <v>130835.68388463228</v>
      </c>
      <c r="S307">
        <f t="shared" si="341"/>
        <v>361.71215611952039</v>
      </c>
      <c r="T307" s="6">
        <f t="shared" si="342"/>
        <v>708.95582599425995</v>
      </c>
      <c r="V307" s="13">
        <f t="shared" si="336"/>
        <v>1299.295531696207</v>
      </c>
      <c r="W307">
        <f t="shared" si="337"/>
        <v>131333.18829540827</v>
      </c>
      <c r="X307">
        <f t="shared" si="343"/>
        <v>362.39921122349074</v>
      </c>
      <c r="Y307" s="6">
        <f t="shared" si="344"/>
        <v>710.30245399804187</v>
      </c>
      <c r="Z307" s="14">
        <f t="shared" si="334"/>
        <v>0.2789197702776558</v>
      </c>
    </row>
    <row r="308" spans="1:26" x14ac:dyDescent="0.25">
      <c r="A308" t="str">
        <f>'rockfish harvests'!A307</f>
        <v>SE</v>
      </c>
      <c r="B308">
        <f>'rockfish harvests'!B307</f>
        <v>2003</v>
      </c>
      <c r="C308" t="str">
        <f>'rockfish harvests'!C307</f>
        <v>NSEO</v>
      </c>
      <c r="D308">
        <f>'rockfish harvests'!D307</f>
        <v>3083</v>
      </c>
      <c r="E308">
        <v>1424</v>
      </c>
      <c r="F308" s="32">
        <v>0.94497086500000005</v>
      </c>
      <c r="G308" s="32">
        <v>1.0541039999999999E-3</v>
      </c>
      <c r="H308" s="7">
        <f t="shared" si="338"/>
        <v>1345.63851176</v>
      </c>
      <c r="I308">
        <f t="shared" si="345"/>
        <v>2137.486792704</v>
      </c>
      <c r="J308">
        <f t="shared" si="339"/>
        <v>46.232962188291594</v>
      </c>
      <c r="K308" s="6">
        <f t="shared" si="340"/>
        <v>90.616605889051527</v>
      </c>
      <c r="M308" s="2">
        <f>'rockfish harvests'!O307</f>
        <v>1635.26750672244</v>
      </c>
      <c r="N308">
        <f>'rockfish harvests'!P307</f>
        <v>703639.11639872531</v>
      </c>
      <c r="O308" s="32">
        <v>0.60406434499999995</v>
      </c>
      <c r="P308" s="32">
        <v>2.2998472999999998E-2</v>
      </c>
      <c r="Q308" s="13">
        <f t="shared" si="335"/>
        <v>987.80679534807371</v>
      </c>
      <c r="R308" s="2">
        <f t="shared" si="307"/>
        <v>302071.09105319314</v>
      </c>
      <c r="S308">
        <f t="shared" si="341"/>
        <v>549.6099444635197</v>
      </c>
      <c r="T308" s="6">
        <f t="shared" si="342"/>
        <v>1077.2354911484986</v>
      </c>
      <c r="V308" s="13">
        <f t="shared" si="336"/>
        <v>2333.4453071080738</v>
      </c>
      <c r="W308">
        <f t="shared" si="337"/>
        <v>304208.57784589712</v>
      </c>
      <c r="X308">
        <f t="shared" si="343"/>
        <v>551.55106549248649</v>
      </c>
      <c r="Y308" s="6">
        <f t="shared" si="344"/>
        <v>1081.0400883652735</v>
      </c>
      <c r="Z308" s="14">
        <f t="shared" si="334"/>
        <v>0.23636768507595507</v>
      </c>
    </row>
    <row r="309" spans="1:26" x14ac:dyDescent="0.25">
      <c r="A309" t="str">
        <f>'rockfish harvests'!A308</f>
        <v>SE</v>
      </c>
      <c r="B309">
        <f>'rockfish harvests'!B308</f>
        <v>2004</v>
      </c>
      <c r="C309" t="str">
        <f>'rockfish harvests'!C308</f>
        <v>NSEO</v>
      </c>
      <c r="D309">
        <f>'rockfish harvests'!D308</f>
        <v>2923</v>
      </c>
      <c r="E309">
        <v>999</v>
      </c>
      <c r="F309" s="32">
        <v>0.94497086500000005</v>
      </c>
      <c r="G309" s="32">
        <v>1.0541039999999999E-3</v>
      </c>
      <c r="H309" s="7">
        <f t="shared" si="338"/>
        <v>944.02589413500004</v>
      </c>
      <c r="I309">
        <f t="shared" si="345"/>
        <v>1051.996846104</v>
      </c>
      <c r="J309">
        <f t="shared" si="339"/>
        <v>32.434500861027601</v>
      </c>
      <c r="K309" s="6">
        <f t="shared" si="340"/>
        <v>63.571621687614098</v>
      </c>
      <c r="M309" s="2">
        <f>'rockfish harvests'!O308</f>
        <v>1550.4012073142039</v>
      </c>
      <c r="N309">
        <f>'rockfish harvests'!P308</f>
        <v>632500.03783668019</v>
      </c>
      <c r="O309" s="32">
        <v>0.60406434499999995</v>
      </c>
      <c r="P309" s="32">
        <v>2.2998472999999998E-2</v>
      </c>
      <c r="Q309" s="13">
        <f t="shared" si="335"/>
        <v>936.54208978346378</v>
      </c>
      <c r="R309" s="2">
        <f t="shared" si="307"/>
        <v>271531.20408991806</v>
      </c>
      <c r="S309">
        <f t="shared" si="341"/>
        <v>521.08656103369049</v>
      </c>
      <c r="T309" s="6">
        <f t="shared" si="342"/>
        <v>1021.3296596260334</v>
      </c>
      <c r="V309" s="13">
        <f t="shared" si="336"/>
        <v>1880.5679839184638</v>
      </c>
      <c r="W309">
        <f t="shared" si="337"/>
        <v>272583.20093602204</v>
      </c>
      <c r="X309">
        <f t="shared" si="343"/>
        <v>522.09501140694886</v>
      </c>
      <c r="Y309" s="6">
        <f t="shared" si="344"/>
        <v>1023.3062223576197</v>
      </c>
      <c r="Z309" s="14">
        <f t="shared" si="334"/>
        <v>0.27762623626032412</v>
      </c>
    </row>
    <row r="310" spans="1:26" x14ac:dyDescent="0.25">
      <c r="A310" t="str">
        <f>'rockfish harvests'!A309</f>
        <v>SE</v>
      </c>
      <c r="B310">
        <f>'rockfish harvests'!B309</f>
        <v>2005</v>
      </c>
      <c r="C310" t="str">
        <f>'rockfish harvests'!C309</f>
        <v>NSEO</v>
      </c>
      <c r="D310">
        <f>'rockfish harvests'!D309</f>
        <v>2796</v>
      </c>
      <c r="E310">
        <v>1188</v>
      </c>
      <c r="F310" s="32">
        <v>0.94497086500000005</v>
      </c>
      <c r="G310" s="32">
        <v>1.0541039999999999E-3</v>
      </c>
      <c r="H310" s="7">
        <f t="shared" si="338"/>
        <v>1122.6253876200001</v>
      </c>
      <c r="I310">
        <f t="shared" si="345"/>
        <v>1487.7033557759999</v>
      </c>
      <c r="J310">
        <f t="shared" si="339"/>
        <v>38.570757780681468</v>
      </c>
      <c r="K310" s="6">
        <f t="shared" si="340"/>
        <v>75.598685250135674</v>
      </c>
      <c r="M310" s="2">
        <f>'rockfish harvests'!O309</f>
        <v>1483.0385821589171</v>
      </c>
      <c r="N310">
        <f>'rockfish harvests'!P309</f>
        <v>578731.68372450606</v>
      </c>
      <c r="O310" s="32">
        <v>0.60406434499999995</v>
      </c>
      <c r="P310" s="32">
        <v>2.2998472999999998E-2</v>
      </c>
      <c r="Q310" s="13">
        <f t="shared" si="335"/>
        <v>895.8507297415548</v>
      </c>
      <c r="R310" s="2">
        <f t="shared" si="307"/>
        <v>248448.53996242344</v>
      </c>
      <c r="S310">
        <f t="shared" si="341"/>
        <v>498.44612543626363</v>
      </c>
      <c r="T310" s="6">
        <f t="shared" si="342"/>
        <v>976.95440585507674</v>
      </c>
      <c r="V310" s="13">
        <f t="shared" si="336"/>
        <v>2018.4761173615548</v>
      </c>
      <c r="W310">
        <f t="shared" si="337"/>
        <v>249936.24331819944</v>
      </c>
      <c r="X310">
        <f t="shared" si="343"/>
        <v>499.93623925276654</v>
      </c>
      <c r="Y310" s="6">
        <f t="shared" si="344"/>
        <v>979.87502893542239</v>
      </c>
      <c r="Z310" s="14">
        <f t="shared" si="334"/>
        <v>0.24768003691133922</v>
      </c>
    </row>
    <row r="311" spans="1:26" x14ac:dyDescent="0.25">
      <c r="A311" t="str">
        <f>'rockfish harvests'!A310</f>
        <v>SE</v>
      </c>
      <c r="B311">
        <f>'rockfish harvests'!B310</f>
        <v>2006</v>
      </c>
      <c r="C311" t="str">
        <f>'rockfish harvests'!C310</f>
        <v>NSEO</v>
      </c>
      <c r="D311">
        <f>'rockfish harvests'!D310</f>
        <v>3058</v>
      </c>
      <c r="E311">
        <v>1407</v>
      </c>
      <c r="F311">
        <f>IF([2]species_comp_Region1_forR!$G186&gt;49,[2]species_comp_Region1_forR!$AD186,[2]species_comp_Region1_forR!$AF186)</f>
        <v>0.95814977999999995</v>
      </c>
      <c r="G311">
        <f>IF([2]species_comp_Region1_forR!$G186&gt;49,[2]species_comp_Region1_forR!$AE186,[2]species_comp_Region1_forR!$AG186)</f>
        <v>8.8518300000000003E-5</v>
      </c>
      <c r="H311" s="7">
        <f t="shared" si="338"/>
        <v>1348.1167404599998</v>
      </c>
      <c r="I311">
        <f t="shared" si="345"/>
        <v>175.23516407670002</v>
      </c>
      <c r="J311">
        <f t="shared" si="339"/>
        <v>13.237641937924595</v>
      </c>
      <c r="K311" s="6">
        <f t="shared" si="340"/>
        <v>25.945778198332206</v>
      </c>
      <c r="M311" s="2">
        <f>'rockfish harvests'!O310</f>
        <v>1622.0071474399028</v>
      </c>
      <c r="N311">
        <f>'rockfish harvests'!P310</f>
        <v>692273.78689881065</v>
      </c>
      <c r="O311">
        <f>IF([2]species_comp_Region1_forR!$D208&gt;49,[2]species_comp_Region1_forR!$N208,[2]species_comp_Region1_forR!$P208)</f>
        <v>0.37878787899999999</v>
      </c>
      <c r="P311">
        <f>IF([2]species_comp_Region1_forR!$D208&gt;49,[2]species_comp_Region1_forR!$O208,[2]species_comp_Region1_forR!$Q208)</f>
        <v>3.620117E-3</v>
      </c>
      <c r="Q311" s="13">
        <f t="shared" si="335"/>
        <v>614.39664710160105</v>
      </c>
      <c r="R311" s="2">
        <f t="shared" si="307"/>
        <v>106345.70077669204</v>
      </c>
      <c r="S311">
        <f t="shared" si="341"/>
        <v>326.10688550947839</v>
      </c>
      <c r="T311" s="6">
        <f t="shared" si="342"/>
        <v>639.16949559857767</v>
      </c>
      <c r="V311" s="13">
        <f t="shared" si="336"/>
        <v>1962.5133875616009</v>
      </c>
      <c r="W311">
        <f t="shared" si="337"/>
        <v>106520.93594076874</v>
      </c>
      <c r="X311">
        <f t="shared" si="343"/>
        <v>326.37545241756271</v>
      </c>
      <c r="Y311" s="6">
        <f t="shared" si="344"/>
        <v>639.69588673842293</v>
      </c>
      <c r="Z311" s="14">
        <f t="shared" si="334"/>
        <v>0.16630482853575856</v>
      </c>
    </row>
    <row r="312" spans="1:26" x14ac:dyDescent="0.25">
      <c r="A312" t="str">
        <f>'rockfish harvests'!A311</f>
        <v>SE</v>
      </c>
      <c r="B312">
        <f>'rockfish harvests'!B311</f>
        <v>2007</v>
      </c>
      <c r="C312" t="str">
        <f>'rockfish harvests'!C311</f>
        <v>NSEO</v>
      </c>
      <c r="D312">
        <f>'rockfish harvests'!D311</f>
        <v>4266</v>
      </c>
      <c r="E312">
        <v>2518</v>
      </c>
      <c r="F312">
        <f>IF([2]species_comp_Region1_forR!$G187&gt;49,[2]species_comp_Region1_forR!$AD187,[2]species_comp_Region1_forR!$AF187)</f>
        <v>0.97456765000000001</v>
      </c>
      <c r="G312">
        <f>IF([2]species_comp_Region1_forR!$G187&gt;49,[2]species_comp_Region1_forR!$AE187,[2]species_comp_Region1_forR!$AG187)</f>
        <v>2.5239899999999999E-5</v>
      </c>
      <c r="H312" s="7">
        <f t="shared" si="338"/>
        <v>2453.9613426999999</v>
      </c>
      <c r="I312">
        <f t="shared" si="345"/>
        <v>160.0291437276</v>
      </c>
      <c r="J312">
        <f t="shared" si="339"/>
        <v>12.65026259520331</v>
      </c>
      <c r="K312" s="6">
        <f t="shared" si="340"/>
        <v>24.794514686598486</v>
      </c>
      <c r="M312" s="2">
        <f>'rockfish harvests'!O311</f>
        <v>2262.7477079720811</v>
      </c>
      <c r="N312">
        <f>'rockfish harvests'!P311</f>
        <v>1347238.9410750614</v>
      </c>
      <c r="O312">
        <f>IF([2]species_comp_Region1_forR!$D209&gt;49,[2]species_comp_Region1_forR!$N209,[2]species_comp_Region1_forR!$P209)</f>
        <v>0.32786885199999999</v>
      </c>
      <c r="P312">
        <f>IF([2]species_comp_Region1_forR!$D209&gt;49,[2]species_comp_Region1_forR!$O209,[2]species_comp_Region1_forR!$Q209)</f>
        <v>3.6728479999999998E-3</v>
      </c>
      <c r="Q312" s="13">
        <f t="shared" si="335"/>
        <v>741.88449337843747</v>
      </c>
      <c r="R312" s="2">
        <f t="shared" si="307"/>
        <v>158682.34805672342</v>
      </c>
      <c r="S312">
        <f t="shared" si="341"/>
        <v>398.34953000690666</v>
      </c>
      <c r="T312" s="6">
        <f t="shared" si="342"/>
        <v>780.765078813537</v>
      </c>
      <c r="V312" s="13">
        <f t="shared" si="336"/>
        <v>3195.8458360784375</v>
      </c>
      <c r="W312">
        <f t="shared" si="337"/>
        <v>158842.37720045101</v>
      </c>
      <c r="X312">
        <f t="shared" si="343"/>
        <v>398.55034462467978</v>
      </c>
      <c r="Y312" s="6">
        <f t="shared" si="344"/>
        <v>781.15867546437232</v>
      </c>
      <c r="Z312" s="14">
        <f t="shared" si="334"/>
        <v>0.12470887679417397</v>
      </c>
    </row>
    <row r="313" spans="1:26" x14ac:dyDescent="0.25">
      <c r="A313" t="str">
        <f>'rockfish harvests'!A312</f>
        <v>SE</v>
      </c>
      <c r="B313">
        <f>'rockfish harvests'!B312</f>
        <v>2008</v>
      </c>
      <c r="C313" t="str">
        <f>'rockfish harvests'!C312</f>
        <v>NSEO</v>
      </c>
      <c r="D313">
        <f>'rockfish harvests'!D312</f>
        <v>5010</v>
      </c>
      <c r="E313">
        <v>3047</v>
      </c>
      <c r="F313">
        <f>IF([2]species_comp_Region1_forR!$G188&gt;49,[2]species_comp_Region1_forR!$AD188,[2]species_comp_Region1_forR!$AF188)</f>
        <v>0.99317988099999999</v>
      </c>
      <c r="G313">
        <f>IF([2]species_comp_Region1_forR!$G188&gt;49,[2]species_comp_Region1_forR!$AE188,[2]species_comp_Region1_forR!$AG188)</f>
        <v>5.7795299999999999E-6</v>
      </c>
      <c r="H313" s="7">
        <f t="shared" si="338"/>
        <v>3026.2190974069999</v>
      </c>
      <c r="I313">
        <f t="shared" si="345"/>
        <v>53.658364441769997</v>
      </c>
      <c r="J313">
        <f t="shared" si="339"/>
        <v>7.325186990225574</v>
      </c>
      <c r="K313" s="6">
        <f t="shared" si="340"/>
        <v>14.357366500842124</v>
      </c>
      <c r="M313" s="2">
        <f>'rockfish harvests'!O312</f>
        <v>2657.3760002203771</v>
      </c>
      <c r="N313">
        <f>'rockfish harvests'!P312</f>
        <v>1858139.7621286947</v>
      </c>
      <c r="O313">
        <f>IF([2]species_comp_Region1_forR!$D210&gt;49,[2]species_comp_Region1_forR!$N210,[2]species_comp_Region1_forR!$P210)</f>
        <v>0.63366336599999995</v>
      </c>
      <c r="P313">
        <f>IF([2]species_comp_Region1_forR!$D210&gt;49,[2]species_comp_Region1_forR!$O210,[2]species_comp_Region1_forR!$Q210)</f>
        <v>2.3213410000000002E-3</v>
      </c>
      <c r="Q313" s="13">
        <f t="shared" si="335"/>
        <v>1683.8818210272607</v>
      </c>
      <c r="R313" s="2">
        <f t="shared" si="307"/>
        <v>758176.60145945766</v>
      </c>
      <c r="S313">
        <f t="shared" si="341"/>
        <v>870.73336990117571</v>
      </c>
      <c r="T313" s="6">
        <f t="shared" si="342"/>
        <v>1706.6374050063043</v>
      </c>
      <c r="V313" s="13">
        <f t="shared" si="336"/>
        <v>4710.1009184342602</v>
      </c>
      <c r="W313">
        <f t="shared" si="337"/>
        <v>758230.25982389948</v>
      </c>
      <c r="X313">
        <f t="shared" si="343"/>
        <v>870.76418152327528</v>
      </c>
      <c r="Y313" s="6">
        <f t="shared" si="344"/>
        <v>1706.6977957856195</v>
      </c>
      <c r="Z313" s="14">
        <f t="shared" si="334"/>
        <v>0.18487166126638666</v>
      </c>
    </row>
    <row r="314" spans="1:26" x14ac:dyDescent="0.25">
      <c r="A314" t="str">
        <f>'rockfish harvests'!A313</f>
        <v>SE</v>
      </c>
      <c r="B314">
        <f>'rockfish harvests'!B313</f>
        <v>2009</v>
      </c>
      <c r="C314" t="str">
        <f>'rockfish harvests'!C313</f>
        <v>NSEO</v>
      </c>
      <c r="D314">
        <f>'rockfish harvests'!D313</f>
        <v>2818</v>
      </c>
      <c r="E314">
        <v>1954</v>
      </c>
      <c r="F314">
        <f>IF([2]species_comp_Region1_forR!$G189&gt;49,[2]species_comp_Region1_forR!$AD189,[2]species_comp_Region1_forR!$AF189)</f>
        <v>0.97887323900000001</v>
      </c>
      <c r="G314">
        <f>IF([2]species_comp_Region1_forR!$G189&gt;49,[2]species_comp_Region1_forR!$AE189,[2]species_comp_Region1_forR!$AG189)</f>
        <v>2.91684E-5</v>
      </c>
      <c r="H314" s="7">
        <f t="shared" si="338"/>
        <v>1912.718309006</v>
      </c>
      <c r="I314">
        <f t="shared" si="345"/>
        <v>111.36833473439999</v>
      </c>
      <c r="J314">
        <f t="shared" si="339"/>
        <v>10.553119668344522</v>
      </c>
      <c r="K314" s="6">
        <f t="shared" si="340"/>
        <v>20.684114549955261</v>
      </c>
      <c r="M314" s="2">
        <f>'rockfish harvests'!O313</f>
        <v>1494.7076983275492</v>
      </c>
      <c r="N314">
        <f>'rockfish harvests'!P313</f>
        <v>587874.87939866644</v>
      </c>
      <c r="O314">
        <f>IF([2]species_comp_Region1_forR!$D211&gt;49,[2]species_comp_Region1_forR!$N211,[2]species_comp_Region1_forR!$P211)</f>
        <v>0.35897435900000002</v>
      </c>
      <c r="P314">
        <f>IF([2]species_comp_Region1_forR!$D211&gt;49,[2]species_comp_Region1_forR!$O211,[2]species_comp_Region1_forR!$Q211)</f>
        <v>2.988465E-3</v>
      </c>
      <c r="Q314" s="13">
        <f t="shared" si="335"/>
        <v>536.56173789949742</v>
      </c>
      <c r="R314" s="2">
        <f t="shared" si="307"/>
        <v>80674.918677718932</v>
      </c>
      <c r="S314">
        <f t="shared" si="341"/>
        <v>284.03330557827007</v>
      </c>
      <c r="T314" s="6">
        <f t="shared" si="342"/>
        <v>556.70527893340932</v>
      </c>
      <c r="V314" s="13">
        <f t="shared" si="336"/>
        <v>2449.2800469054973</v>
      </c>
      <c r="W314">
        <f t="shared" si="337"/>
        <v>80786.287012453337</v>
      </c>
      <c r="X314">
        <f t="shared" si="343"/>
        <v>284.22928598660155</v>
      </c>
      <c r="Y314" s="6">
        <f t="shared" si="344"/>
        <v>557.08940053373908</v>
      </c>
      <c r="Z314" s="14">
        <f t="shared" si="334"/>
        <v>0.11604605457252892</v>
      </c>
    </row>
    <row r="315" spans="1:26" x14ac:dyDescent="0.25">
      <c r="A315" t="str">
        <f>'rockfish harvests'!A314</f>
        <v>SE</v>
      </c>
      <c r="B315">
        <f>'rockfish harvests'!B314</f>
        <v>2010</v>
      </c>
      <c r="C315" t="str">
        <f>'rockfish harvests'!C314</f>
        <v>NSEO</v>
      </c>
      <c r="D315">
        <f>'rockfish harvests'!D314</f>
        <v>4613</v>
      </c>
      <c r="E315">
        <v>2971</v>
      </c>
      <c r="F315">
        <f>IF([2]species_comp_Region1_forR!$G190&gt;49,[2]species_comp_Region1_forR!$AD190,[2]species_comp_Region1_forR!$AF190)</f>
        <v>0.96595744699999997</v>
      </c>
      <c r="G315">
        <f>IF([2]species_comp_Region1_forR!$G190&gt;49,[2]species_comp_Region1_forR!$AE190,[2]species_comp_Region1_forR!$AG190)</f>
        <v>3.50199E-5</v>
      </c>
      <c r="H315" s="7">
        <f t="shared" si="338"/>
        <v>2869.859575037</v>
      </c>
      <c r="I315">
        <f t="shared" si="345"/>
        <v>309.11508913590001</v>
      </c>
      <c r="J315">
        <f t="shared" si="339"/>
        <v>17.581669122580482</v>
      </c>
      <c r="K315" s="6">
        <f t="shared" si="340"/>
        <v>34.460071480257746</v>
      </c>
      <c r="M315" s="2">
        <f>'rockfish harvests'!O314</f>
        <v>2446.8014948136924</v>
      </c>
      <c r="N315">
        <f>'rockfish harvests'!P314</f>
        <v>1575323.7998180711</v>
      </c>
      <c r="O315">
        <f>IF([2]species_comp_Region1_forR!$D212&gt;49,[2]species_comp_Region1_forR!$N212,[2]species_comp_Region1_forR!$P212)</f>
        <v>0.54938271599999999</v>
      </c>
      <c r="P315">
        <f>IF([2]species_comp_Region1_forR!$D212&gt;49,[2]species_comp_Region1_forR!$O212,[2]species_comp_Region1_forR!$Q212)</f>
        <v>1.537648E-3</v>
      </c>
      <c r="Q315" s="13">
        <f t="shared" si="335"/>
        <v>1344.2304507336062</v>
      </c>
      <c r="R315" s="2">
        <f t="shared" si="307"/>
        <v>482249.74061418819</v>
      </c>
      <c r="S315">
        <f t="shared" si="341"/>
        <v>694.44203546025938</v>
      </c>
      <c r="T315" s="6">
        <f t="shared" si="342"/>
        <v>1361.1063895021084</v>
      </c>
      <c r="V315" s="13">
        <f t="shared" si="336"/>
        <v>4214.0900257706062</v>
      </c>
      <c r="W315">
        <f t="shared" si="337"/>
        <v>482558.85570332408</v>
      </c>
      <c r="X315">
        <f t="shared" si="343"/>
        <v>694.66456344290668</v>
      </c>
      <c r="Y315" s="6">
        <f t="shared" si="344"/>
        <v>1361.5425443480972</v>
      </c>
      <c r="Z315" s="14">
        <f t="shared" si="334"/>
        <v>0.16484331354925846</v>
      </c>
    </row>
    <row r="316" spans="1:26" x14ac:dyDescent="0.25">
      <c r="A316" t="str">
        <f>'rockfish harvests'!A315</f>
        <v>SE</v>
      </c>
      <c r="B316">
        <f>'rockfish harvests'!B315</f>
        <v>2011</v>
      </c>
      <c r="C316" t="str">
        <f>'rockfish harvests'!C315</f>
        <v>NSEO</v>
      </c>
      <c r="D316">
        <f>'rockfish harvests'!D315</f>
        <v>8950</v>
      </c>
      <c r="E316">
        <v>6832</v>
      </c>
      <c r="F316">
        <f>IF([2]species_comp_Region1_forR!$G191&gt;49,[2]species_comp_Region1_forR!$AD191,[2]species_comp_Region1_forR!$AF191)</f>
        <v>0.97652370200000005</v>
      </c>
      <c r="G316">
        <f>IF([2]species_comp_Region1_forR!$G191&gt;49,[2]species_comp_Region1_forR!$AE191,[2]species_comp_Region1_forR!$AG191)</f>
        <v>1.0354600000000001E-5</v>
      </c>
      <c r="H316" s="7">
        <f t="shared" si="338"/>
        <v>6671.6099320640005</v>
      </c>
      <c r="I316">
        <f t="shared" si="345"/>
        <v>483.31362903040002</v>
      </c>
      <c r="J316">
        <f t="shared" si="339"/>
        <v>21.984395125415663</v>
      </c>
      <c r="K316" s="6">
        <f t="shared" si="340"/>
        <v>43.089414445814697</v>
      </c>
      <c r="M316" s="2">
        <f>'rockfish harvests'!O315</f>
        <v>2109.8638720829731</v>
      </c>
      <c r="N316">
        <f>'rockfish harvests'!P315</f>
        <v>736850.51155388099</v>
      </c>
      <c r="O316">
        <f>IF([2]species_comp_Region1_forR!$D213&gt;49,[2]species_comp_Region1_forR!$N213,[2]species_comp_Region1_forR!$P213)</f>
        <v>0.55151515200000001</v>
      </c>
      <c r="P316">
        <f>IF([2]species_comp_Region1_forR!$D213&gt;49,[2]species_comp_Region1_forR!$O213,[2]species_comp_Region1_forR!$Q213)</f>
        <v>1.508208E-3</v>
      </c>
      <c r="Q316" s="13">
        <f t="shared" si="335"/>
        <v>1163.6218941111495</v>
      </c>
      <c r="R316" s="2">
        <f t="shared" si="307"/>
        <v>229729.5585245931</v>
      </c>
      <c r="S316">
        <f t="shared" si="341"/>
        <v>479.30111467071833</v>
      </c>
      <c r="T316" s="6">
        <f t="shared" si="342"/>
        <v>939.43018475460792</v>
      </c>
      <c r="V316" s="13">
        <f t="shared" si="336"/>
        <v>7835.2318261751498</v>
      </c>
      <c r="W316">
        <f t="shared" si="337"/>
        <v>230212.8721536235</v>
      </c>
      <c r="X316">
        <f t="shared" si="343"/>
        <v>479.80503556509649</v>
      </c>
      <c r="Y316" s="6">
        <f t="shared" si="344"/>
        <v>940.41786970758915</v>
      </c>
      <c r="Z316" s="14">
        <f t="shared" si="334"/>
        <v>6.1236865252947893E-2</v>
      </c>
    </row>
    <row r="317" spans="1:26" x14ac:dyDescent="0.25">
      <c r="A317" t="str">
        <f>'rockfish harvests'!A316</f>
        <v>SE</v>
      </c>
      <c r="B317">
        <f>'rockfish harvests'!B316</f>
        <v>2012</v>
      </c>
      <c r="C317" t="str">
        <f>'rockfish harvests'!C316</f>
        <v>NSEO</v>
      </c>
      <c r="D317">
        <f>'rockfish harvests'!D316</f>
        <v>8600</v>
      </c>
      <c r="E317">
        <v>6467</v>
      </c>
      <c r="F317">
        <f>IF([2]species_comp_Region1_forR!$G192&gt;49,[2]species_comp_Region1_forR!$AD192,[2]species_comp_Region1_forR!$AF192)</f>
        <v>0.95702306100000001</v>
      </c>
      <c r="G317">
        <f>IF([2]species_comp_Region1_forR!$G192&gt;49,[2]species_comp_Region1_forR!$AE192,[2]species_comp_Region1_forR!$AG192)</f>
        <v>2.1567900000000001E-5</v>
      </c>
      <c r="H317" s="7">
        <f t="shared" si="338"/>
        <v>6189.0681354870003</v>
      </c>
      <c r="I317">
        <f t="shared" si="345"/>
        <v>902.01463334310006</v>
      </c>
      <c r="J317">
        <f t="shared" si="339"/>
        <v>30.033558452888997</v>
      </c>
      <c r="K317" s="6">
        <f t="shared" si="340"/>
        <v>58.865774567662434</v>
      </c>
      <c r="M317" s="2">
        <f>'rockfish harvests'!O316</f>
        <v>4056.1403508771928</v>
      </c>
      <c r="N317">
        <f>'rockfish harvests'!P316</f>
        <v>2425591.2838210762</v>
      </c>
      <c r="O317">
        <f>IF([2]species_comp_Region1_forR!$D214&gt;49,[2]species_comp_Region1_forR!$N214,[2]species_comp_Region1_forR!$P214)</f>
        <v>0.68093385200000001</v>
      </c>
      <c r="P317">
        <f>IF([2]species_comp_Region1_forR!$D214&gt;49,[2]species_comp_Region1_forR!$O214,[2]species_comp_Region1_forR!$Q214)</f>
        <v>8.4868300000000003E-4</v>
      </c>
      <c r="Q317" s="13">
        <f t="shared" si="335"/>
        <v>2761.9632733754383</v>
      </c>
      <c r="R317" s="2">
        <f t="shared" si="307"/>
        <v>1136580.3274277952</v>
      </c>
      <c r="S317">
        <f t="shared" si="341"/>
        <v>1066.1052140515003</v>
      </c>
      <c r="T317" s="6">
        <f t="shared" si="342"/>
        <v>2089.5662195409404</v>
      </c>
      <c r="V317" s="13">
        <f t="shared" si="336"/>
        <v>8951.0314088624382</v>
      </c>
      <c r="W317">
        <f t="shared" si="337"/>
        <v>1137482.3420611382</v>
      </c>
      <c r="X317">
        <f t="shared" si="343"/>
        <v>1066.5281721835286</v>
      </c>
      <c r="Y317" s="6">
        <f t="shared" si="344"/>
        <v>2090.3952174797159</v>
      </c>
      <c r="Z317" s="14">
        <f t="shared" si="334"/>
        <v>0.11915142774804213</v>
      </c>
    </row>
    <row r="318" spans="1:26" x14ac:dyDescent="0.25">
      <c r="A318" t="str">
        <f>'rockfish harvests'!A317</f>
        <v>SE</v>
      </c>
      <c r="B318">
        <f>'rockfish harvests'!B317</f>
        <v>2013</v>
      </c>
      <c r="C318" t="str">
        <f>'rockfish harvests'!C317</f>
        <v>NSEO</v>
      </c>
      <c r="D318">
        <f>'rockfish harvests'!D317</f>
        <v>6970</v>
      </c>
      <c r="E318">
        <v>5295</v>
      </c>
      <c r="F318">
        <f>IF([2]species_comp_Region1_forR!$G193&gt;49,[2]species_comp_Region1_forR!$AD193,[2]species_comp_Region1_forR!$AF193)</f>
        <v>0.92766652999999999</v>
      </c>
      <c r="G318">
        <f>IF([2]species_comp_Region1_forR!$G193&gt;49,[2]species_comp_Region1_forR!$AE193,[2]species_comp_Region1_forR!$AG193)</f>
        <v>2.74331E-5</v>
      </c>
      <c r="H318" s="7">
        <f t="shared" si="338"/>
        <v>4911.9942763500003</v>
      </c>
      <c r="I318">
        <f t="shared" si="345"/>
        <v>769.14251052750001</v>
      </c>
      <c r="J318">
        <f t="shared" si="339"/>
        <v>27.7334186592187</v>
      </c>
      <c r="K318" s="6">
        <f t="shared" si="340"/>
        <v>54.357500572068652</v>
      </c>
      <c r="M318" s="2">
        <f>'rockfish harvests'!O317</f>
        <v>3563.4638032559742</v>
      </c>
      <c r="N318">
        <f>'rockfish harvests'!P317</f>
        <v>1983952.159720307</v>
      </c>
      <c r="O318">
        <f>IF([2]species_comp_Region1_forR!$D215&gt;49,[2]species_comp_Region1_forR!$N215,[2]species_comp_Region1_forR!$P215)</f>
        <v>0.67973856200000005</v>
      </c>
      <c r="P318">
        <f>IF([2]species_comp_Region1_forR!$D215&gt;49,[2]species_comp_Region1_forR!$O215,[2]species_comp_Region1_forR!$Q215)</f>
        <v>7.1375099999999999E-4</v>
      </c>
      <c r="Q318" s="13">
        <f t="shared" si="335"/>
        <v>2422.2237613642669</v>
      </c>
      <c r="R318" s="2">
        <f t="shared" si="307"/>
        <v>924321.56692383485</v>
      </c>
      <c r="S318">
        <f t="shared" si="341"/>
        <v>961.41643782693609</v>
      </c>
      <c r="T318" s="6">
        <f t="shared" si="342"/>
        <v>1884.3762181407947</v>
      </c>
      <c r="V318" s="13">
        <f t="shared" si="336"/>
        <v>7334.2180377142668</v>
      </c>
      <c r="W318">
        <f t="shared" si="337"/>
        <v>925090.70943436236</v>
      </c>
      <c r="X318">
        <f t="shared" si="343"/>
        <v>961.81635951691021</v>
      </c>
      <c r="Y318" s="6">
        <f t="shared" si="344"/>
        <v>1885.160064653144</v>
      </c>
      <c r="Z318" s="14">
        <f t="shared" si="334"/>
        <v>0.13114095525535582</v>
      </c>
    </row>
    <row r="319" spans="1:26" x14ac:dyDescent="0.25">
      <c r="A319" t="str">
        <f>'rockfish harvests'!A318</f>
        <v>SE</v>
      </c>
      <c r="B319">
        <f>'rockfish harvests'!B318</f>
        <v>2014</v>
      </c>
      <c r="C319" t="str">
        <f>'rockfish harvests'!C318</f>
        <v>NSEO</v>
      </c>
      <c r="D319">
        <f>'rockfish harvests'!D318</f>
        <v>8688</v>
      </c>
      <c r="E319">
        <v>6428</v>
      </c>
      <c r="F319">
        <f>IF([2]species_comp_Region1_forR!$G194&gt;49,[2]species_comp_Region1_forR!$AD194,[2]species_comp_Region1_forR!$AF194)</f>
        <v>0.93317422400000005</v>
      </c>
      <c r="G319">
        <f>IF([2]species_comp_Region1_forR!$G194&gt;49,[2]species_comp_Region1_forR!$AE194,[2]species_comp_Region1_forR!$AG194)</f>
        <v>2.97804E-5</v>
      </c>
      <c r="H319" s="7">
        <f t="shared" si="338"/>
        <v>5998.4439118720002</v>
      </c>
      <c r="I319">
        <f t="shared" si="345"/>
        <v>1230.5018271936001</v>
      </c>
      <c r="J319">
        <f t="shared" si="339"/>
        <v>35.078509477935349</v>
      </c>
      <c r="K319" s="6">
        <f t="shared" si="340"/>
        <v>68.75387857675328</v>
      </c>
      <c r="M319" s="2">
        <f>'rockfish harvests'!O318</f>
        <v>9722.2508839872025</v>
      </c>
      <c r="N319">
        <f>'rockfish harvests'!P318</f>
        <v>9687106.4801495951</v>
      </c>
      <c r="O319">
        <f>IF([2]species_comp_Region1_forR!$D216&gt;49,[2]species_comp_Region1_forR!$N216,[2]species_comp_Region1_forR!$P216)</f>
        <v>0.77358490599999996</v>
      </c>
      <c r="P319">
        <f>IF([2]species_comp_Region1_forR!$D216&gt;49,[2]species_comp_Region1_forR!$O216,[2]species_comp_Region1_forR!$Q216)</f>
        <v>4.1406899999999998E-4</v>
      </c>
      <c r="Q319" s="13">
        <f t="shared" si="335"/>
        <v>7520.9865361976563</v>
      </c>
      <c r="R319" s="2">
        <f t="shared" si="307"/>
        <v>5832217.6369927283</v>
      </c>
      <c r="S319">
        <f t="shared" si="341"/>
        <v>2414.9984755673713</v>
      </c>
      <c r="T319" s="6">
        <f t="shared" si="342"/>
        <v>4733.3970121120474</v>
      </c>
      <c r="V319" s="13">
        <f t="shared" si="336"/>
        <v>13519.430448069656</v>
      </c>
      <c r="W319">
        <f t="shared" si="337"/>
        <v>5833448.1388199218</v>
      </c>
      <c r="X319">
        <f t="shared" si="343"/>
        <v>2415.2532245749971</v>
      </c>
      <c r="Y319" s="6">
        <f t="shared" si="344"/>
        <v>4733.896320166994</v>
      </c>
      <c r="Z319" s="14">
        <f t="shared" si="334"/>
        <v>0.17865051592612424</v>
      </c>
    </row>
    <row r="320" spans="1:26" x14ac:dyDescent="0.25">
      <c r="A320" t="str">
        <f>'rockfish harvests'!A319</f>
        <v>SE</v>
      </c>
      <c r="B320">
        <f>'rockfish harvests'!B319</f>
        <v>2015</v>
      </c>
      <c r="C320" t="str">
        <f>'rockfish harvests'!C319</f>
        <v>NSEO</v>
      </c>
      <c r="D320">
        <f>'rockfish harvests'!D319</f>
        <v>9156</v>
      </c>
      <c r="E320">
        <v>6577</v>
      </c>
      <c r="F320">
        <f>IF([2]species_comp_Region1_forR!$G195&gt;49,[2]species_comp_Region1_forR!$AD195,[2]species_comp_Region1_forR!$AF195)</f>
        <v>0.95144411900000003</v>
      </c>
      <c r="G320">
        <f>IF([2]species_comp_Region1_forR!$G195&gt;49,[2]species_comp_Region1_forR!$AE195,[2]species_comp_Region1_forR!$AG195)</f>
        <v>1.9346000000000001E-5</v>
      </c>
      <c r="H320" s="7">
        <f t="shared" si="338"/>
        <v>6257.6479706629998</v>
      </c>
      <c r="I320">
        <f t="shared" si="345"/>
        <v>836.84854843400001</v>
      </c>
      <c r="J320">
        <f t="shared" si="339"/>
        <v>28.928334698596114</v>
      </c>
      <c r="K320" s="6">
        <f t="shared" si="340"/>
        <v>56.699536009248384</v>
      </c>
      <c r="M320" s="2">
        <f>'rockfish harvests'!O319</f>
        <v>4529.4803554223308</v>
      </c>
      <c r="N320">
        <f>'rockfish harvests'!P319</f>
        <v>3708908.4909766819</v>
      </c>
      <c r="O320">
        <f>IF([2]species_comp_Region1_forR!$D217&gt;49,[2]species_comp_Region1_forR!$N217,[2]species_comp_Region1_forR!$P217)</f>
        <v>0.619808307</v>
      </c>
      <c r="P320">
        <f>IF([2]species_comp_Region1_forR!$D217&gt;49,[2]species_comp_Region1_forR!$O217,[2]species_comp_Region1_forR!$Q217)</f>
        <v>7.5527600000000004E-4</v>
      </c>
      <c r="Q320" s="13">
        <f t="shared" si="335"/>
        <v>2807.4095506840731</v>
      </c>
      <c r="R320" s="2">
        <f t="shared" si="307"/>
        <v>1437517.0932722152</v>
      </c>
      <c r="S320">
        <f t="shared" si="341"/>
        <v>1198.9650091942697</v>
      </c>
      <c r="T320" s="6">
        <f t="shared" si="342"/>
        <v>2349.9714180207684</v>
      </c>
      <c r="V320" s="13">
        <f t="shared" si="336"/>
        <v>9065.0575213470729</v>
      </c>
      <c r="W320">
        <f t="shared" si="337"/>
        <v>1438353.9418206492</v>
      </c>
      <c r="X320">
        <f t="shared" si="343"/>
        <v>1199.3139463129114</v>
      </c>
      <c r="Y320" s="6">
        <f t="shared" si="344"/>
        <v>2350.6553347733065</v>
      </c>
      <c r="Z320" s="14">
        <f t="shared" si="334"/>
        <v>0.13230075413075731</v>
      </c>
    </row>
    <row r="321" spans="1:26" x14ac:dyDescent="0.25">
      <c r="A321" t="str">
        <f>'rockfish harvests'!A320</f>
        <v>SE</v>
      </c>
      <c r="B321">
        <f>'rockfish harvests'!B320</f>
        <v>2016</v>
      </c>
      <c r="C321" t="str">
        <f>'rockfish harvests'!C320</f>
        <v>NSEO</v>
      </c>
      <c r="D321">
        <f>'rockfish harvests'!D320</f>
        <v>5839</v>
      </c>
      <c r="E321">
        <v>4347</v>
      </c>
      <c r="F321">
        <f>IF([2]species_comp_Region1_forR!$G196&gt;49,[2]species_comp_Region1_forR!$AD196,[2]species_comp_Region1_forR!$AF196)</f>
        <v>0.90388349499999998</v>
      </c>
      <c r="G321">
        <f>IF([2]species_comp_Region1_forR!$G196&gt;49,[2]species_comp_Region1_forR!$AE196,[2]species_comp_Region1_forR!$AG196)</f>
        <v>4.2194299999999997E-5</v>
      </c>
      <c r="H321" s="7">
        <f t="shared" si="338"/>
        <v>3929.1815527650001</v>
      </c>
      <c r="I321">
        <f t="shared" si="345"/>
        <v>797.32075026869995</v>
      </c>
      <c r="J321">
        <f t="shared" si="339"/>
        <v>28.236868634264315</v>
      </c>
      <c r="K321" s="6">
        <f t="shared" si="340"/>
        <v>55.344262523158058</v>
      </c>
      <c r="M321" s="2">
        <f>'rockfish harvests'!O320</f>
        <v>1660.6278507924235</v>
      </c>
      <c r="N321">
        <f>'rockfish harvests'!P320</f>
        <v>405106.18509878113</v>
      </c>
      <c r="O321">
        <f>IF([2]species_comp_Region1_forR!$D218&gt;49,[2]species_comp_Region1_forR!$N218,[2]species_comp_Region1_forR!$P218)</f>
        <v>0.67330677299999997</v>
      </c>
      <c r="P321">
        <f>IF([2]species_comp_Region1_forR!$D218&gt;49,[2]species_comp_Region1_forR!$O218,[2]species_comp_Region1_forR!$Q218)</f>
        <v>4.3905099999999998E-4</v>
      </c>
      <c r="Q321" s="13">
        <f t="shared" si="335"/>
        <v>1118.111979370972</v>
      </c>
      <c r="R321" s="2">
        <f t="shared" si="307"/>
        <v>184684.55446536076</v>
      </c>
      <c r="S321">
        <f t="shared" si="341"/>
        <v>429.74940891798883</v>
      </c>
      <c r="T321" s="6">
        <f t="shared" si="342"/>
        <v>842.30884147925815</v>
      </c>
      <c r="V321" s="13">
        <f t="shared" si="336"/>
        <v>5047.2935321359719</v>
      </c>
      <c r="W321">
        <f t="shared" si="337"/>
        <v>185481.87521562946</v>
      </c>
      <c r="X321">
        <f t="shared" si="343"/>
        <v>430.67606761419825</v>
      </c>
      <c r="Y321" s="6">
        <f t="shared" si="344"/>
        <v>844.12509252382858</v>
      </c>
      <c r="Z321" s="14">
        <f t="shared" si="334"/>
        <v>8.5328119886845535E-2</v>
      </c>
    </row>
    <row r="322" spans="1:26" x14ac:dyDescent="0.25">
      <c r="A322" t="str">
        <f>'rockfish harvests'!A321</f>
        <v>SE</v>
      </c>
      <c r="B322">
        <f>'rockfish harvests'!B321</f>
        <v>2017</v>
      </c>
      <c r="C322" t="str">
        <f>'rockfish harvests'!C321</f>
        <v>NSEO</v>
      </c>
      <c r="D322">
        <f>'rockfish harvests'!D321</f>
        <v>9211</v>
      </c>
      <c r="E322">
        <v>7495</v>
      </c>
      <c r="F322">
        <f>IF([2]species_comp_Region1_forR!$G197&gt;49,[2]species_comp_Region1_forR!$AD197,[2]species_comp_Region1_forR!$AF197)</f>
        <v>0.90132827299999996</v>
      </c>
      <c r="G322">
        <f>IF([2]species_comp_Region1_forR!$G197&gt;49,[2]species_comp_Region1_forR!$AE197,[2]species_comp_Region1_forR!$AG197)</f>
        <v>3.3764499999999998E-5</v>
      </c>
      <c r="H322" s="7">
        <f t="shared" si="338"/>
        <v>6755.455406135</v>
      </c>
      <c r="I322">
        <f t="shared" si="345"/>
        <v>1896.7216316125</v>
      </c>
      <c r="J322">
        <f t="shared" si="339"/>
        <v>43.551367735267512</v>
      </c>
      <c r="K322" s="6">
        <f t="shared" si="340"/>
        <v>85.360680761124328</v>
      </c>
      <c r="M322" s="2">
        <f>'rockfish harvests'!O321</f>
        <v>6867.0171471927151</v>
      </c>
      <c r="N322">
        <f>'rockfish harvests'!P321</f>
        <v>4662505.6656814301</v>
      </c>
      <c r="O322">
        <f>IF([2]species_comp_Region1_forR!$D219&gt;49,[2]species_comp_Region1_forR!$N219,[2]species_comp_Region1_forR!$P219)</f>
        <v>0.74463937599999996</v>
      </c>
      <c r="P322">
        <f>IF([2]species_comp_Region1_forR!$D219&gt;49,[2]species_comp_Region1_forR!$O219,[2]species_comp_Region1_forR!$Q219)</f>
        <v>3.7138999999999998E-4</v>
      </c>
      <c r="Q322" s="13">
        <f t="shared" si="335"/>
        <v>5113.4513634668829</v>
      </c>
      <c r="R322" s="2">
        <f t="shared" si="307"/>
        <v>2601084.1412226344</v>
      </c>
      <c r="S322">
        <f t="shared" si="341"/>
        <v>1612.7876925443827</v>
      </c>
      <c r="T322" s="6">
        <f t="shared" si="342"/>
        <v>3161.06387738699</v>
      </c>
      <c r="V322" s="13">
        <f t="shared" si="336"/>
        <v>11868.906769601883</v>
      </c>
      <c r="W322">
        <f t="shared" si="337"/>
        <v>2602980.862854247</v>
      </c>
      <c r="X322">
        <f t="shared" si="343"/>
        <v>1613.3756112121712</v>
      </c>
      <c r="Y322" s="6">
        <f t="shared" si="344"/>
        <v>3162.2161979758553</v>
      </c>
      <c r="Z322" s="14">
        <f t="shared" si="334"/>
        <v>0.13593295848816314</v>
      </c>
    </row>
    <row r="323" spans="1:26" x14ac:dyDescent="0.25">
      <c r="A323" t="str">
        <f>'rockfish harvests'!A322</f>
        <v>SE</v>
      </c>
      <c r="B323">
        <f>'rockfish harvests'!B322</f>
        <v>2018</v>
      </c>
      <c r="C323" t="str">
        <f>'rockfish harvests'!C322</f>
        <v>NSEO</v>
      </c>
      <c r="D323">
        <f>'rockfish harvests'!D322</f>
        <v>11024</v>
      </c>
      <c r="E323">
        <v>9189</v>
      </c>
      <c r="F323">
        <f>IF([2]species_comp_Region1_forR!$G198&gt;49,[2]species_comp_Region1_forR!$AD198,[2]species_comp_Region1_forR!$AF198)</f>
        <v>0.91278524500000002</v>
      </c>
      <c r="G323">
        <f>IF([2]species_comp_Region1_forR!$G198&gt;49,[2]species_comp_Region1_forR!$AE198,[2]species_comp_Region1_forR!$AG198)</f>
        <v>2.4893200000000001E-5</v>
      </c>
      <c r="H323" s="7">
        <f t="shared" si="338"/>
        <v>8387.5836163050008</v>
      </c>
      <c r="I323">
        <f t="shared" si="345"/>
        <v>2101.9250763972</v>
      </c>
      <c r="J323">
        <f t="shared" si="339"/>
        <v>45.846756443582791</v>
      </c>
      <c r="K323" s="6">
        <f t="shared" si="340"/>
        <v>89.859642629422268</v>
      </c>
      <c r="M323" s="2">
        <f>'rockfish harvests'!O322</f>
        <v>7836.8836407058479</v>
      </c>
      <c r="N323">
        <f>'rockfish harvests'!P322</f>
        <v>7422148.5356027149</v>
      </c>
      <c r="O323">
        <f>IF([2]species_comp_Region1_forR!$D220&gt;49,[2]species_comp_Region1_forR!$N220,[2]species_comp_Region1_forR!$P220)</f>
        <v>0.73885350299999997</v>
      </c>
      <c r="P323">
        <f>IF([2]species_comp_Region1_forR!$D220&gt;49,[2]species_comp_Region1_forR!$O220,[2]species_comp_Region1_forR!$Q220)</f>
        <v>4.1052999999999999E-4</v>
      </c>
      <c r="Q323" s="13">
        <f t="shared" si="335"/>
        <v>5790.3089305389085</v>
      </c>
      <c r="R323" s="2">
        <f t="shared" si="307"/>
        <v>4073950.6788230101</v>
      </c>
      <c r="S323">
        <f>SQRT(R323)</f>
        <v>2018.4030020843236</v>
      </c>
      <c r="T323" s="6">
        <f t="shared" si="342"/>
        <v>3956.0698840852742</v>
      </c>
      <c r="V323" s="13">
        <f t="shared" si="336"/>
        <v>14177.892546843908</v>
      </c>
      <c r="W323" s="14">
        <f>R323+I323</f>
        <v>4076052.6038994072</v>
      </c>
      <c r="X323">
        <f>SQRT(W323)</f>
        <v>2018.9236250783256</v>
      </c>
      <c r="Y323" s="6">
        <f>(1.96*X323)</f>
        <v>3957.0903051535179</v>
      </c>
      <c r="Z323" s="14">
        <f t="shared" si="334"/>
        <v>0.1423994164441422</v>
      </c>
    </row>
    <row r="324" spans="1:26" x14ac:dyDescent="0.25">
      <c r="A324" t="str">
        <f>'rockfish harvests'!A323</f>
        <v>SE</v>
      </c>
      <c r="B324">
        <f>'rockfish harvests'!B323</f>
        <v>2019</v>
      </c>
      <c r="C324" t="str">
        <f>'rockfish harvests'!C323</f>
        <v>NSEO</v>
      </c>
      <c r="D324">
        <f>'rockfish harvests'!D323</f>
        <v>11553</v>
      </c>
      <c r="E324">
        <v>9925</v>
      </c>
      <c r="F324">
        <v>0.88785347043701801</v>
      </c>
      <c r="G324">
        <v>3.20056848183739E-5</v>
      </c>
      <c r="H324" s="7">
        <f>E324*F324</f>
        <v>8811.9456940874043</v>
      </c>
      <c r="I324">
        <f>(E324^2)*G324</f>
        <v>3152.7399865869324</v>
      </c>
      <c r="J324">
        <f>SQRT(I324)</f>
        <v>56.149265236394079</v>
      </c>
      <c r="K324" s="6">
        <f>(1.96*J324)</f>
        <v>110.05255986333239</v>
      </c>
      <c r="M324" s="2">
        <f>'rockfish harvests'!O323</f>
        <v>6640.6634516724807</v>
      </c>
      <c r="N324">
        <f>'rockfish harvests'!P323</f>
        <v>4892127.8553123055</v>
      </c>
      <c r="O324">
        <v>0.77339901477832518</v>
      </c>
      <c r="P324">
        <v>2.8824503078658082E-4</v>
      </c>
      <c r="Q324" s="13">
        <f>M324*O324</f>
        <v>5135.8825709979292</v>
      </c>
      <c r="R324" s="2">
        <f>(M324^2)*P324+(O324^2)*N324-(P324*N324)</f>
        <v>2937507.9008688363</v>
      </c>
      <c r="S324">
        <f>SQRT(R324)</f>
        <v>1713.9159550190425</v>
      </c>
      <c r="T324" s="6">
        <f>(1.96*S324)</f>
        <v>3359.2752718373231</v>
      </c>
      <c r="V324" s="13">
        <f>Q324+H324</f>
        <v>13947.828265085333</v>
      </c>
      <c r="W324">
        <f>R324+I324</f>
        <v>2940660.6408554232</v>
      </c>
      <c r="X324">
        <f>SQRT(W324)</f>
        <v>1714.8354559127308</v>
      </c>
      <c r="Y324" s="6">
        <f>(1.96*X324)</f>
        <v>3361.0774935889522</v>
      </c>
      <c r="Z324" s="14">
        <f t="shared" si="334"/>
        <v>0.12294641311331342</v>
      </c>
    </row>
    <row r="325" spans="1:26" x14ac:dyDescent="0.25">
      <c r="A325" t="str">
        <f>'rockfish harvests'!A324</f>
        <v>SE</v>
      </c>
      <c r="B325">
        <f>'rockfish harvests'!B324</f>
        <v>2020</v>
      </c>
      <c r="C325" t="str">
        <f>'rockfish harvests'!C324</f>
        <v>NSEO</v>
      </c>
      <c r="D325">
        <f>'rockfish harvests'!D324</f>
        <v>3314</v>
      </c>
      <c r="E325">
        <v>3142</v>
      </c>
      <c r="F325" t="s">
        <v>301</v>
      </c>
      <c r="G325" t="s">
        <v>302</v>
      </c>
      <c r="H325" s="7">
        <f t="shared" ref="H325" si="372">E325*F325</f>
        <v>3049.5882352941185</v>
      </c>
      <c r="I325">
        <f t="shared" ref="I325" si="373">(E325^2)*G325</f>
        <v>1179.1541023005354</v>
      </c>
      <c r="J325">
        <f t="shared" ref="J325" si="374">SQRT(I325)</f>
        <v>34.338813350209634</v>
      </c>
      <c r="K325" s="6">
        <f t="shared" ref="K325" si="375">(1.96*J325)</f>
        <v>67.304074166410885</v>
      </c>
      <c r="M325" s="2">
        <f>'rockfish harvests'!O324</f>
        <v>1085.5719163465646</v>
      </c>
      <c r="N325">
        <f>'rockfish harvests'!P324</f>
        <v>110201.41937596143</v>
      </c>
      <c r="O325" s="26">
        <f>O250</f>
        <v>0.88378378378378375</v>
      </c>
      <c r="P325" s="26">
        <f>P250</f>
        <v>2.7834690326450384E-4</v>
      </c>
      <c r="Q325" s="13">
        <f t="shared" ref="Q325:Q326" si="376">M325*O325</f>
        <v>959.41085579818002</v>
      </c>
      <c r="R325" s="2">
        <f t="shared" ref="R325:R326" si="377">(M325^2)*P325+(O325^2)*N325-(P325*N325)</f>
        <v>86372.787050551662</v>
      </c>
      <c r="S325">
        <f t="shared" ref="S325" si="378">SQRT(R325)</f>
        <v>293.89247532142036</v>
      </c>
      <c r="T325" s="6">
        <f t="shared" ref="T325:T326" si="379">(1.96*S325)</f>
        <v>576.02925162998395</v>
      </c>
      <c r="V325" s="13">
        <f t="shared" ref="V325:V326" si="380">Q325+H325</f>
        <v>4008.9990910922984</v>
      </c>
      <c r="W325">
        <f t="shared" ref="W325" si="381">R325+I325</f>
        <v>87551.941152852203</v>
      </c>
      <c r="X325">
        <f t="shared" ref="X325" si="382">SQRT(W325)</f>
        <v>295.89177270220307</v>
      </c>
      <c r="Y325" s="6">
        <f t="shared" ref="Y325" si="383">(1.96*X325)</f>
        <v>579.94787449631804</v>
      </c>
      <c r="Z325" s="14">
        <f t="shared" ref="Z325:Z326" si="384">X325/V325</f>
        <v>7.3806894433987996E-2</v>
      </c>
    </row>
    <row r="326" spans="1:26" x14ac:dyDescent="0.25">
      <c r="A326" t="str">
        <f>'rockfish harvests'!A325</f>
        <v>SE</v>
      </c>
      <c r="B326">
        <f>'rockfish harvests'!B325</f>
        <v>2021</v>
      </c>
      <c r="C326" t="str">
        <f>'rockfish harvests'!C325</f>
        <v>NSEO</v>
      </c>
      <c r="D326">
        <f>'rockfish harvests'!D325</f>
        <v>9732</v>
      </c>
      <c r="E326">
        <v>9094</v>
      </c>
      <c r="F326" t="s">
        <v>303</v>
      </c>
      <c r="G326" t="s">
        <v>304</v>
      </c>
      <c r="H326" s="7">
        <f>E326*F326</f>
        <v>7756.647058823527</v>
      </c>
      <c r="I326">
        <f>(E326^2)*G326</f>
        <v>61019.851516385119</v>
      </c>
      <c r="J326">
        <f>SQRT(I326)</f>
        <v>247.02196565565808</v>
      </c>
      <c r="K326" s="6">
        <f>(1.96*J326)</f>
        <v>484.16305268508984</v>
      </c>
      <c r="M326" s="2">
        <f>'rockfish harvests'!O325</f>
        <v>6262.8946783553529</v>
      </c>
      <c r="N326">
        <f>'rockfish harvests'!P325</f>
        <v>3588518.0359388059</v>
      </c>
      <c r="O326" s="26">
        <f>O251</f>
        <v>0.89787234042553188</v>
      </c>
      <c r="P326" s="26">
        <f>P251</f>
        <v>1.9551727233328288E-4</v>
      </c>
      <c r="Q326" s="13">
        <f t="shared" si="376"/>
        <v>5623.279902693529</v>
      </c>
      <c r="R326" s="2">
        <f t="shared" si="377"/>
        <v>2899939.916391958</v>
      </c>
      <c r="S326">
        <f>SQRT(R326)</f>
        <v>1702.9209953465129</v>
      </c>
      <c r="T326" s="6">
        <f t="shared" si="379"/>
        <v>3337.7251508791651</v>
      </c>
      <c r="V326" s="13">
        <f t="shared" si="380"/>
        <v>13379.926961517056</v>
      </c>
      <c r="W326" s="14">
        <f>R326+I326</f>
        <v>2960959.7679083431</v>
      </c>
      <c r="X326">
        <f>SQRT(W326)</f>
        <v>1720.7439576846821</v>
      </c>
      <c r="Y326" s="6">
        <f>(1.96*X326)</f>
        <v>3372.6581570619769</v>
      </c>
      <c r="Z326" s="14">
        <f t="shared" si="384"/>
        <v>0.12860637899099406</v>
      </c>
    </row>
    <row r="327" spans="1:26" s="51" customFormat="1" x14ac:dyDescent="0.25">
      <c r="A327" s="51" t="s">
        <v>151</v>
      </c>
      <c r="B327" s="51">
        <v>2022</v>
      </c>
      <c r="C327" s="51" t="s">
        <v>41</v>
      </c>
      <c r="D327">
        <f>'rockfish harvests'!D326</f>
        <v>10558</v>
      </c>
      <c r="E327" s="51">
        <v>9674</v>
      </c>
      <c r="F327" t="s">
        <v>191</v>
      </c>
      <c r="G327" t="s">
        <v>305</v>
      </c>
      <c r="H327" s="7">
        <f>E327*F327</f>
        <v>8407.004915730342</v>
      </c>
      <c r="I327">
        <f>(E327^2)*G327</f>
        <v>3516.5513046091874</v>
      </c>
      <c r="J327">
        <f>SQRT(I327)</f>
        <v>59.300516900016881</v>
      </c>
      <c r="K327" s="6">
        <f>(1.96*J327)</f>
        <v>116.22901312403309</v>
      </c>
      <c r="M327" s="2">
        <f>'rockfish harvests'!O326</f>
        <v>4984.0158085410021</v>
      </c>
      <c r="N327">
        <f>'rockfish harvests'!P326</f>
        <v>3116937.6581412847</v>
      </c>
      <c r="O327" t="s">
        <v>192</v>
      </c>
      <c r="P327" t="s">
        <v>193</v>
      </c>
      <c r="Q327" s="13">
        <f t="shared" ref="Q327" si="385">M327*O327</f>
        <v>4474.7794107118143</v>
      </c>
      <c r="R327" s="2">
        <f t="shared" ref="R327" si="386">(M327^2)*P327+(O327^2)*N327-(P327*N327)</f>
        <v>2516879.1115414263</v>
      </c>
      <c r="S327">
        <f>SQRT(R327)</f>
        <v>1586.4674946375126</v>
      </c>
      <c r="T327" s="6">
        <f t="shared" ref="T327" si="387">(1.96*S327)</f>
        <v>3109.4762894895248</v>
      </c>
      <c r="U327"/>
      <c r="V327" s="13">
        <f t="shared" ref="V327" si="388">Q327+H327</f>
        <v>12881.784326442157</v>
      </c>
      <c r="W327" s="14">
        <f>R327+I327</f>
        <v>2520395.6628460353</v>
      </c>
      <c r="X327">
        <f>SQRT(W327)</f>
        <v>1587.5754038300151</v>
      </c>
      <c r="Y327" s="6">
        <f>(1.96*X327)</f>
        <v>3111.6477915068294</v>
      </c>
      <c r="Z327" s="14">
        <f t="shared" ref="Z327" si="389">X327/V327</f>
        <v>0.12324188665162122</v>
      </c>
    </row>
    <row r="328" spans="1:26" x14ac:dyDescent="0.25">
      <c r="A328" t="str">
        <f>'rockfish harvests'!A327</f>
        <v>SE</v>
      </c>
      <c r="B328">
        <f>'rockfish harvests'!B327</f>
        <v>1998</v>
      </c>
      <c r="C328" t="str">
        <f>'rockfish harvests'!C327</f>
        <v>SSEI</v>
      </c>
      <c r="D328">
        <f>'rockfish harvests'!D327</f>
        <v>6261</v>
      </c>
      <c r="E328">
        <v>2769</v>
      </c>
      <c r="F328" s="32">
        <v>0.82777370100000003</v>
      </c>
      <c r="G328" s="32">
        <v>4.4111050000000002E-3</v>
      </c>
      <c r="H328" s="7">
        <f t="shared" si="338"/>
        <v>2292.1053780689999</v>
      </c>
      <c r="I328">
        <f t="shared" si="345"/>
        <v>33821.534443905002</v>
      </c>
      <c r="J328">
        <f t="shared" si="339"/>
        <v>183.90631974977097</v>
      </c>
      <c r="K328" s="6">
        <f t="shared" si="340"/>
        <v>360.45638670955111</v>
      </c>
      <c r="M328" s="2">
        <f>'rockfish harvests'!O327</f>
        <v>7422.4767633387146</v>
      </c>
      <c r="N328">
        <f>'rockfish harvests'!P327</f>
        <v>2528282.455604976</v>
      </c>
      <c r="O328" s="32">
        <v>0.102415992</v>
      </c>
      <c r="P328" s="32">
        <v>1.7392600000000001E-3</v>
      </c>
      <c r="Q328" s="13">
        <f t="shared" si="335"/>
        <v>760.18032081428362</v>
      </c>
      <c r="R328" s="2">
        <f t="shared" si="307"/>
        <v>117943.2354047985</v>
      </c>
      <c r="S328">
        <f t="shared" si="341"/>
        <v>343.42864674455814</v>
      </c>
      <c r="T328" s="6">
        <f t="shared" si="342"/>
        <v>673.12014761933392</v>
      </c>
      <c r="V328" s="13">
        <f t="shared" si="336"/>
        <v>3052.2856988832837</v>
      </c>
      <c r="W328">
        <f t="shared" si="337"/>
        <v>151764.76984870349</v>
      </c>
      <c r="X328">
        <f t="shared" si="343"/>
        <v>389.56998068216637</v>
      </c>
      <c r="Y328" s="6">
        <f t="shared" si="344"/>
        <v>763.55716213704613</v>
      </c>
      <c r="Z328" s="14">
        <f t="shared" si="334"/>
        <v>0.12763221372910646</v>
      </c>
    </row>
    <row r="329" spans="1:26" x14ac:dyDescent="0.25">
      <c r="A329" t="str">
        <f>'rockfish harvests'!A328</f>
        <v>SE</v>
      </c>
      <c r="B329">
        <f>'rockfish harvests'!B328</f>
        <v>1999</v>
      </c>
      <c r="C329" t="str">
        <f>'rockfish harvests'!C328</f>
        <v>SSEI</v>
      </c>
      <c r="D329">
        <f>'rockfish harvests'!D328</f>
        <v>7370</v>
      </c>
      <c r="E329">
        <v>3832</v>
      </c>
      <c r="F329" s="32">
        <v>0.82777370100000003</v>
      </c>
      <c r="G329" s="32">
        <v>4.4111050000000002E-3</v>
      </c>
      <c r="H329" s="7">
        <f t="shared" si="338"/>
        <v>3172.028822232</v>
      </c>
      <c r="I329">
        <f t="shared" si="345"/>
        <v>64773.653907520005</v>
      </c>
      <c r="J329">
        <f t="shared" si="339"/>
        <v>254.5066873532403</v>
      </c>
      <c r="K329" s="6">
        <f t="shared" si="340"/>
        <v>498.83310721235097</v>
      </c>
      <c r="M329" s="2">
        <f>'rockfish harvests'!O328</f>
        <v>8737.2071148069517</v>
      </c>
      <c r="N329">
        <f>'rockfish harvests'!P328</f>
        <v>3503266.3626943887</v>
      </c>
      <c r="O329" s="32">
        <v>0.102415992</v>
      </c>
      <c r="P329" s="32">
        <v>1.7392600000000001E-3</v>
      </c>
      <c r="Q329" s="13">
        <f t="shared" si="335"/>
        <v>894.82973397241187</v>
      </c>
      <c r="R329" s="2">
        <f t="shared" si="307"/>
        <v>163425.79460810588</v>
      </c>
      <c r="S329">
        <f t="shared" si="341"/>
        <v>404.25956340958203</v>
      </c>
      <c r="T329" s="6">
        <f t="shared" si="342"/>
        <v>792.34874428278079</v>
      </c>
      <c r="V329" s="13">
        <f t="shared" si="336"/>
        <v>4066.8585562044118</v>
      </c>
      <c r="W329">
        <f t="shared" si="337"/>
        <v>228199.44851562587</v>
      </c>
      <c r="X329">
        <f t="shared" si="343"/>
        <v>477.70225927414856</v>
      </c>
      <c r="Y329" s="6">
        <f t="shared" si="344"/>
        <v>936.29642817733111</v>
      </c>
      <c r="Z329" s="14">
        <f t="shared" si="334"/>
        <v>0.11746222610701927</v>
      </c>
    </row>
    <row r="330" spans="1:26" x14ac:dyDescent="0.25">
      <c r="A330" t="str">
        <f>'rockfish harvests'!A329</f>
        <v>SE</v>
      </c>
      <c r="B330">
        <f>'rockfish harvests'!B329</f>
        <v>2000</v>
      </c>
      <c r="C330" t="str">
        <f>'rockfish harvests'!C329</f>
        <v>SSEI</v>
      </c>
      <c r="D330">
        <f>'rockfish harvests'!D329</f>
        <v>11989</v>
      </c>
      <c r="E330">
        <v>5112</v>
      </c>
      <c r="F330" s="32">
        <v>0.82777370100000003</v>
      </c>
      <c r="G330" s="32">
        <v>4.4111050000000002E-3</v>
      </c>
      <c r="H330" s="7">
        <f t="shared" si="338"/>
        <v>4231.5791595119999</v>
      </c>
      <c r="I330">
        <f t="shared" si="345"/>
        <v>115273.39550112</v>
      </c>
      <c r="J330">
        <f t="shared" si="339"/>
        <v>339.51935953803871</v>
      </c>
      <c r="K330" s="6">
        <f t="shared" si="340"/>
        <v>665.45794469455586</v>
      </c>
      <c r="M330" s="2">
        <f>'rockfish harvests'!O329</f>
        <v>14213.076811318933</v>
      </c>
      <c r="N330">
        <f>'rockfish harvests'!P329</f>
        <v>9270520.1843895838</v>
      </c>
      <c r="O330" s="32">
        <v>0.102415992</v>
      </c>
      <c r="P330" s="32">
        <v>1.7392600000000001E-3</v>
      </c>
      <c r="Q330" s="13">
        <f t="shared" si="335"/>
        <v>1455.6463610034255</v>
      </c>
      <c r="R330" s="2">
        <f t="shared" si="307"/>
        <v>432465.5823199015</v>
      </c>
      <c r="S330">
        <f t="shared" si="341"/>
        <v>657.62115410006504</v>
      </c>
      <c r="T330" s="6">
        <f t="shared" si="342"/>
        <v>1288.9374620361275</v>
      </c>
      <c r="V330" s="13">
        <f t="shared" si="336"/>
        <v>5687.2255205154252</v>
      </c>
      <c r="W330">
        <f t="shared" si="337"/>
        <v>547738.97782102146</v>
      </c>
      <c r="X330">
        <f t="shared" si="343"/>
        <v>740.09389797580513</v>
      </c>
      <c r="Y330" s="6">
        <f t="shared" si="344"/>
        <v>1450.5840400325781</v>
      </c>
      <c r="Z330" s="14">
        <f t="shared" si="334"/>
        <v>0.13013267986403526</v>
      </c>
    </row>
    <row r="331" spans="1:26" x14ac:dyDescent="0.25">
      <c r="A331" t="str">
        <f>'rockfish harvests'!A330</f>
        <v>SE</v>
      </c>
      <c r="B331">
        <f>'rockfish harvests'!B330</f>
        <v>2001</v>
      </c>
      <c r="C331" t="str">
        <f>'rockfish harvests'!C330</f>
        <v>SSEI</v>
      </c>
      <c r="D331">
        <f>'rockfish harvests'!D330</f>
        <v>9348</v>
      </c>
      <c r="E331">
        <v>4514</v>
      </c>
      <c r="F331" s="32">
        <v>0.82777370100000003</v>
      </c>
      <c r="G331" s="32">
        <v>4.4111050000000002E-3</v>
      </c>
      <c r="H331" s="7">
        <f t="shared" si="338"/>
        <v>3736.5704863139999</v>
      </c>
      <c r="I331">
        <f t="shared" si="345"/>
        <v>89881.540056580008</v>
      </c>
      <c r="J331">
        <f t="shared" si="339"/>
        <v>299.80250175170323</v>
      </c>
      <c r="K331" s="6">
        <f t="shared" si="340"/>
        <v>587.61290343333837</v>
      </c>
      <c r="M331" s="2">
        <f>'rockfish harvests'!O330</f>
        <v>11082.145469364368</v>
      </c>
      <c r="N331">
        <f>'rockfish harvests'!P330</f>
        <v>5636059.7796220118</v>
      </c>
      <c r="O331" s="32">
        <v>0.102415992</v>
      </c>
      <c r="P331" s="32">
        <v>1.7392600000000001E-3</v>
      </c>
      <c r="Q331" s="13">
        <f t="shared" si="335"/>
        <v>1134.9889217332573</v>
      </c>
      <c r="R331" s="2">
        <f t="shared" si="307"/>
        <v>262919.64486397378</v>
      </c>
      <c r="S331">
        <f t="shared" si="341"/>
        <v>512.75690620797468</v>
      </c>
      <c r="T331" s="6">
        <f t="shared" si="342"/>
        <v>1005.0035361676304</v>
      </c>
      <c r="V331" s="13">
        <f t="shared" si="336"/>
        <v>4871.5594080472574</v>
      </c>
      <c r="W331">
        <f t="shared" si="337"/>
        <v>352801.18492055382</v>
      </c>
      <c r="X331">
        <f t="shared" si="343"/>
        <v>593.97069365462289</v>
      </c>
      <c r="Y331" s="6">
        <f t="shared" si="344"/>
        <v>1164.1825595630607</v>
      </c>
      <c r="Z331" s="14">
        <f t="shared" si="334"/>
        <v>0.12192619321719682</v>
      </c>
    </row>
    <row r="332" spans="1:26" x14ac:dyDescent="0.25">
      <c r="A332" t="str">
        <f>'rockfish harvests'!A331</f>
        <v>SE</v>
      </c>
      <c r="B332">
        <f>'rockfish harvests'!B331</f>
        <v>2002</v>
      </c>
      <c r="C332" t="str">
        <f>'rockfish harvests'!C331</f>
        <v>SSEI</v>
      </c>
      <c r="D332">
        <f>'rockfish harvests'!D331</f>
        <v>8033</v>
      </c>
      <c r="E332">
        <v>3969</v>
      </c>
      <c r="F332" s="32">
        <v>0.82777370100000003</v>
      </c>
      <c r="G332" s="32">
        <v>4.4111050000000002E-3</v>
      </c>
      <c r="H332" s="7">
        <f t="shared" si="338"/>
        <v>3285.4338192690002</v>
      </c>
      <c r="I332">
        <f t="shared" si="345"/>
        <v>69487.965031904998</v>
      </c>
      <c r="J332">
        <f t="shared" si="339"/>
        <v>263.60569992301947</v>
      </c>
      <c r="K332" s="6">
        <f t="shared" si="340"/>
        <v>516.66717184911818</v>
      </c>
      <c r="M332" s="2">
        <f>'rockfish harvests'!O331</f>
        <v>9523.200102204104</v>
      </c>
      <c r="N332">
        <f>'rockfish harvests'!P331</f>
        <v>4161919.8980246014</v>
      </c>
      <c r="O332" s="32">
        <v>0.102415992</v>
      </c>
      <c r="P332" s="32">
        <v>1.7392600000000001E-3</v>
      </c>
      <c r="Q332" s="13">
        <f t="shared" si="335"/>
        <v>975.32798548173469</v>
      </c>
      <c r="R332" s="2">
        <f t="shared" si="307"/>
        <v>194151.68474567193</v>
      </c>
      <c r="S332">
        <f t="shared" si="341"/>
        <v>440.62646850327991</v>
      </c>
      <c r="T332" s="6">
        <f t="shared" si="342"/>
        <v>863.62787826642864</v>
      </c>
      <c r="V332" s="13">
        <f t="shared" si="336"/>
        <v>4260.7618047507349</v>
      </c>
      <c r="W332">
        <f t="shared" si="337"/>
        <v>263639.64977757691</v>
      </c>
      <c r="X332">
        <f t="shared" si="343"/>
        <v>513.45851806896428</v>
      </c>
      <c r="Y332" s="6">
        <f t="shared" si="344"/>
        <v>1006.37869541517</v>
      </c>
      <c r="Z332" s="14">
        <f t="shared" si="334"/>
        <v>0.1205086183171422</v>
      </c>
    </row>
    <row r="333" spans="1:26" x14ac:dyDescent="0.25">
      <c r="A333" t="str">
        <f>'rockfish harvests'!A332</f>
        <v>SE</v>
      </c>
      <c r="B333">
        <f>'rockfish harvests'!B332</f>
        <v>2003</v>
      </c>
      <c r="C333" t="str">
        <f>'rockfish harvests'!C332</f>
        <v>SSEI</v>
      </c>
      <c r="D333">
        <f>'rockfish harvests'!D332</f>
        <v>11263</v>
      </c>
      <c r="E333">
        <v>5648</v>
      </c>
      <c r="F333" s="32">
        <v>0.82777370100000003</v>
      </c>
      <c r="G333" s="32">
        <v>4.4111050000000002E-3</v>
      </c>
      <c r="H333" s="7">
        <f t="shared" si="338"/>
        <v>4675.2658632479997</v>
      </c>
      <c r="I333">
        <f t="shared" si="345"/>
        <v>140713.82603392002</v>
      </c>
      <c r="J333">
        <f t="shared" si="339"/>
        <v>375.11841601542307</v>
      </c>
      <c r="K333" s="6">
        <f t="shared" si="340"/>
        <v>735.23209539022923</v>
      </c>
      <c r="M333" s="2">
        <f>'rockfish harvests'!O332</f>
        <v>13352.396707472279</v>
      </c>
      <c r="N333">
        <f>'rockfish harvests'!P332</f>
        <v>8181752.760036231</v>
      </c>
      <c r="O333" s="32">
        <v>0.102415992</v>
      </c>
      <c r="P333" s="32">
        <v>1.7392600000000001E-3</v>
      </c>
      <c r="Q333" s="13">
        <f t="shared" si="335"/>
        <v>1367.4989543733072</v>
      </c>
      <c r="R333" s="2">
        <f t="shared" si="307"/>
        <v>381675.07339282177</v>
      </c>
      <c r="S333">
        <f t="shared" si="341"/>
        <v>617.79857024180762</v>
      </c>
      <c r="T333" s="6">
        <f t="shared" si="342"/>
        <v>1210.8851976739429</v>
      </c>
      <c r="V333" s="13">
        <f t="shared" si="336"/>
        <v>6042.764817621307</v>
      </c>
      <c r="W333">
        <f t="shared" si="337"/>
        <v>522388.89942674176</v>
      </c>
      <c r="X333">
        <f t="shared" si="343"/>
        <v>722.76476078094856</v>
      </c>
      <c r="Y333" s="6">
        <f t="shared" si="344"/>
        <v>1416.6189311306591</v>
      </c>
      <c r="Z333" s="14">
        <f t="shared" si="334"/>
        <v>0.1196082890191745</v>
      </c>
    </row>
    <row r="334" spans="1:26" x14ac:dyDescent="0.25">
      <c r="A334" t="str">
        <f>'rockfish harvests'!A333</f>
        <v>SE</v>
      </c>
      <c r="B334">
        <f>'rockfish harvests'!B333</f>
        <v>2004</v>
      </c>
      <c r="C334" t="str">
        <f>'rockfish harvests'!C333</f>
        <v>SSEI</v>
      </c>
      <c r="D334">
        <f>'rockfish harvests'!D333</f>
        <v>13195</v>
      </c>
      <c r="E334">
        <v>5266</v>
      </c>
      <c r="F334" s="32">
        <v>0.82777370100000003</v>
      </c>
      <c r="G334" s="32">
        <v>4.4111050000000002E-3</v>
      </c>
      <c r="H334" s="7">
        <f t="shared" si="338"/>
        <v>4359.0563094660001</v>
      </c>
      <c r="I334">
        <f t="shared" si="345"/>
        <v>122323.27644538</v>
      </c>
      <c r="J334">
        <f t="shared" si="339"/>
        <v>349.74744666027226</v>
      </c>
      <c r="K334" s="6">
        <f t="shared" si="340"/>
        <v>685.50499545413356</v>
      </c>
      <c r="M334" s="2">
        <f>'rockfish harvests'!O333</f>
        <v>15642.801611923707</v>
      </c>
      <c r="N334">
        <f>'rockfish harvests'!P333</f>
        <v>11229410.873184105</v>
      </c>
      <c r="O334" s="32">
        <v>0.102415992</v>
      </c>
      <c r="P334" s="32">
        <v>1.7392600000000001E-3</v>
      </c>
      <c r="Q334" s="13">
        <f t="shared" si="335"/>
        <v>1602.0730447443655</v>
      </c>
      <c r="R334" s="2">
        <f t="shared" si="307"/>
        <v>523846.94879996777</v>
      </c>
      <c r="S334">
        <f t="shared" si="341"/>
        <v>723.77271902163307</v>
      </c>
      <c r="T334" s="6">
        <f t="shared" si="342"/>
        <v>1418.5945292824008</v>
      </c>
      <c r="V334" s="13">
        <f t="shared" si="336"/>
        <v>5961.1293542103658</v>
      </c>
      <c r="W334">
        <f t="shared" si="337"/>
        <v>646170.22524534771</v>
      </c>
      <c r="X334">
        <f t="shared" si="343"/>
        <v>803.84714047220928</v>
      </c>
      <c r="Y334" s="6">
        <f t="shared" si="344"/>
        <v>1575.5403953255302</v>
      </c>
      <c r="Z334" s="14">
        <f t="shared" si="334"/>
        <v>0.13484812905535246</v>
      </c>
    </row>
    <row r="335" spans="1:26" x14ac:dyDescent="0.25">
      <c r="A335" t="str">
        <f>'rockfish harvests'!A334</f>
        <v>SE</v>
      </c>
      <c r="B335">
        <f>'rockfish harvests'!B334</f>
        <v>2005</v>
      </c>
      <c r="C335" t="str">
        <f>'rockfish harvests'!C334</f>
        <v>SSEI</v>
      </c>
      <c r="D335">
        <f>'rockfish harvests'!D334</f>
        <v>15329</v>
      </c>
      <c r="E335">
        <v>5745</v>
      </c>
      <c r="F335" s="32">
        <v>0.82777370100000003</v>
      </c>
      <c r="G335" s="32">
        <v>4.4111050000000002E-3</v>
      </c>
      <c r="H335" s="7">
        <f t="shared" si="338"/>
        <v>4755.5599122450003</v>
      </c>
      <c r="I335">
        <f t="shared" si="345"/>
        <v>145588.630802625</v>
      </c>
      <c r="J335">
        <f t="shared" si="339"/>
        <v>381.56078257942733</v>
      </c>
      <c r="K335" s="6">
        <f t="shared" si="340"/>
        <v>747.85913385567756</v>
      </c>
      <c r="M335" s="2">
        <f>'rockfish harvests'!O334</f>
        <v>18172.679492927513</v>
      </c>
      <c r="N335">
        <f>'rockfish harvests'!P334</f>
        <v>15155345.162562583</v>
      </c>
      <c r="O335" s="32">
        <v>0.102415992</v>
      </c>
      <c r="P335" s="32">
        <v>1.7392600000000001E-3</v>
      </c>
      <c r="Q335" s="13">
        <f t="shared" si="335"/>
        <v>1861.1729975662281</v>
      </c>
      <c r="R335" s="2">
        <f t="shared" ref="R335:R373" si="390">(M335^2)*P335+(O335^2)*N335-(P335*N335)</f>
        <v>706990.01141523209</v>
      </c>
      <c r="S335">
        <f t="shared" si="341"/>
        <v>840.8269806656017</v>
      </c>
      <c r="T335" s="6">
        <f t="shared" si="342"/>
        <v>1648.0208821045792</v>
      </c>
      <c r="V335" s="13">
        <f t="shared" si="336"/>
        <v>6616.7329098112286</v>
      </c>
      <c r="W335">
        <f t="shared" si="337"/>
        <v>852578.64221785706</v>
      </c>
      <c r="X335">
        <f t="shared" si="343"/>
        <v>923.35185179749169</v>
      </c>
      <c r="Y335" s="6">
        <f t="shared" si="344"/>
        <v>1809.7696295230837</v>
      </c>
      <c r="Z335" s="14">
        <f t="shared" si="334"/>
        <v>0.13954800116358851</v>
      </c>
    </row>
    <row r="336" spans="1:26" x14ac:dyDescent="0.25">
      <c r="A336" t="str">
        <f>'rockfish harvests'!A335</f>
        <v>SE</v>
      </c>
      <c r="B336">
        <f>'rockfish harvests'!B335</f>
        <v>2006</v>
      </c>
      <c r="C336" t="str">
        <f>'rockfish harvests'!C335</f>
        <v>SSEI</v>
      </c>
      <c r="D336">
        <f>'rockfish harvests'!D335</f>
        <v>17714</v>
      </c>
      <c r="E336">
        <v>6326</v>
      </c>
      <c r="F336">
        <f>IF([2]species_comp_Region1_forR!$G230&gt;49,[2]species_comp_Region1_forR!$AD230,[2]species_comp_Region1_forR!$AF230)</f>
        <v>0.87912087900000002</v>
      </c>
      <c r="G336">
        <f>IF([2]species_comp_Region1_forR!$G230&gt;49,[2]species_comp_Region1_forR!$AE230,[2]species_comp_Region1_forR!$AG230)</f>
        <v>2.9274800000000001E-4</v>
      </c>
      <c r="H336" s="7">
        <f t="shared" si="338"/>
        <v>5561.3186805539999</v>
      </c>
      <c r="I336">
        <f t="shared" si="345"/>
        <v>11715.270262448001</v>
      </c>
      <c r="J336">
        <f t="shared" si="339"/>
        <v>108.23710206046724</v>
      </c>
      <c r="K336" s="6">
        <f t="shared" si="340"/>
        <v>212.14472003851577</v>
      </c>
      <c r="M336" s="2">
        <f>'rockfish harvests'!O335</f>
        <v>21000.120329944417</v>
      </c>
      <c r="N336">
        <f>'rockfish harvests'!P335</f>
        <v>20238180.459821593</v>
      </c>
      <c r="O336">
        <f>IF([2]species_comp_Region1_forR!$D252&gt;49,[2]species_comp_Region1_forR!$N252,[2]species_comp_Region1_forR!$P252)</f>
        <v>9.9099098999999996E-2</v>
      </c>
      <c r="P336">
        <f>IF([2]species_comp_Region1_forR!$D252&gt;49,[2]species_comp_Region1_forR!$O252,[2]species_comp_Region1_forR!$Q252)</f>
        <v>7.3179100000000005E-5</v>
      </c>
      <c r="Q336" s="13">
        <f t="shared" si="335"/>
        <v>2081.0930035890742</v>
      </c>
      <c r="R336" s="2">
        <f t="shared" si="390"/>
        <v>229543.05206633979</v>
      </c>
      <c r="S336">
        <f t="shared" si="341"/>
        <v>479.10651432258754</v>
      </c>
      <c r="T336" s="6">
        <f t="shared" si="342"/>
        <v>939.04876807227151</v>
      </c>
      <c r="V336" s="13">
        <f t="shared" si="336"/>
        <v>7642.4116841430741</v>
      </c>
      <c r="W336">
        <f t="shared" si="337"/>
        <v>241258.32232878779</v>
      </c>
      <c r="X336">
        <f t="shared" si="343"/>
        <v>491.18053944429414</v>
      </c>
      <c r="Y336" s="6">
        <f t="shared" si="344"/>
        <v>962.71385731081648</v>
      </c>
      <c r="Z336" s="14">
        <f t="shared" si="334"/>
        <v>6.4270358591571874E-2</v>
      </c>
    </row>
    <row r="337" spans="1:26" x14ac:dyDescent="0.25">
      <c r="A337" t="str">
        <f>'rockfish harvests'!A336</f>
        <v>SE</v>
      </c>
      <c r="B337">
        <f>'rockfish harvests'!B336</f>
        <v>2007</v>
      </c>
      <c r="C337" t="str">
        <f>'rockfish harvests'!C336</f>
        <v>SSEI</v>
      </c>
      <c r="D337">
        <f>'rockfish harvests'!D336</f>
        <v>20368</v>
      </c>
      <c r="E337">
        <v>8353</v>
      </c>
      <c r="F337">
        <f>IF([2]species_comp_Region1_forR!$G231&gt;49,[2]species_comp_Region1_forR!$AD231,[2]species_comp_Region1_forR!$AF231)</f>
        <v>0.735294118</v>
      </c>
      <c r="G337">
        <f>IF([2]species_comp_Region1_forR!$G231&gt;49,[2]species_comp_Region1_forR!$AE231,[2]species_comp_Region1_forR!$AG231)</f>
        <v>9.5880100000000001E-4</v>
      </c>
      <c r="H337" s="7">
        <f t="shared" si="338"/>
        <v>6141.911767654</v>
      </c>
      <c r="I337">
        <f t="shared" si="345"/>
        <v>66898.047281809006</v>
      </c>
      <c r="J337">
        <f t="shared" si="339"/>
        <v>258.64656827765759</v>
      </c>
      <c r="K337" s="6">
        <f t="shared" si="340"/>
        <v>506.94727382420888</v>
      </c>
      <c r="M337" s="2">
        <f>'rockfish harvests'!O336</f>
        <v>24146.463299102848</v>
      </c>
      <c r="N337">
        <f>'rockfish harvests'!P336</f>
        <v>26756848.278906163</v>
      </c>
      <c r="O337">
        <f>IF([2]species_comp_Region1_forR!$D253&gt;49,[2]species_comp_Region1_forR!$N253,[2]species_comp_Region1_forR!$P253)</f>
        <v>7.7938404000000003E-2</v>
      </c>
      <c r="P337">
        <f>IF([2]species_comp_Region1_forR!$D253&gt;49,[2]species_comp_Region1_forR!$O253,[2]species_comp_Region1_forR!$Q253)</f>
        <v>4.5197500000000002E-5</v>
      </c>
      <c r="Q337" s="13">
        <f t="shared" si="335"/>
        <v>1881.9368117766508</v>
      </c>
      <c r="R337" s="2">
        <f t="shared" si="390"/>
        <v>187674.79663533025</v>
      </c>
      <c r="S337">
        <f t="shared" si="341"/>
        <v>433.21449264230557</v>
      </c>
      <c r="T337" s="6">
        <f t="shared" si="342"/>
        <v>849.10040557891887</v>
      </c>
      <c r="V337" s="13">
        <f t="shared" si="336"/>
        <v>8023.8485794306507</v>
      </c>
      <c r="W337">
        <f t="shared" si="337"/>
        <v>254572.84391713925</v>
      </c>
      <c r="X337">
        <f t="shared" si="343"/>
        <v>504.55212210151217</v>
      </c>
      <c r="Y337" s="6">
        <f t="shared" si="344"/>
        <v>988.92215931896385</v>
      </c>
      <c r="Z337" s="14">
        <f t="shared" si="334"/>
        <v>6.2881560775579062E-2</v>
      </c>
    </row>
    <row r="338" spans="1:26" x14ac:dyDescent="0.25">
      <c r="A338" t="str">
        <f>'rockfish harvests'!A337</f>
        <v>SE</v>
      </c>
      <c r="B338">
        <f>'rockfish harvests'!B337</f>
        <v>2008</v>
      </c>
      <c r="C338" t="str">
        <f>'rockfish harvests'!C337</f>
        <v>SSEI</v>
      </c>
      <c r="D338">
        <f>'rockfish harvests'!D337</f>
        <v>18756</v>
      </c>
      <c r="E338">
        <v>8206</v>
      </c>
      <c r="F338">
        <f>IF([2]species_comp_Region1_forR!$G232&gt;49,[2]species_comp_Region1_forR!$AD232,[2]species_comp_Region1_forR!$AF232)</f>
        <v>0.90157480300000004</v>
      </c>
      <c r="G338">
        <f>IF([2]species_comp_Region1_forR!$G232&gt;49,[2]species_comp_Region1_forR!$AE232,[2]species_comp_Region1_forR!$AG232)</f>
        <v>3.5074200000000002E-4</v>
      </c>
      <c r="H338" s="7">
        <f t="shared" si="338"/>
        <v>7398.3228334180003</v>
      </c>
      <c r="I338">
        <f t="shared" si="345"/>
        <v>23618.417719512003</v>
      </c>
      <c r="J338">
        <f t="shared" si="339"/>
        <v>153.68284783772066</v>
      </c>
      <c r="K338" s="6">
        <f t="shared" si="340"/>
        <v>301.21838176193251</v>
      </c>
      <c r="M338" s="2">
        <f>'rockfish harvests'!O337</f>
        <v>22235.421525823498</v>
      </c>
      <c r="N338">
        <f>'rockfish harvests'!P337</f>
        <v>22689171.172948774</v>
      </c>
      <c r="O338">
        <f>IF([2]species_comp_Region1_forR!$D254&gt;49,[2]species_comp_Region1_forR!$N254,[2]species_comp_Region1_forR!$P254)</f>
        <v>0.12551953399999999</v>
      </c>
      <c r="P338">
        <f>IF([2]species_comp_Region1_forR!$D254&gt;49,[2]species_comp_Region1_forR!$O254,[2]species_comp_Region1_forR!$Q254)</f>
        <v>9.1318100000000002E-5</v>
      </c>
      <c r="Q338" s="13">
        <f t="shared" si="335"/>
        <v>2790.9797482149343</v>
      </c>
      <c r="R338" s="2">
        <f t="shared" si="390"/>
        <v>400548.38509323023</v>
      </c>
      <c r="S338">
        <f t="shared" si="341"/>
        <v>632.88892002722741</v>
      </c>
      <c r="T338" s="6">
        <f t="shared" si="342"/>
        <v>1240.4622832533657</v>
      </c>
      <c r="V338" s="13">
        <f t="shared" si="336"/>
        <v>10189.302581632935</v>
      </c>
      <c r="W338">
        <f t="shared" si="337"/>
        <v>424166.80281274224</v>
      </c>
      <c r="X338">
        <f t="shared" si="343"/>
        <v>651.28089394111839</v>
      </c>
      <c r="Y338" s="6">
        <f t="shared" si="344"/>
        <v>1276.5105521245921</v>
      </c>
      <c r="Z338" s="14">
        <f t="shared" si="334"/>
        <v>6.3918103199242141E-2</v>
      </c>
    </row>
    <row r="339" spans="1:26" x14ac:dyDescent="0.25">
      <c r="A339" t="str">
        <f>'rockfish harvests'!A338</f>
        <v>SE</v>
      </c>
      <c r="B339">
        <f>'rockfish harvests'!B338</f>
        <v>2009</v>
      </c>
      <c r="C339" t="str">
        <f>'rockfish harvests'!C338</f>
        <v>SSEI</v>
      </c>
      <c r="D339">
        <f>'rockfish harvests'!D338</f>
        <v>14837</v>
      </c>
      <c r="E339">
        <v>6518</v>
      </c>
      <c r="F339">
        <f>IF([2]species_comp_Region1_forR!$G233&gt;49,[2]species_comp_Region1_forR!$AD233,[2]species_comp_Region1_forR!$AF233)</f>
        <v>0.85066666700000004</v>
      </c>
      <c r="G339">
        <f>IF([2]species_comp_Region1_forR!$G233&gt;49,[2]species_comp_Region1_forR!$AE233,[2]species_comp_Region1_forR!$AG233)</f>
        <v>3.3965999999999998E-4</v>
      </c>
      <c r="H339" s="7">
        <f t="shared" si="338"/>
        <v>5544.6453355060003</v>
      </c>
      <c r="I339">
        <f t="shared" si="345"/>
        <v>14430.225489839999</v>
      </c>
      <c r="J339">
        <f t="shared" si="339"/>
        <v>120.12587352373342</v>
      </c>
      <c r="K339" s="6">
        <f t="shared" si="340"/>
        <v>235.44671210651748</v>
      </c>
      <c r="M339" s="2">
        <f>'rockfish harvests'!O338</f>
        <v>17589.408678750442</v>
      </c>
      <c r="N339">
        <f>'rockfish harvests'!P338</f>
        <v>14198104.777272861</v>
      </c>
      <c r="O339">
        <f>IF([2]species_comp_Region1_forR!$D255&gt;49,[2]species_comp_Region1_forR!$N255,[2]species_comp_Region1_forR!$P255)</f>
        <v>9.0297791000000002E-2</v>
      </c>
      <c r="P339">
        <f>IF([2]species_comp_Region1_forR!$D255&gt;49,[2]species_comp_Region1_forR!$O255,[2]species_comp_Region1_forR!$Q255)</f>
        <v>7.8984699999999996E-5</v>
      </c>
      <c r="Q339" s="13">
        <f t="shared" si="335"/>
        <v>1588.2847486873936</v>
      </c>
      <c r="R339" s="2">
        <f t="shared" si="390"/>
        <v>139082.38982772967</v>
      </c>
      <c r="S339">
        <f t="shared" si="341"/>
        <v>372.93751464250641</v>
      </c>
      <c r="T339" s="6">
        <f t="shared" si="342"/>
        <v>730.95752869931255</v>
      </c>
      <c r="V339" s="13">
        <f t="shared" si="336"/>
        <v>7132.9300841933937</v>
      </c>
      <c r="W339">
        <f t="shared" si="337"/>
        <v>153512.61531756967</v>
      </c>
      <c r="X339">
        <f t="shared" si="343"/>
        <v>391.80685971224352</v>
      </c>
      <c r="Y339" s="6">
        <f t="shared" si="344"/>
        <v>767.94144503599728</v>
      </c>
      <c r="Z339" s="14">
        <f t="shared" si="334"/>
        <v>5.4929300454029314E-2</v>
      </c>
    </row>
    <row r="340" spans="1:26" x14ac:dyDescent="0.25">
      <c r="A340" t="str">
        <f>'rockfish harvests'!A339</f>
        <v>SE</v>
      </c>
      <c r="B340">
        <f>'rockfish harvests'!B339</f>
        <v>2010</v>
      </c>
      <c r="C340" t="str">
        <f>'rockfish harvests'!C339</f>
        <v>SSEI</v>
      </c>
      <c r="D340">
        <f>'rockfish harvests'!D339</f>
        <v>20015</v>
      </c>
      <c r="E340">
        <v>8957</v>
      </c>
      <c r="F340">
        <f>IF([2]species_comp_Region1_forR!$G234&gt;49,[2]species_comp_Region1_forR!$AD234,[2]species_comp_Region1_forR!$AF234)</f>
        <v>0.90256410300000001</v>
      </c>
      <c r="G340">
        <f>IF([2]species_comp_Region1_forR!$G234&gt;49,[2]species_comp_Region1_forR!$AE234,[2]species_comp_Region1_forR!$AG234)</f>
        <v>2.2607200000000001E-4</v>
      </c>
      <c r="H340" s="7">
        <f t="shared" si="338"/>
        <v>8084.2666705709998</v>
      </c>
      <c r="I340">
        <f t="shared" si="345"/>
        <v>18137.270279128003</v>
      </c>
      <c r="J340">
        <f t="shared" si="339"/>
        <v>134.67468314099722</v>
      </c>
      <c r="K340" s="6">
        <f t="shared" si="340"/>
        <v>263.96237895635454</v>
      </c>
      <c r="M340" s="2">
        <f>'rockfish harvests'!O339</f>
        <v>23727.978345028649</v>
      </c>
      <c r="N340">
        <f>'rockfish harvests'!P339</f>
        <v>25837433.526771665</v>
      </c>
      <c r="O340">
        <f>IF([2]species_comp_Region1_forR!$D256&gt;49,[2]species_comp_Region1_forR!$N256,[2]species_comp_Region1_forR!$P256)</f>
        <v>9.6687555999999994E-2</v>
      </c>
      <c r="P340">
        <f>IF([2]species_comp_Region1_forR!$D256&gt;49,[2]species_comp_Region1_forR!$O256,[2]species_comp_Region1_forR!$Q256)</f>
        <v>7.8260800000000001E-5</v>
      </c>
      <c r="Q340" s="13">
        <f t="shared" si="335"/>
        <v>2294.2002350017447</v>
      </c>
      <c r="R340" s="2">
        <f t="shared" si="390"/>
        <v>283580.91982550023</v>
      </c>
      <c r="S340">
        <f t="shared" si="341"/>
        <v>532.52316365159197</v>
      </c>
      <c r="T340" s="6">
        <f t="shared" si="342"/>
        <v>1043.7454007571203</v>
      </c>
      <c r="V340" s="13">
        <f t="shared" si="336"/>
        <v>10378.466905572745</v>
      </c>
      <c r="W340">
        <f t="shared" si="337"/>
        <v>301718.19010462821</v>
      </c>
      <c r="X340">
        <f t="shared" si="343"/>
        <v>549.28880391341329</v>
      </c>
      <c r="Y340" s="6">
        <f t="shared" si="344"/>
        <v>1076.6060556702901</v>
      </c>
      <c r="Z340" s="14">
        <f t="shared" si="334"/>
        <v>5.2925813505120996E-2</v>
      </c>
    </row>
    <row r="341" spans="1:26" x14ac:dyDescent="0.25">
      <c r="A341" t="str">
        <f>'rockfish harvests'!A340</f>
        <v>SE</v>
      </c>
      <c r="B341">
        <f>'rockfish harvests'!B340</f>
        <v>2011</v>
      </c>
      <c r="C341" t="str">
        <f>'rockfish harvests'!C340</f>
        <v>SSEI</v>
      </c>
      <c r="D341">
        <f>'rockfish harvests'!D340</f>
        <v>17328</v>
      </c>
      <c r="E341">
        <v>9231</v>
      </c>
      <c r="F341">
        <f>IF([2]species_comp_Region1_forR!$G235&gt;49,[2]species_comp_Region1_forR!$AD235,[2]species_comp_Region1_forR!$AF235)</f>
        <v>0.84631360300000003</v>
      </c>
      <c r="G341">
        <f>IF([2]species_comp_Region1_forR!$G235&gt;49,[2]species_comp_Region1_forR!$AE235,[2]species_comp_Region1_forR!$AG235)</f>
        <v>1.35205E-4</v>
      </c>
      <c r="H341" s="7">
        <f t="shared" si="338"/>
        <v>7812.3208692930002</v>
      </c>
      <c r="I341">
        <f t="shared" si="345"/>
        <v>11521.002064005001</v>
      </c>
      <c r="J341">
        <f t="shared" si="339"/>
        <v>107.33593090854991</v>
      </c>
      <c r="K341" s="6">
        <f t="shared" si="340"/>
        <v>210.37842458075784</v>
      </c>
      <c r="M341" s="2">
        <f>'rockfish harvests'!O340</f>
        <v>26057.656259472569</v>
      </c>
      <c r="N341">
        <f>'rockfish harvests'!P340</f>
        <v>22721971.694568597</v>
      </c>
      <c r="O341">
        <f>IF([2]species_comp_Region1_forR!$D257&gt;49,[2]species_comp_Region1_forR!$N257,[2]species_comp_Region1_forR!$P257)</f>
        <v>9.6648479999999995E-2</v>
      </c>
      <c r="P341">
        <f>IF([2]species_comp_Region1_forR!$D257&gt;49,[2]species_comp_Region1_forR!$O257,[2]species_comp_Region1_forR!$Q257)</f>
        <v>6.8102599999999994E-5</v>
      </c>
      <c r="Q341" s="13">
        <f t="shared" si="335"/>
        <v>2518.4328698405093</v>
      </c>
      <c r="R341" s="2">
        <f t="shared" si="390"/>
        <v>256938.65599264964</v>
      </c>
      <c r="S341">
        <f t="shared" si="341"/>
        <v>506.89116779901548</v>
      </c>
      <c r="T341" s="6">
        <f t="shared" si="342"/>
        <v>993.50668888607026</v>
      </c>
      <c r="V341" s="13">
        <f t="shared" si="336"/>
        <v>10330.75373913351</v>
      </c>
      <c r="W341">
        <f t="shared" si="337"/>
        <v>268459.65805665462</v>
      </c>
      <c r="X341">
        <f t="shared" si="343"/>
        <v>518.13092752378202</v>
      </c>
      <c r="Y341" s="6">
        <f t="shared" si="344"/>
        <v>1015.5366179466128</v>
      </c>
      <c r="Z341" s="14">
        <f t="shared" si="334"/>
        <v>5.0154223070972184E-2</v>
      </c>
    </row>
    <row r="342" spans="1:26" x14ac:dyDescent="0.25">
      <c r="A342" t="str">
        <f>'rockfish harvests'!A341</f>
        <v>SE</v>
      </c>
      <c r="B342">
        <f>'rockfish harvests'!B341</f>
        <v>2012</v>
      </c>
      <c r="C342" t="str">
        <f>'rockfish harvests'!C341</f>
        <v>SSEI</v>
      </c>
      <c r="D342">
        <f>'rockfish harvests'!D341</f>
        <v>20908</v>
      </c>
      <c r="E342">
        <v>9031</v>
      </c>
      <c r="F342">
        <f>IF([2]species_comp_Region1_forR!$G236&gt;49,[2]species_comp_Region1_forR!$AD236,[2]species_comp_Region1_forR!$AF236)</f>
        <v>0.89322381900000003</v>
      </c>
      <c r="G342">
        <f>IF([2]species_comp_Region1_forR!$G236&gt;49,[2]species_comp_Region1_forR!$AE236,[2]species_comp_Region1_forR!$AG236)</f>
        <v>1.96245E-4</v>
      </c>
      <c r="H342" s="7">
        <f t="shared" si="338"/>
        <v>8066.7043093890006</v>
      </c>
      <c r="I342">
        <f t="shared" si="345"/>
        <v>16005.538301445</v>
      </c>
      <c r="J342">
        <f t="shared" si="339"/>
        <v>126.51299657128116</v>
      </c>
      <c r="K342" s="6">
        <f t="shared" si="340"/>
        <v>247.96547327971109</v>
      </c>
      <c r="M342" s="2">
        <f>'rockfish harvests'!O341</f>
        <v>30342.239687848378</v>
      </c>
      <c r="N342">
        <f>'rockfish harvests'!P341</f>
        <v>23087012.957423236</v>
      </c>
      <c r="O342">
        <f>IF([2]species_comp_Region1_forR!$D258&gt;49,[2]species_comp_Region1_forR!$N258,[2]species_comp_Region1_forR!$P258)</f>
        <v>3.5132819000000003E-2</v>
      </c>
      <c r="P342">
        <f>IF([2]species_comp_Region1_forR!$D258&gt;49,[2]species_comp_Region1_forR!$O258,[2]species_comp_Region1_forR!$Q258)</f>
        <v>2.90725E-5</v>
      </c>
      <c r="Q342" s="13">
        <f t="shared" si="335"/>
        <v>1066.0084150077937</v>
      </c>
      <c r="R342" s="2">
        <f t="shared" si="390"/>
        <v>54591.08954559228</v>
      </c>
      <c r="S342">
        <f t="shared" si="341"/>
        <v>233.64736152071626</v>
      </c>
      <c r="T342" s="6">
        <f t="shared" si="342"/>
        <v>457.94882858060384</v>
      </c>
      <c r="V342" s="13">
        <f t="shared" si="336"/>
        <v>9132.7127243967952</v>
      </c>
      <c r="W342">
        <f t="shared" si="337"/>
        <v>70596.627847037278</v>
      </c>
      <c r="X342">
        <f t="shared" si="343"/>
        <v>265.70025940340605</v>
      </c>
      <c r="Y342" s="6">
        <f t="shared" si="344"/>
        <v>520.77250843067588</v>
      </c>
      <c r="Z342" s="14">
        <f t="shared" si="334"/>
        <v>2.9093246160434245E-2</v>
      </c>
    </row>
    <row r="343" spans="1:26" x14ac:dyDescent="0.25">
      <c r="A343" t="str">
        <f>'rockfish harvests'!A342</f>
        <v>SE</v>
      </c>
      <c r="B343">
        <f>'rockfish harvests'!B342</f>
        <v>2013</v>
      </c>
      <c r="C343" t="str">
        <f>'rockfish harvests'!C342</f>
        <v>SSEI</v>
      </c>
      <c r="D343">
        <f>'rockfish harvests'!D342</f>
        <v>24779</v>
      </c>
      <c r="E343">
        <v>11207</v>
      </c>
      <c r="F343">
        <f>IF([2]species_comp_Region1_forR!$G237&gt;49,[2]species_comp_Region1_forR!$AD237,[2]species_comp_Region1_forR!$AF237)</f>
        <v>0.81181619299999996</v>
      </c>
      <c r="G343">
        <f>IF([2]species_comp_Region1_forR!$G237&gt;49,[2]species_comp_Region1_forR!$AE237,[2]species_comp_Region1_forR!$AG237)</f>
        <v>3.3502299999999999E-4</v>
      </c>
      <c r="H343" s="7">
        <f t="shared" si="338"/>
        <v>9098.0240749509994</v>
      </c>
      <c r="I343">
        <f t="shared" si="345"/>
        <v>42077.833142527001</v>
      </c>
      <c r="J343">
        <f t="shared" si="339"/>
        <v>205.12882084808805</v>
      </c>
      <c r="K343" s="6">
        <f t="shared" si="340"/>
        <v>402.05248886225257</v>
      </c>
      <c r="M343" s="2">
        <f>'rockfish harvests'!O342</f>
        <v>34267.842065821518</v>
      </c>
      <c r="N343">
        <f>'rockfish harvests'!P342</f>
        <v>37595985.131994449</v>
      </c>
      <c r="O343">
        <f>IF([2]species_comp_Region1_forR!$D259&gt;49,[2]species_comp_Region1_forR!$N259,[2]species_comp_Region1_forR!$P259)</f>
        <v>0.12667091</v>
      </c>
      <c r="P343">
        <f>IF([2]species_comp_Region1_forR!$D259&gt;49,[2]species_comp_Region1_forR!$O259,[2]species_comp_Region1_forR!$Q259)</f>
        <v>7.0462000000000004E-5</v>
      </c>
      <c r="Q343" s="13">
        <f t="shared" si="335"/>
        <v>4340.7387382138913</v>
      </c>
      <c r="R343" s="2">
        <f t="shared" si="390"/>
        <v>683340.49166486866</v>
      </c>
      <c r="S343">
        <f t="shared" si="341"/>
        <v>826.64411427461857</v>
      </c>
      <c r="T343" s="6">
        <f t="shared" si="342"/>
        <v>1620.2224639782523</v>
      </c>
      <c r="V343" s="13">
        <f t="shared" si="336"/>
        <v>13438.762813164891</v>
      </c>
      <c r="W343">
        <f t="shared" si="337"/>
        <v>725418.32480739569</v>
      </c>
      <c r="X343">
        <f t="shared" si="343"/>
        <v>851.71493165694574</v>
      </c>
      <c r="Y343" s="6">
        <f t="shared" si="344"/>
        <v>1669.3612660476135</v>
      </c>
      <c r="Z343" s="14">
        <f t="shared" si="334"/>
        <v>6.3377480762037711E-2</v>
      </c>
    </row>
    <row r="344" spans="1:26" x14ac:dyDescent="0.25">
      <c r="A344" t="str">
        <f>'rockfish harvests'!A343</f>
        <v>SE</v>
      </c>
      <c r="B344">
        <f>'rockfish harvests'!B343</f>
        <v>2014</v>
      </c>
      <c r="C344" t="str">
        <f>'rockfish harvests'!C343</f>
        <v>SSEI</v>
      </c>
      <c r="D344">
        <f>'rockfish harvests'!D343</f>
        <v>25686</v>
      </c>
      <c r="E344">
        <v>10668</v>
      </c>
      <c r="F344">
        <f>IF([2]species_comp_Region1_forR!$G238&gt;49,[2]species_comp_Region1_forR!$AD238,[2]species_comp_Region1_forR!$AF238)</f>
        <v>0.84560143600000004</v>
      </c>
      <c r="G344">
        <f>IF([2]species_comp_Region1_forR!$G238&gt;49,[2]species_comp_Region1_forR!$AE238,[2]species_comp_Region1_forR!$AG238)</f>
        <v>2.3482E-4</v>
      </c>
      <c r="H344" s="7">
        <f t="shared" si="338"/>
        <v>9020.8761192479997</v>
      </c>
      <c r="I344">
        <f t="shared" si="345"/>
        <v>26723.97751968</v>
      </c>
      <c r="J344">
        <f t="shared" si="339"/>
        <v>163.47469993757443</v>
      </c>
      <c r="K344" s="6">
        <f t="shared" si="340"/>
        <v>320.41041187764586</v>
      </c>
      <c r="M344" s="2">
        <f>'rockfish harvests'!O343</f>
        <v>33152.073336968373</v>
      </c>
      <c r="N344">
        <f>'rockfish harvests'!P343</f>
        <v>19566076.633357268</v>
      </c>
      <c r="O344">
        <f>IF([2]species_comp_Region1_forR!$D260&gt;49,[2]species_comp_Region1_forR!$N260,[2]species_comp_Region1_forR!$P260)</f>
        <v>7.5290550999999997E-2</v>
      </c>
      <c r="P344">
        <f>IF([2]species_comp_Region1_forR!$D260&gt;49,[2]species_comp_Region1_forR!$O260,[2]species_comp_Region1_forR!$Q260)</f>
        <v>3.5198099999999998E-5</v>
      </c>
      <c r="Q344" s="13">
        <f t="shared" si="335"/>
        <v>2496.0378683327572</v>
      </c>
      <c r="R344" s="2">
        <f t="shared" si="390"/>
        <v>148909.70818464481</v>
      </c>
      <c r="S344">
        <f t="shared" si="341"/>
        <v>385.88820684836276</v>
      </c>
      <c r="T344" s="6">
        <f t="shared" si="342"/>
        <v>756.34088542279096</v>
      </c>
      <c r="V344" s="13">
        <f t="shared" si="336"/>
        <v>11516.913987580756</v>
      </c>
      <c r="W344">
        <f t="shared" si="337"/>
        <v>175633.6857043248</v>
      </c>
      <c r="X344">
        <f t="shared" si="343"/>
        <v>419.08672814147286</v>
      </c>
      <c r="Y344" s="6">
        <f t="shared" si="344"/>
        <v>821.40998715728676</v>
      </c>
      <c r="Z344" s="14">
        <f t="shared" si="334"/>
        <v>3.6388804205136405E-2</v>
      </c>
    </row>
    <row r="345" spans="1:26" x14ac:dyDescent="0.25">
      <c r="A345" t="str">
        <f>'rockfish harvests'!A344</f>
        <v>SE</v>
      </c>
      <c r="B345">
        <f>'rockfish harvests'!B344</f>
        <v>2015</v>
      </c>
      <c r="C345" t="str">
        <f>'rockfish harvests'!C344</f>
        <v>SSEI</v>
      </c>
      <c r="D345">
        <f>'rockfish harvests'!D344</f>
        <v>29160</v>
      </c>
      <c r="E345">
        <v>11218</v>
      </c>
      <c r="F345">
        <f>IF([2]species_comp_Region1_forR!$G239&gt;49,[2]species_comp_Region1_forR!$AD239,[2]species_comp_Region1_forR!$AF239)</f>
        <v>0.88438818600000002</v>
      </c>
      <c r="G345">
        <f>IF([2]species_comp_Region1_forR!$G239&gt;49,[2]species_comp_Region1_forR!$AE239,[2]species_comp_Region1_forR!$AG239)</f>
        <v>8.6356199999999998E-5</v>
      </c>
      <c r="H345" s="7">
        <f t="shared" si="338"/>
        <v>9921.0666705479998</v>
      </c>
      <c r="I345">
        <f t="shared" si="345"/>
        <v>10867.3685272488</v>
      </c>
      <c r="J345">
        <f t="shared" si="339"/>
        <v>104.24667154038444</v>
      </c>
      <c r="K345" s="6">
        <f t="shared" si="340"/>
        <v>204.32347621915349</v>
      </c>
      <c r="M345" s="2">
        <f>'rockfish harvests'!O344</f>
        <v>31796.645359656926</v>
      </c>
      <c r="N345">
        <f>'rockfish harvests'!P344</f>
        <v>18451721.940392502</v>
      </c>
      <c r="O345">
        <f>IF([2]species_comp_Region1_forR!$D261&gt;49,[2]species_comp_Region1_forR!$N261,[2]species_comp_Region1_forR!$P261)</f>
        <v>6.2753035999999998E-2</v>
      </c>
      <c r="P345">
        <f>IF([2]species_comp_Region1_forR!$D261&gt;49,[2]species_comp_Region1_forR!$O261,[2]species_comp_Region1_forR!$Q261)</f>
        <v>2.9779799999999999E-5</v>
      </c>
      <c r="Q345" s="13">
        <f t="shared" si="335"/>
        <v>1995.3360309337841</v>
      </c>
      <c r="R345" s="2">
        <f t="shared" si="390"/>
        <v>102220.52200629596</v>
      </c>
      <c r="S345">
        <f t="shared" si="341"/>
        <v>319.71944264666791</v>
      </c>
      <c r="T345" s="6">
        <f t="shared" si="342"/>
        <v>626.65010758746905</v>
      </c>
      <c r="V345" s="13">
        <f t="shared" si="336"/>
        <v>11916.402701481784</v>
      </c>
      <c r="W345">
        <f t="shared" si="337"/>
        <v>113087.89053354476</v>
      </c>
      <c r="X345">
        <f t="shared" si="343"/>
        <v>336.28543015353011</v>
      </c>
      <c r="Y345" s="6">
        <f t="shared" si="344"/>
        <v>659.11944310091906</v>
      </c>
      <c r="Z345" s="14">
        <f t="shared" si="334"/>
        <v>2.8220381484062602E-2</v>
      </c>
    </row>
    <row r="346" spans="1:26" x14ac:dyDescent="0.25">
      <c r="A346" t="str">
        <f>'rockfish harvests'!A345</f>
        <v>SE</v>
      </c>
      <c r="B346">
        <f>'rockfish harvests'!B345</f>
        <v>2016</v>
      </c>
      <c r="C346" t="str">
        <f>'rockfish harvests'!C345</f>
        <v>SSEI</v>
      </c>
      <c r="D346">
        <f>'rockfish harvests'!D345</f>
        <v>32540</v>
      </c>
      <c r="E346">
        <v>13373</v>
      </c>
      <c r="F346">
        <f>IF([2]species_comp_Region1_forR!$G240&gt;49,[2]species_comp_Region1_forR!$AD240,[2]species_comp_Region1_forR!$AF240)</f>
        <v>0.79018789099999998</v>
      </c>
      <c r="G346">
        <f>IF([2]species_comp_Region1_forR!$G240&gt;49,[2]species_comp_Region1_forR!$AE240,[2]species_comp_Region1_forR!$AG240)</f>
        <v>1.7323999999999999E-4</v>
      </c>
      <c r="H346" s="7">
        <f t="shared" si="338"/>
        <v>10567.182666343</v>
      </c>
      <c r="I346">
        <f t="shared" si="345"/>
        <v>30981.744227959996</v>
      </c>
      <c r="J346">
        <f t="shared" si="339"/>
        <v>176.01631807295595</v>
      </c>
      <c r="K346" s="6">
        <f t="shared" si="340"/>
        <v>344.99198342299366</v>
      </c>
      <c r="M346" s="2">
        <f>'rockfish harvests'!O345</f>
        <v>33865.532446281708</v>
      </c>
      <c r="N346">
        <f>'rockfish harvests'!P345</f>
        <v>23923054.468410891</v>
      </c>
      <c r="O346">
        <f>IF([2]species_comp_Region1_forR!$D262&gt;49,[2]species_comp_Region1_forR!$N262,[2]species_comp_Region1_forR!$P262)</f>
        <v>7.7616425000000003E-2</v>
      </c>
      <c r="P346">
        <f>IF([2]species_comp_Region1_forR!$D262&gt;49,[2]species_comp_Region1_forR!$O262,[2]species_comp_Region1_forR!$Q262)</f>
        <v>3.5867800000000002E-5</v>
      </c>
      <c r="Q346" s="13">
        <f t="shared" si="335"/>
        <v>2628.5215592018908</v>
      </c>
      <c r="R346" s="2">
        <f t="shared" si="390"/>
        <v>184397.67287261048</v>
      </c>
      <c r="S346">
        <f t="shared" si="341"/>
        <v>429.41550143492782</v>
      </c>
      <c r="T346" s="6">
        <f t="shared" si="342"/>
        <v>841.65438281245849</v>
      </c>
      <c r="V346" s="13">
        <f t="shared" si="336"/>
        <v>13195.704225544891</v>
      </c>
      <c r="W346">
        <f t="shared" si="337"/>
        <v>215379.41710057048</v>
      </c>
      <c r="X346">
        <f t="shared" si="343"/>
        <v>464.08988041172637</v>
      </c>
      <c r="Y346" s="6">
        <f t="shared" si="344"/>
        <v>909.61616560698371</v>
      </c>
      <c r="Z346" s="14">
        <f t="shared" si="334"/>
        <v>3.5169769834134237E-2</v>
      </c>
    </row>
    <row r="347" spans="1:26" x14ac:dyDescent="0.25">
      <c r="A347" t="str">
        <f>'rockfish harvests'!A346</f>
        <v>SE</v>
      </c>
      <c r="B347">
        <f>'rockfish harvests'!B346</f>
        <v>2017</v>
      </c>
      <c r="C347" t="str">
        <f>'rockfish harvests'!C346</f>
        <v>SSEI</v>
      </c>
      <c r="D347">
        <f>'rockfish harvests'!D346</f>
        <v>30249</v>
      </c>
      <c r="E347">
        <v>16481</v>
      </c>
      <c r="F347">
        <f>IF([2]species_comp_Region1_forR!$G241&gt;49,[2]species_comp_Region1_forR!$AD241,[2]species_comp_Region1_forR!$AF241)</f>
        <v>0.69582618600000001</v>
      </c>
      <c r="G347">
        <f>IF([2]species_comp_Region1_forR!$G241&gt;49,[2]species_comp_Region1_forR!$AE241,[2]species_comp_Region1_forR!$AG241)</f>
        <v>1.21082E-4</v>
      </c>
      <c r="H347" s="7">
        <f t="shared" si="338"/>
        <v>11467.911371466</v>
      </c>
      <c r="I347">
        <f t="shared" si="345"/>
        <v>32888.699796601999</v>
      </c>
      <c r="J347">
        <f t="shared" si="339"/>
        <v>181.35241877791981</v>
      </c>
      <c r="K347" s="6">
        <f t="shared" si="340"/>
        <v>355.45074080472284</v>
      </c>
      <c r="M347" s="2">
        <f>'rockfish harvests'!O346</f>
        <v>32660.834871736792</v>
      </c>
      <c r="N347">
        <f>'rockfish harvests'!P346</f>
        <v>21220862.426665116</v>
      </c>
      <c r="O347">
        <f>IF([2]species_comp_Region1_forR!$D263&gt;49,[2]species_comp_Region1_forR!$N263,[2]species_comp_Region1_forR!$P263)</f>
        <v>0.11073369600000001</v>
      </c>
      <c r="P347">
        <f>IF([2]species_comp_Region1_forR!$D263&gt;49,[2]species_comp_Region1_forR!$O263,[2]species_comp_Region1_forR!$Q263)</f>
        <v>6.6941999999999997E-5</v>
      </c>
      <c r="Q347" s="13">
        <f t="shared" si="335"/>
        <v>3616.6549597931012</v>
      </c>
      <c r="R347" s="2">
        <f t="shared" si="390"/>
        <v>330197.66606706427</v>
      </c>
      <c r="S347">
        <f t="shared" si="341"/>
        <v>574.62828512618853</v>
      </c>
      <c r="T347" s="6">
        <f t="shared" si="342"/>
        <v>1126.2714388473296</v>
      </c>
      <c r="V347" s="13">
        <f t="shared" si="336"/>
        <v>15084.5663312591</v>
      </c>
      <c r="W347">
        <f t="shared" si="337"/>
        <v>363086.36586366629</v>
      </c>
      <c r="X347">
        <f t="shared" si="343"/>
        <v>602.56648252592538</v>
      </c>
      <c r="Y347" s="6">
        <f t="shared" si="344"/>
        <v>1181.0303057508138</v>
      </c>
      <c r="Z347" s="14">
        <f t="shared" si="334"/>
        <v>3.9945893656700801E-2</v>
      </c>
    </row>
    <row r="348" spans="1:26" x14ac:dyDescent="0.25">
      <c r="A348" t="str">
        <f>'rockfish harvests'!A347</f>
        <v>SE</v>
      </c>
      <c r="B348">
        <f>'rockfish harvests'!B347</f>
        <v>2018</v>
      </c>
      <c r="C348" t="str">
        <f>'rockfish harvests'!C347</f>
        <v>SSEI</v>
      </c>
      <c r="D348">
        <f>'rockfish harvests'!D347</f>
        <v>42049</v>
      </c>
      <c r="E348">
        <v>25419</v>
      </c>
      <c r="F348">
        <f>IF([2]species_comp_Region1_forR!$G242&gt;49,[2]species_comp_Region1_forR!$AD242,[2]species_comp_Region1_forR!$AF242)</f>
        <v>0.74531250000000004</v>
      </c>
      <c r="G348">
        <f>IF([2]species_comp_Region1_forR!$G242&gt;49,[2]species_comp_Region1_forR!$AE242,[2]species_comp_Region1_forR!$AG242)</f>
        <v>2.9706099999999999E-4</v>
      </c>
      <c r="H348" s="7">
        <f t="shared" si="338"/>
        <v>18945.098437500001</v>
      </c>
      <c r="I348">
        <f t="shared" si="345"/>
        <v>191938.70527622101</v>
      </c>
      <c r="J348">
        <f t="shared" si="339"/>
        <v>438.10809770674291</v>
      </c>
      <c r="K348" s="6">
        <f t="shared" si="340"/>
        <v>858.69187150521611</v>
      </c>
      <c r="M348" s="2">
        <f>'rockfish harvests'!O347</f>
        <v>34725.8595505618</v>
      </c>
      <c r="N348">
        <f>'rockfish harvests'!P347</f>
        <v>18537755.684375577</v>
      </c>
      <c r="O348">
        <f>IF([2]species_comp_Region1_forR!$D264&gt;49,[2]species_comp_Region1_forR!$N264,[2]species_comp_Region1_forR!$P264)</f>
        <v>0.15570307799999999</v>
      </c>
      <c r="P348">
        <f>IF([2]species_comp_Region1_forR!$D264&gt;49,[2]species_comp_Region1_forR!$O264,[2]species_comp_Region1_forR!$Q264)</f>
        <v>7.9383799999999997E-5</v>
      </c>
      <c r="Q348" s="13">
        <f t="shared" si="335"/>
        <v>5406.9232182181686</v>
      </c>
      <c r="R348" s="2">
        <f t="shared" si="390"/>
        <v>543675.28691236838</v>
      </c>
      <c r="S348">
        <f t="shared" si="341"/>
        <v>737.34339822932463</v>
      </c>
      <c r="T348" s="6">
        <f t="shared" si="342"/>
        <v>1445.1930605294763</v>
      </c>
      <c r="V348" s="13">
        <f t="shared" si="336"/>
        <v>24352.02165571817</v>
      </c>
      <c r="W348">
        <f t="shared" si="337"/>
        <v>735613.99218858941</v>
      </c>
      <c r="X348">
        <f t="shared" si="343"/>
        <v>857.67942273823348</v>
      </c>
      <c r="Y348" s="6">
        <f t="shared" si="344"/>
        <v>1681.0516685669377</v>
      </c>
      <c r="Z348" s="14">
        <f t="shared" si="334"/>
        <v>3.5220050099488934E-2</v>
      </c>
    </row>
    <row r="349" spans="1:26" x14ac:dyDescent="0.25">
      <c r="A349" t="str">
        <f>'rockfish harvests'!A348</f>
        <v>SE</v>
      </c>
      <c r="B349">
        <f>'rockfish harvests'!B348</f>
        <v>2019</v>
      </c>
      <c r="C349" t="str">
        <f>'rockfish harvests'!C348</f>
        <v>SSEI</v>
      </c>
      <c r="D349">
        <f>'rockfish harvests'!D348</f>
        <v>35867</v>
      </c>
      <c r="E349">
        <v>21016</v>
      </c>
      <c r="F349">
        <v>0.78003120124804992</v>
      </c>
      <c r="G349">
        <v>2.6809769738683466E-4</v>
      </c>
      <c r="H349" s="7">
        <f>E349*F349</f>
        <v>16393.135725429016</v>
      </c>
      <c r="I349">
        <f>(E349^2)*G349</f>
        <v>118411.31483324857</v>
      </c>
      <c r="J349">
        <f>SQRT(I349)</f>
        <v>344.1094518220163</v>
      </c>
      <c r="K349" s="6">
        <f>(1.96*J349)</f>
        <v>674.45452557115198</v>
      </c>
      <c r="M349" s="2">
        <f>'rockfish harvests'!O348</f>
        <v>69950.34860446323</v>
      </c>
      <c r="N349">
        <f>'rockfish harvests'!P348</f>
        <v>111154603.32156514</v>
      </c>
      <c r="O349">
        <v>0.20973348783314022</v>
      </c>
      <c r="P349">
        <v>1.9227999062005363E-4</v>
      </c>
      <c r="Q349" s="13">
        <f>M349*O349</f>
        <v>14670.930587958106</v>
      </c>
      <c r="R349" s="2">
        <f>(M349^2)*P349+(O349^2)*N349-(P349*N349)</f>
        <v>5808946.8450861359</v>
      </c>
      <c r="S349">
        <f>SQRT(R349)</f>
        <v>2410.1756875975111</v>
      </c>
      <c r="T349" s="6">
        <f>(1.96*S349)</f>
        <v>4723.9443476911219</v>
      </c>
      <c r="V349" s="13">
        <f>Q349+H349</f>
        <v>31064.06631338712</v>
      </c>
      <c r="W349">
        <f>R349+I349</f>
        <v>5927358.1599193849</v>
      </c>
      <c r="X349">
        <f>SQRT(W349)</f>
        <v>2434.6166351028214</v>
      </c>
      <c r="Y349" s="6">
        <f>(1.96*X349)</f>
        <v>4771.8486048015302</v>
      </c>
      <c r="Z349" s="14">
        <f>X349/V349</f>
        <v>7.8374048347096742E-2</v>
      </c>
    </row>
    <row r="350" spans="1:26" x14ac:dyDescent="0.25">
      <c r="A350" t="str">
        <f>'rockfish harvests'!A349</f>
        <v>SE</v>
      </c>
      <c r="B350">
        <f>'rockfish harvests'!B349</f>
        <v>2020</v>
      </c>
      <c r="C350" t="str">
        <f>'rockfish harvests'!C349</f>
        <v>SSEI</v>
      </c>
      <c r="D350">
        <f>'rockfish harvests'!D349</f>
        <v>11107</v>
      </c>
      <c r="E350">
        <v>10782</v>
      </c>
      <c r="F350" t="s">
        <v>195</v>
      </c>
      <c r="G350" t="s">
        <v>306</v>
      </c>
      <c r="H350" s="7">
        <f t="shared" ref="H350:H351" si="391">E350*F350</f>
        <v>8121.5064935064911</v>
      </c>
      <c r="I350">
        <f t="shared" ref="I350:I351" si="392">(E350^2)*G350</f>
        <v>29159.534802859424</v>
      </c>
      <c r="J350">
        <f t="shared" ref="J350:J351" si="393">SQRT(I350)</f>
        <v>170.76163153021062</v>
      </c>
      <c r="K350" s="6">
        <f t="shared" ref="K350:K351" si="394">(1.96*J350)</f>
        <v>334.69279779921283</v>
      </c>
      <c r="M350" s="2">
        <f>'rockfish harvests'!O349</f>
        <v>15196.649154865238</v>
      </c>
      <c r="N350">
        <f>'rockfish harvests'!P349</f>
        <v>6640608.2621304234</v>
      </c>
      <c r="O350">
        <v>0.7312775330396476</v>
      </c>
      <c r="P350">
        <v>2.8898632751631575E-4</v>
      </c>
      <c r="Q350" s="13">
        <f t="shared" ref="Q350:Q351" si="395">M350*O350</f>
        <v>11112.968104438896</v>
      </c>
      <c r="R350" s="2">
        <f t="shared" ref="R350:R351" si="396">(M350^2)*P350+(O350^2)*N350-(P350*N350)</f>
        <v>3615995.9533608351</v>
      </c>
      <c r="S350">
        <f t="shared" ref="S350:S351" si="397">SQRT(R350)</f>
        <v>1901.577227819274</v>
      </c>
      <c r="T350" s="6">
        <f t="shared" ref="T350:T351" si="398">(1.96*S350)</f>
        <v>3727.0913665257767</v>
      </c>
      <c r="V350" s="13">
        <f t="shared" ref="V350:V351" si="399">Q350+H350</f>
        <v>19234.474597945387</v>
      </c>
      <c r="W350">
        <f t="shared" ref="W350:W351" si="400">R350+I350</f>
        <v>3645155.4881636947</v>
      </c>
      <c r="X350">
        <f t="shared" ref="X350:X351" si="401">SQRT(W350)</f>
        <v>1909.2290297823608</v>
      </c>
      <c r="Y350" s="6">
        <f t="shared" ref="Y350:Y351" si="402">(1.96*X350)</f>
        <v>3742.0888983734271</v>
      </c>
      <c r="Z350" s="14">
        <f t="shared" ref="Z350:Z351" si="403">X350/V350</f>
        <v>9.9260784070821631E-2</v>
      </c>
    </row>
    <row r="351" spans="1:26" x14ac:dyDescent="0.25">
      <c r="A351" t="str">
        <f>'rockfish harvests'!A350</f>
        <v>SE</v>
      </c>
      <c r="B351">
        <f>'rockfish harvests'!B350</f>
        <v>2021</v>
      </c>
      <c r="C351" t="str">
        <f>'rockfish harvests'!C350</f>
        <v>SSEI</v>
      </c>
      <c r="D351">
        <f>'rockfish harvests'!D350</f>
        <v>28388</v>
      </c>
      <c r="E351">
        <v>27134</v>
      </c>
      <c r="F351" t="s">
        <v>196</v>
      </c>
      <c r="G351" t="s">
        <v>307</v>
      </c>
      <c r="H351" s="7">
        <f t="shared" si="391"/>
        <v>12331.355524734166</v>
      </c>
      <c r="I351">
        <f t="shared" si="392"/>
        <v>80875.796070334734</v>
      </c>
      <c r="J351">
        <f t="shared" si="393"/>
        <v>284.38670164115399</v>
      </c>
      <c r="K351" s="6">
        <f t="shared" si="394"/>
        <v>557.39793521666184</v>
      </c>
      <c r="M351" s="2">
        <f>'rockfish harvests'!O350</f>
        <v>14186.636497865038</v>
      </c>
      <c r="N351">
        <f>'rockfish harvests'!P350</f>
        <v>6428956.9149598647</v>
      </c>
      <c r="O351" s="51" t="s">
        <v>197</v>
      </c>
      <c r="P351" t="s">
        <v>198</v>
      </c>
      <c r="Q351" s="13">
        <f t="shared" si="395"/>
        <v>7498.6507203000983</v>
      </c>
      <c r="R351" s="2">
        <f t="shared" si="396"/>
        <v>1865626.6015885503</v>
      </c>
      <c r="S351">
        <f t="shared" si="397"/>
        <v>1365.8794242496481</v>
      </c>
      <c r="T351" s="6">
        <f t="shared" si="398"/>
        <v>2677.1236715293103</v>
      </c>
      <c r="V351" s="13">
        <f t="shared" si="399"/>
        <v>19830.006245034267</v>
      </c>
      <c r="W351">
        <f t="shared" si="400"/>
        <v>1946502.397658885</v>
      </c>
      <c r="X351">
        <f t="shared" si="401"/>
        <v>1395.171099779122</v>
      </c>
      <c r="Y351" s="6">
        <f t="shared" si="402"/>
        <v>2734.535355567079</v>
      </c>
      <c r="Z351" s="14">
        <f t="shared" si="403"/>
        <v>7.0356563812403933E-2</v>
      </c>
    </row>
    <row r="352" spans="1:26" s="51" customFormat="1" x14ac:dyDescent="0.25">
      <c r="A352" s="51" t="s">
        <v>151</v>
      </c>
      <c r="B352" s="51">
        <v>2022</v>
      </c>
      <c r="C352" s="51" t="s">
        <v>39</v>
      </c>
      <c r="D352">
        <f>'rockfish harvests'!D351</f>
        <v>33837</v>
      </c>
      <c r="E352" s="51">
        <v>29854</v>
      </c>
      <c r="F352" t="s">
        <v>194</v>
      </c>
      <c r="G352" t="s">
        <v>308</v>
      </c>
      <c r="H352" s="7">
        <f t="shared" ref="H352" si="404">E352*F352</f>
        <v>15817.142201834866</v>
      </c>
      <c r="I352">
        <f t="shared" ref="I352" si="405">(E352^2)*G352</f>
        <v>102267.607489872</v>
      </c>
      <c r="J352">
        <f t="shared" ref="J352" si="406">SQRT(I352)</f>
        <v>319.79306979650448</v>
      </c>
      <c r="K352" s="6">
        <f t="shared" ref="K352" si="407">(1.96*J352)</f>
        <v>626.79441680114883</v>
      </c>
      <c r="L352"/>
      <c r="M352" s="2">
        <f>'rockfish harvests'!O351</f>
        <v>25305.766593391003</v>
      </c>
      <c r="N352">
        <f>'rockfish harvests'!P351</f>
        <v>17493065.751002964</v>
      </c>
      <c r="O352" t="s">
        <v>199</v>
      </c>
      <c r="P352" t="s">
        <v>200</v>
      </c>
      <c r="Q352" s="13">
        <f t="shared" ref="Q352" si="408">M352*O352</f>
        <v>8704.4658140387546</v>
      </c>
      <c r="R352" s="2">
        <f t="shared" ref="R352" si="409">(M352^2)*P352+(O352^2)*N352-(P352*N352)</f>
        <v>2319377.0849137525</v>
      </c>
      <c r="S352">
        <f t="shared" ref="S352" si="410">SQRT(R352)</f>
        <v>1522.9501255503255</v>
      </c>
      <c r="T352" s="6">
        <f t="shared" ref="T352" si="411">(1.96*S352)</f>
        <v>2984.9822460786381</v>
      </c>
      <c r="U352"/>
      <c r="V352" s="13">
        <f t="shared" ref="V352" si="412">Q352+H352</f>
        <v>24521.608015873622</v>
      </c>
      <c r="W352">
        <f t="shared" ref="W352" si="413">R352+I352</f>
        <v>2421644.6924036243</v>
      </c>
      <c r="X352">
        <f t="shared" ref="X352" si="414">SQRT(W352)</f>
        <v>1556.1634529841729</v>
      </c>
      <c r="Y352" s="6">
        <f t="shared" ref="Y352" si="415">(1.96*X352)</f>
        <v>3050.0803678489788</v>
      </c>
      <c r="Z352" s="14">
        <f t="shared" ref="Z352" si="416">X352/V352</f>
        <v>6.3460905662337419E-2</v>
      </c>
    </row>
    <row r="353" spans="1:26" x14ac:dyDescent="0.25">
      <c r="A353" t="str">
        <f>'rockfish harvests'!A352</f>
        <v>SE</v>
      </c>
      <c r="B353">
        <f>'rockfish harvests'!B352</f>
        <v>1998</v>
      </c>
      <c r="C353" t="str">
        <f>'rockfish harvests'!C352</f>
        <v>SSEO</v>
      </c>
      <c r="D353">
        <f>'rockfish harvests'!D352</f>
        <v>3185</v>
      </c>
      <c r="E353">
        <v>1462</v>
      </c>
      <c r="F353" s="32">
        <v>0.98349167199999998</v>
      </c>
      <c r="G353" s="32">
        <v>8.9143399999999998E-5</v>
      </c>
      <c r="H353" s="7">
        <f t="shared" si="338"/>
        <v>1437.8648244639999</v>
      </c>
      <c r="I353">
        <f t="shared" si="345"/>
        <v>190.53902546960001</v>
      </c>
      <c r="J353">
        <f t="shared" si="339"/>
        <v>13.803587413045928</v>
      </c>
      <c r="K353" s="6">
        <f t="shared" si="340"/>
        <v>27.055031329570021</v>
      </c>
      <c r="M353" s="2">
        <f>'rockfish harvests'!O352</f>
        <v>1543.4215757484271</v>
      </c>
      <c r="N353">
        <f>'rockfish harvests'!P352</f>
        <v>277633.92962977174</v>
      </c>
      <c r="O353" s="32">
        <v>0.61743827600000001</v>
      </c>
      <c r="P353" s="32">
        <v>5.442634E-3</v>
      </c>
      <c r="Q353" s="13">
        <f t="shared" si="335"/>
        <v>952.96755687131224</v>
      </c>
      <c r="R353" s="2">
        <f t="shared" si="390"/>
        <v>117296.50143355453</v>
      </c>
      <c r="S353">
        <f t="shared" si="341"/>
        <v>342.48576822045396</v>
      </c>
      <c r="T353" s="6">
        <f t="shared" si="342"/>
        <v>671.2721057120898</v>
      </c>
      <c r="V353" s="13">
        <f t="shared" si="336"/>
        <v>2390.8323813353122</v>
      </c>
      <c r="W353">
        <f t="shared" si="337"/>
        <v>117487.04045902412</v>
      </c>
      <c r="X353">
        <f t="shared" si="343"/>
        <v>342.76382606544718</v>
      </c>
      <c r="Y353" s="6">
        <f t="shared" si="344"/>
        <v>671.81709908827645</v>
      </c>
      <c r="Z353" s="14">
        <f t="shared" si="334"/>
        <v>0.14336589580320513</v>
      </c>
    </row>
    <row r="354" spans="1:26" x14ac:dyDescent="0.25">
      <c r="A354" t="str">
        <f>'rockfish harvests'!A353</f>
        <v>SE</v>
      </c>
      <c r="B354">
        <f>'rockfish harvests'!B353</f>
        <v>1999</v>
      </c>
      <c r="C354" t="str">
        <f>'rockfish harvests'!C353</f>
        <v>SSEO</v>
      </c>
      <c r="D354">
        <f>'rockfish harvests'!D353</f>
        <v>4616</v>
      </c>
      <c r="E354">
        <v>1568</v>
      </c>
      <c r="F354" s="32">
        <v>0.98349167199999998</v>
      </c>
      <c r="G354" s="32">
        <v>8.9143399999999998E-5</v>
      </c>
      <c r="H354" s="7">
        <f t="shared" si="338"/>
        <v>1542.114941696</v>
      </c>
      <c r="I354">
        <f t="shared" si="345"/>
        <v>219.17010268159999</v>
      </c>
      <c r="J354">
        <f t="shared" si="339"/>
        <v>14.804394708383048</v>
      </c>
      <c r="K354" s="6">
        <f t="shared" si="340"/>
        <v>29.016613628430775</v>
      </c>
      <c r="M354" s="2">
        <f>'rockfish harvests'!O353</f>
        <v>2236.8709556215817</v>
      </c>
      <c r="N354">
        <f>'rockfish harvests'!P353</f>
        <v>583156.69651387446</v>
      </c>
      <c r="O354" s="32">
        <v>0.61743827600000001</v>
      </c>
      <c r="P354" s="32">
        <v>5.442634E-3</v>
      </c>
      <c r="Q354" s="13">
        <f t="shared" si="335"/>
        <v>1381.1297464734619</v>
      </c>
      <c r="R354" s="2">
        <f t="shared" si="390"/>
        <v>246375.65149130661</v>
      </c>
      <c r="S354">
        <f t="shared" si="341"/>
        <v>496.3624194994083</v>
      </c>
      <c r="T354" s="6">
        <f t="shared" si="342"/>
        <v>972.87034221884028</v>
      </c>
      <c r="V354" s="13">
        <f t="shared" si="336"/>
        <v>2923.2446881694618</v>
      </c>
      <c r="W354">
        <f t="shared" si="337"/>
        <v>246594.82159398819</v>
      </c>
      <c r="X354">
        <f t="shared" si="343"/>
        <v>496.58314670756619</v>
      </c>
      <c r="Y354" s="6">
        <f t="shared" si="344"/>
        <v>973.30296754682968</v>
      </c>
      <c r="Z354" s="14">
        <f t="shared" ref="Z354:Z374" si="417">X354/V354</f>
        <v>0.16987395845351794</v>
      </c>
    </row>
    <row r="355" spans="1:26" x14ac:dyDescent="0.25">
      <c r="A355" t="str">
        <f>'rockfish harvests'!A354</f>
        <v>SE</v>
      </c>
      <c r="B355">
        <f>'rockfish harvests'!B354</f>
        <v>2000</v>
      </c>
      <c r="C355" t="str">
        <f>'rockfish harvests'!C354</f>
        <v>SSEO</v>
      </c>
      <c r="D355">
        <f>'rockfish harvests'!D354</f>
        <v>6910</v>
      </c>
      <c r="E355">
        <v>2150</v>
      </c>
      <c r="F355" s="32">
        <v>0.98349167199999998</v>
      </c>
      <c r="G355" s="32">
        <v>8.9143399999999998E-5</v>
      </c>
      <c r="H355" s="7">
        <f t="shared" si="338"/>
        <v>2114.5070947999998</v>
      </c>
      <c r="I355">
        <f t="shared" si="345"/>
        <v>412.06536649999998</v>
      </c>
      <c r="J355">
        <f t="shared" si="339"/>
        <v>20.299393254479305</v>
      </c>
      <c r="K355" s="6">
        <f t="shared" si="340"/>
        <v>39.78681077877944</v>
      </c>
      <c r="M355" s="2">
        <f>'rockfish harvests'!O354</f>
        <v>3348.5221627697429</v>
      </c>
      <c r="N355">
        <f>'rockfish harvests'!P354</f>
        <v>1306801.9129460659</v>
      </c>
      <c r="O355" s="32">
        <v>0.61743827600000001</v>
      </c>
      <c r="P355" s="32">
        <v>5.442634E-3</v>
      </c>
      <c r="Q355" s="13">
        <f t="shared" si="335"/>
        <v>2067.5057513283414</v>
      </c>
      <c r="R355" s="2">
        <f t="shared" si="390"/>
        <v>552105.76264815743</v>
      </c>
      <c r="S355">
        <f t="shared" si="341"/>
        <v>743.03819730089072</v>
      </c>
      <c r="T355" s="6">
        <f t="shared" si="342"/>
        <v>1456.3548667097457</v>
      </c>
      <c r="V355" s="13">
        <f t="shared" si="336"/>
        <v>4182.0128461283412</v>
      </c>
      <c r="W355">
        <f t="shared" si="337"/>
        <v>552517.82801465748</v>
      </c>
      <c r="X355">
        <f t="shared" si="343"/>
        <v>743.31542968961537</v>
      </c>
      <c r="Y355" s="6">
        <f t="shared" si="344"/>
        <v>1456.8982421916462</v>
      </c>
      <c r="Z355" s="14">
        <f t="shared" si="417"/>
        <v>0.17774106800694506</v>
      </c>
    </row>
    <row r="356" spans="1:26" x14ac:dyDescent="0.25">
      <c r="A356" t="str">
        <f>'rockfish harvests'!A355</f>
        <v>SE</v>
      </c>
      <c r="B356">
        <f>'rockfish harvests'!B355</f>
        <v>2001</v>
      </c>
      <c r="C356" t="str">
        <f>'rockfish harvests'!C355</f>
        <v>SSEO</v>
      </c>
      <c r="D356">
        <f>'rockfish harvests'!D355</f>
        <v>5756</v>
      </c>
      <c r="E356">
        <v>1879</v>
      </c>
      <c r="F356" s="32">
        <v>0.98349167199999998</v>
      </c>
      <c r="G356" s="32">
        <v>8.9143399999999998E-5</v>
      </c>
      <c r="H356" s="7">
        <f t="shared" si="338"/>
        <v>1847.980851688</v>
      </c>
      <c r="I356">
        <f t="shared" si="345"/>
        <v>314.7333429194</v>
      </c>
      <c r="J356">
        <f t="shared" si="339"/>
        <v>17.740725546589125</v>
      </c>
      <c r="K356" s="6">
        <f t="shared" si="340"/>
        <v>34.771822071314688</v>
      </c>
      <c r="M356" s="2">
        <f>'rockfish harvests'!O355</f>
        <v>2789.304423864347</v>
      </c>
      <c r="N356">
        <f>'rockfish harvests'!P355</f>
        <v>906766.02050430153</v>
      </c>
      <c r="O356" s="32">
        <v>0.61743827600000001</v>
      </c>
      <c r="P356" s="32">
        <v>5.442634E-3</v>
      </c>
      <c r="Q356" s="13">
        <f t="shared" si="335"/>
        <v>1722.2233147099757</v>
      </c>
      <c r="R356" s="2">
        <f t="shared" si="390"/>
        <v>383096.12216998963</v>
      </c>
      <c r="S356">
        <f t="shared" si="341"/>
        <v>618.94759242603868</v>
      </c>
      <c r="T356" s="6">
        <f t="shared" si="342"/>
        <v>1213.1372811550359</v>
      </c>
      <c r="V356" s="13">
        <f t="shared" si="336"/>
        <v>3570.2041663979758</v>
      </c>
      <c r="W356">
        <f t="shared" si="337"/>
        <v>383410.85551290901</v>
      </c>
      <c r="X356">
        <f t="shared" si="343"/>
        <v>619.20178900977749</v>
      </c>
      <c r="Y356" s="6">
        <f t="shared" si="344"/>
        <v>1213.6355064591639</v>
      </c>
      <c r="Z356" s="14">
        <f t="shared" si="417"/>
        <v>0.173435960564266</v>
      </c>
    </row>
    <row r="357" spans="1:26" x14ac:dyDescent="0.25">
      <c r="A357" t="str">
        <f>'rockfish harvests'!A356</f>
        <v>SE</v>
      </c>
      <c r="B357">
        <f>'rockfish harvests'!B356</f>
        <v>2002</v>
      </c>
      <c r="C357" t="str">
        <f>'rockfish harvests'!C356</f>
        <v>SSEO</v>
      </c>
      <c r="D357">
        <f>'rockfish harvests'!D356</f>
        <v>7617</v>
      </c>
      <c r="E357">
        <v>3492</v>
      </c>
      <c r="F357" s="32">
        <v>0.98349167199999998</v>
      </c>
      <c r="G357" s="32">
        <v>8.9143399999999998E-5</v>
      </c>
      <c r="H357" s="7">
        <f t="shared" si="338"/>
        <v>3434.3529186239998</v>
      </c>
      <c r="I357">
        <f t="shared" si="345"/>
        <v>1087.0203247776001</v>
      </c>
      <c r="J357">
        <f t="shared" si="339"/>
        <v>32.969991276577552</v>
      </c>
      <c r="K357" s="6">
        <f t="shared" si="340"/>
        <v>64.621182902092002</v>
      </c>
      <c r="M357" s="2">
        <f>'rockfish harvests'!O356</f>
        <v>3691.1278312325794</v>
      </c>
      <c r="N357">
        <f>'rockfish harvests'!P356</f>
        <v>1587894.256982432</v>
      </c>
      <c r="O357" s="32">
        <v>0.61743827600000001</v>
      </c>
      <c r="P357" s="32">
        <v>5.442634E-3</v>
      </c>
      <c r="Q357" s="13">
        <f t="shared" si="335"/>
        <v>2279.043604611863</v>
      </c>
      <c r="R357" s="2">
        <f t="shared" si="390"/>
        <v>670863.39641140192</v>
      </c>
      <c r="S357">
        <f t="shared" si="341"/>
        <v>819.06251068609038</v>
      </c>
      <c r="T357" s="6">
        <f t="shared" si="342"/>
        <v>1605.3625209447371</v>
      </c>
      <c r="V357" s="13">
        <f t="shared" si="336"/>
        <v>5713.3965232358623</v>
      </c>
      <c r="W357">
        <f t="shared" si="337"/>
        <v>671950.4167361795</v>
      </c>
      <c r="X357">
        <f t="shared" si="343"/>
        <v>819.72581802464867</v>
      </c>
      <c r="Y357" s="6">
        <f t="shared" si="344"/>
        <v>1606.6626033283114</v>
      </c>
      <c r="Z357" s="14">
        <f t="shared" si="417"/>
        <v>0.14347434397225864</v>
      </c>
    </row>
    <row r="358" spans="1:26" x14ac:dyDescent="0.25">
      <c r="A358" t="str">
        <f>'rockfish harvests'!A357</f>
        <v>SE</v>
      </c>
      <c r="B358">
        <f>'rockfish harvests'!B357</f>
        <v>2003</v>
      </c>
      <c r="C358" t="str">
        <f>'rockfish harvests'!C357</f>
        <v>SSEO</v>
      </c>
      <c r="D358">
        <f>'rockfish harvests'!D357</f>
        <v>6896</v>
      </c>
      <c r="E358">
        <v>2806</v>
      </c>
      <c r="F358" s="32">
        <v>0.98349167199999998</v>
      </c>
      <c r="G358" s="32">
        <v>8.9143399999999998E-5</v>
      </c>
      <c r="H358" s="7">
        <f t="shared" si="338"/>
        <v>2759.6776316320002</v>
      </c>
      <c r="I358">
        <f t="shared" si="345"/>
        <v>701.88268340239995</v>
      </c>
      <c r="J358">
        <f t="shared" si="339"/>
        <v>26.49306859165997</v>
      </c>
      <c r="K358" s="6">
        <f t="shared" si="340"/>
        <v>51.926414439653541</v>
      </c>
      <c r="M358" s="2">
        <f>'rockfish harvests'!O357</f>
        <v>3341.7378921071122</v>
      </c>
      <c r="N358">
        <f>'rockfish harvests'!P357</f>
        <v>1301511.9872539048</v>
      </c>
      <c r="O358" s="32">
        <v>0.61743827600000001</v>
      </c>
      <c r="P358" s="32">
        <v>5.442634E-3</v>
      </c>
      <c r="Q358" s="13">
        <f t="shared" si="335"/>
        <v>2063.3168829464894</v>
      </c>
      <c r="R358" s="2">
        <f t="shared" si="390"/>
        <v>549870.84209157631</v>
      </c>
      <c r="S358">
        <f t="shared" si="341"/>
        <v>741.53276535266889</v>
      </c>
      <c r="T358" s="6">
        <f t="shared" si="342"/>
        <v>1453.4042200912311</v>
      </c>
      <c r="V358" s="13">
        <f t="shared" si="336"/>
        <v>4822.9945145784895</v>
      </c>
      <c r="W358">
        <f t="shared" si="337"/>
        <v>550572.72477497871</v>
      </c>
      <c r="X358">
        <f t="shared" si="343"/>
        <v>742.00587920513044</v>
      </c>
      <c r="Y358" s="6">
        <f t="shared" si="344"/>
        <v>1454.3315232420557</v>
      </c>
      <c r="Z358" s="14">
        <f t="shared" si="417"/>
        <v>0.15384754781749505</v>
      </c>
    </row>
    <row r="359" spans="1:26" x14ac:dyDescent="0.25">
      <c r="A359" t="str">
        <f>'rockfish harvests'!A358</f>
        <v>SE</v>
      </c>
      <c r="B359">
        <f>'rockfish harvests'!B358</f>
        <v>2004</v>
      </c>
      <c r="C359" t="str">
        <f>'rockfish harvests'!C358</f>
        <v>SSEO</v>
      </c>
      <c r="D359">
        <f>'rockfish harvests'!D358</f>
        <v>10061</v>
      </c>
      <c r="E359">
        <v>4143</v>
      </c>
      <c r="F359" s="32">
        <v>0.98349167199999998</v>
      </c>
      <c r="G359" s="32">
        <v>8.9143399999999998E-5</v>
      </c>
      <c r="H359" s="7">
        <f t="shared" si="338"/>
        <v>4074.605997096</v>
      </c>
      <c r="I359">
        <f t="shared" si="345"/>
        <v>1530.0973429865999</v>
      </c>
      <c r="J359">
        <f t="shared" si="339"/>
        <v>39.116458722468728</v>
      </c>
      <c r="K359" s="6">
        <f t="shared" si="340"/>
        <v>76.66825909603871</v>
      </c>
      <c r="M359" s="2">
        <f>'rockfish harvests'!O358</f>
        <v>4875.4676526232088</v>
      </c>
      <c r="N359">
        <f>'rockfish harvests'!P358</f>
        <v>2770358.4485732173</v>
      </c>
      <c r="O359" s="32">
        <v>0.61743827600000001</v>
      </c>
      <c r="P359" s="32">
        <v>5.442634E-3</v>
      </c>
      <c r="Q359" s="13">
        <f t="shared" si="335"/>
        <v>3010.3003421294411</v>
      </c>
      <c r="R359" s="2">
        <f t="shared" si="390"/>
        <v>1170438.1887612136</v>
      </c>
      <c r="S359">
        <f t="shared" si="341"/>
        <v>1081.8679165042347</v>
      </c>
      <c r="T359" s="6">
        <f t="shared" si="342"/>
        <v>2120.4611163483</v>
      </c>
      <c r="V359" s="13">
        <f t="shared" si="336"/>
        <v>7084.9063392254411</v>
      </c>
      <c r="W359">
        <f t="shared" si="337"/>
        <v>1171968.2861042002</v>
      </c>
      <c r="X359">
        <f t="shared" si="343"/>
        <v>1082.5748408790037</v>
      </c>
      <c r="Y359" s="6">
        <f t="shared" si="344"/>
        <v>2121.8466881228474</v>
      </c>
      <c r="Z359" s="14">
        <f t="shared" si="417"/>
        <v>0.15280016263381632</v>
      </c>
    </row>
    <row r="360" spans="1:26" x14ac:dyDescent="0.25">
      <c r="A360" t="str">
        <f>'rockfish harvests'!A359</f>
        <v>SE</v>
      </c>
      <c r="B360">
        <f>'rockfish harvests'!B359</f>
        <v>2005</v>
      </c>
      <c r="C360" t="str">
        <f>'rockfish harvests'!C359</f>
        <v>SSEO</v>
      </c>
      <c r="D360">
        <f>'rockfish harvests'!D359</f>
        <v>12666</v>
      </c>
      <c r="E360">
        <v>5423</v>
      </c>
      <c r="F360" s="32">
        <v>0.98349167199999998</v>
      </c>
      <c r="G360" s="32">
        <v>8.9143399999999998E-5</v>
      </c>
      <c r="H360" s="7">
        <f t="shared" si="338"/>
        <v>5333.4753372559999</v>
      </c>
      <c r="I360">
        <f t="shared" si="345"/>
        <v>2621.6119214186001</v>
      </c>
      <c r="J360">
        <f t="shared" si="339"/>
        <v>51.201678892577341</v>
      </c>
      <c r="K360" s="6">
        <f t="shared" si="340"/>
        <v>100.35529062945159</v>
      </c>
      <c r="M360" s="2">
        <f>'rockfish harvests'!O359</f>
        <v>6137.826586634088</v>
      </c>
      <c r="N360">
        <f>'rockfish harvests'!P359</f>
        <v>4390688.5733686173</v>
      </c>
      <c r="O360" s="32">
        <v>0.61743827600000001</v>
      </c>
      <c r="P360" s="32">
        <v>5.442634E-3</v>
      </c>
      <c r="Q360" s="13">
        <f t="shared" ref="Q360:Q373" si="418">M360*O360</f>
        <v>3789.729066038316</v>
      </c>
      <c r="R360" s="2">
        <f t="shared" si="390"/>
        <v>1855005.2914180872</v>
      </c>
      <c r="S360">
        <f t="shared" si="341"/>
        <v>1361.9857897269292</v>
      </c>
      <c r="T360" s="6">
        <f t="shared" si="342"/>
        <v>2669.4921478647811</v>
      </c>
      <c r="V360" s="13">
        <f t="shared" ref="V360:V373" si="419">Q360+H360</f>
        <v>9123.2044032943159</v>
      </c>
      <c r="W360">
        <f t="shared" ref="W360:W373" si="420">R360+I360</f>
        <v>1857626.9033395059</v>
      </c>
      <c r="X360">
        <f t="shared" si="343"/>
        <v>1362.9478725686856</v>
      </c>
      <c r="Y360" s="6">
        <f t="shared" si="344"/>
        <v>2671.3778302346236</v>
      </c>
      <c r="Z360" s="14">
        <f t="shared" si="417"/>
        <v>0.14939354774036809</v>
      </c>
    </row>
    <row r="361" spans="1:26" x14ac:dyDescent="0.25">
      <c r="A361" t="str">
        <f>'rockfish harvests'!A360</f>
        <v>SE</v>
      </c>
      <c r="B361">
        <f>'rockfish harvests'!B360</f>
        <v>2006</v>
      </c>
      <c r="C361" t="str">
        <f>'rockfish harvests'!C360</f>
        <v>SSEO</v>
      </c>
      <c r="D361">
        <f>'rockfish harvests'!D360</f>
        <v>12007</v>
      </c>
      <c r="E361">
        <v>4774</v>
      </c>
      <c r="F361">
        <f>IF([2]species_comp_Region1_forR!$G274&gt;49,[2]species_comp_Region1_forR!$AD274,[2]species_comp_Region1_forR!$AF274)</f>
        <v>0.98476190500000005</v>
      </c>
      <c r="G361">
        <f>IF([2]species_comp_Region1_forR!$G274&gt;49,[2]species_comp_Region1_forR!$AE274,[2]species_comp_Region1_forR!$AG274)</f>
        <v>2.8637200000000001E-5</v>
      </c>
      <c r="H361" s="7">
        <f t="shared" ref="H361:H373" si="421">E361*F361</f>
        <v>4701.2533344700005</v>
      </c>
      <c r="I361">
        <f t="shared" si="345"/>
        <v>652.67260162720004</v>
      </c>
      <c r="J361">
        <f t="shared" ref="J361:J373" si="422">SQRT(I361)</f>
        <v>25.547457831009332</v>
      </c>
      <c r="K361" s="6">
        <f t="shared" ref="K361:K373" si="423">(1.96*J361)</f>
        <v>50.073017348778293</v>
      </c>
      <c r="M361" s="2">
        <f>'rockfish harvests'!O360</f>
        <v>5818.4812747288415</v>
      </c>
      <c r="N361">
        <f>'rockfish harvests'!P360</f>
        <v>3945687.5188521035</v>
      </c>
      <c r="O361">
        <f>IF([2]species_comp_Region1_forR!$D296&gt;49,[2]species_comp_Region1_forR!$N296,[2]species_comp_Region1_forR!$P296)</f>
        <v>0.40441176499999998</v>
      </c>
      <c r="P361">
        <f>IF([2]species_comp_Region1_forR!$D296&gt;49,[2]species_comp_Region1_forR!$O296,[2]species_comp_Region1_forR!$Q296)</f>
        <v>1.7841700000000001E-3</v>
      </c>
      <c r="Q361" s="13">
        <f t="shared" si="418"/>
        <v>2353.0622819325404</v>
      </c>
      <c r="R361" s="2">
        <f t="shared" si="390"/>
        <v>698675.5636880364</v>
      </c>
      <c r="S361">
        <f t="shared" ref="S361:S373" si="424">SQRT(R361)</f>
        <v>835.86814970307148</v>
      </c>
      <c r="T361" s="6">
        <f t="shared" ref="T361:T373" si="425">(1.96*S361)</f>
        <v>1638.3015734180201</v>
      </c>
      <c r="V361" s="13">
        <f t="shared" si="419"/>
        <v>7054.3156164025404</v>
      </c>
      <c r="W361">
        <f t="shared" si="420"/>
        <v>699328.23628966359</v>
      </c>
      <c r="X361">
        <f t="shared" ref="X361:X373" si="426">SQRT(W361)</f>
        <v>836.25847456971314</v>
      </c>
      <c r="Y361" s="6">
        <f t="shared" ref="Y361:Y373" si="427">(1.96*X361)</f>
        <v>1639.0666101566378</v>
      </c>
      <c r="Z361" s="14">
        <f t="shared" si="417"/>
        <v>0.11854565631076433</v>
      </c>
    </row>
    <row r="362" spans="1:26" x14ac:dyDescent="0.25">
      <c r="A362" t="str">
        <f>'rockfish harvests'!A361</f>
        <v>SE</v>
      </c>
      <c r="B362">
        <f>'rockfish harvests'!B361</f>
        <v>2007</v>
      </c>
      <c r="C362" t="str">
        <f>'rockfish harvests'!C361</f>
        <v>SSEO</v>
      </c>
      <c r="D362">
        <f>'rockfish harvests'!D361</f>
        <v>12018</v>
      </c>
      <c r="E362">
        <v>5924</v>
      </c>
      <c r="F362">
        <f>IF([2]species_comp_Region1_forR!$G275&gt;49,[2]species_comp_Region1_forR!$AD275,[2]species_comp_Region1_forR!$AF275)</f>
        <v>0.98068181799999998</v>
      </c>
      <c r="G362">
        <f>IF([2]species_comp_Region1_forR!$G275&gt;49,[2]species_comp_Region1_forR!$AE275,[2]species_comp_Region1_forR!$AG275)</f>
        <v>2.1552900000000002E-5</v>
      </c>
      <c r="H362" s="7">
        <f t="shared" si="421"/>
        <v>5809.5590898319997</v>
      </c>
      <c r="I362">
        <f t="shared" ref="I362:I373" si="428">(E362^2)*G362</f>
        <v>756.37264475040001</v>
      </c>
      <c r="J362">
        <f t="shared" si="422"/>
        <v>27.502229814151434</v>
      </c>
      <c r="K362" s="6">
        <f t="shared" si="423"/>
        <v>53.904370435736809</v>
      </c>
      <c r="M362" s="2">
        <f>'rockfish harvests'!O361</f>
        <v>5823.8117731066231</v>
      </c>
      <c r="N362">
        <f>'rockfish harvests'!P361</f>
        <v>3952920.3736786586</v>
      </c>
      <c r="O362">
        <f>IF([2]species_comp_Region1_forR!$D297&gt;49,[2]species_comp_Region1_forR!$N297,[2]species_comp_Region1_forR!$P297)</f>
        <v>0.62533692699999999</v>
      </c>
      <c r="P362">
        <f>IF([2]species_comp_Region1_forR!$D297&gt;49,[2]species_comp_Region1_forR!$O297,[2]species_comp_Region1_forR!$Q297)</f>
        <v>6.3321799999999995E-4</v>
      </c>
      <c r="Q362" s="13">
        <f t="shared" si="418"/>
        <v>3641.8445576209169</v>
      </c>
      <c r="R362" s="2">
        <f t="shared" si="390"/>
        <v>1564748.4342309434</v>
      </c>
      <c r="S362">
        <f t="shared" si="424"/>
        <v>1250.8990503757461</v>
      </c>
      <c r="T362" s="6">
        <f t="shared" si="425"/>
        <v>2451.7621387364625</v>
      </c>
      <c r="V362" s="13">
        <f t="shared" si="419"/>
        <v>9451.4036474529166</v>
      </c>
      <c r="W362">
        <f t="shared" si="420"/>
        <v>1565504.8068756938</v>
      </c>
      <c r="X362">
        <f t="shared" si="426"/>
        <v>1251.2013454579139</v>
      </c>
      <c r="Y362" s="6">
        <f t="shared" si="427"/>
        <v>2452.3546370975114</v>
      </c>
      <c r="Z362" s="14">
        <f t="shared" si="417"/>
        <v>0.13238259544603234</v>
      </c>
    </row>
    <row r="363" spans="1:26" x14ac:dyDescent="0.25">
      <c r="A363" t="str">
        <f>'rockfish harvests'!A362</f>
        <v>SE</v>
      </c>
      <c r="B363">
        <f>'rockfish harvests'!B362</f>
        <v>2008</v>
      </c>
      <c r="C363" t="str">
        <f>'rockfish harvests'!C362</f>
        <v>SSEO</v>
      </c>
      <c r="D363">
        <f>'rockfish harvests'!D362</f>
        <v>17754</v>
      </c>
      <c r="E363">
        <v>10801</v>
      </c>
      <c r="F363">
        <f>IF([2]species_comp_Region1_forR!$G276&gt;49,[2]species_comp_Region1_forR!$AD276,[2]species_comp_Region1_forR!$AF276)</f>
        <v>0.98483080499999998</v>
      </c>
      <c r="G363">
        <f>IF([2]species_comp_Region1_forR!$G276&gt;49,[2]species_comp_Region1_forR!$AE276,[2]species_comp_Region1_forR!$AG276)</f>
        <v>8.7210100000000007E-6</v>
      </c>
      <c r="H363" s="7">
        <f t="shared" si="421"/>
        <v>10637.157524804999</v>
      </c>
      <c r="I363">
        <f t="shared" si="428"/>
        <v>1017.4069889370101</v>
      </c>
      <c r="J363">
        <f t="shared" si="422"/>
        <v>31.89681784970109</v>
      </c>
      <c r="K363" s="6">
        <f t="shared" si="423"/>
        <v>62.517762985414137</v>
      </c>
      <c r="M363" s="2">
        <f>'rockfish harvests'!O362</f>
        <v>8603.4243817386414</v>
      </c>
      <c r="N363">
        <f>'rockfish harvests'!P362</f>
        <v>8626727.8588684946</v>
      </c>
      <c r="O363">
        <f>IF([2]species_comp_Region1_forR!$D298&gt;49,[2]species_comp_Region1_forR!$N298,[2]species_comp_Region1_forR!$P298)</f>
        <v>0.64849624100000003</v>
      </c>
      <c r="P363">
        <f>IF([2]species_comp_Region1_forR!$D298&gt;49,[2]species_comp_Region1_forR!$O298,[2]species_comp_Region1_forR!$Q298)</f>
        <v>4.2928200000000001E-4</v>
      </c>
      <c r="Q363" s="13">
        <f t="shared" si="418"/>
        <v>5579.2883712852581</v>
      </c>
      <c r="R363" s="2">
        <f t="shared" si="390"/>
        <v>3656019.4395621186</v>
      </c>
      <c r="S363">
        <f t="shared" si="424"/>
        <v>1912.0720278174979</v>
      </c>
      <c r="T363" s="6">
        <f t="shared" si="425"/>
        <v>3747.6611745222958</v>
      </c>
      <c r="V363" s="13">
        <f t="shared" si="419"/>
        <v>16216.445896090258</v>
      </c>
      <c r="W363">
        <f t="shared" si="420"/>
        <v>3657036.8465510556</v>
      </c>
      <c r="X363">
        <f t="shared" si="426"/>
        <v>1912.3380576014943</v>
      </c>
      <c r="Y363" s="6">
        <f t="shared" si="427"/>
        <v>3748.1825928989288</v>
      </c>
      <c r="Z363" s="14">
        <f t="shared" si="417"/>
        <v>0.11792584329853399</v>
      </c>
    </row>
    <row r="364" spans="1:26" x14ac:dyDescent="0.25">
      <c r="A364" t="str">
        <f>'rockfish harvests'!A363</f>
        <v>SE</v>
      </c>
      <c r="B364">
        <f>'rockfish harvests'!B363</f>
        <v>2009</v>
      </c>
      <c r="C364" t="str">
        <f>'rockfish harvests'!C363</f>
        <v>SSEO</v>
      </c>
      <c r="D364">
        <f>'rockfish harvests'!D363</f>
        <v>9645</v>
      </c>
      <c r="E364">
        <v>5953</v>
      </c>
      <c r="F364">
        <f>IF([2]species_comp_Region1_forR!$G277&gt;49,[2]species_comp_Region1_forR!$AD277,[2]species_comp_Region1_forR!$AF277)</f>
        <v>0.97634691200000001</v>
      </c>
      <c r="G364">
        <f>IF([2]species_comp_Region1_forR!$G277&gt;49,[2]species_comp_Region1_forR!$AE277,[2]species_comp_Region1_forR!$AG277)</f>
        <v>3.0386300000000001E-5</v>
      </c>
      <c r="H364" s="7">
        <f t="shared" si="421"/>
        <v>5812.1931671359998</v>
      </c>
      <c r="I364">
        <f t="shared" si="428"/>
        <v>1076.8360501367001</v>
      </c>
      <c r="J364">
        <f t="shared" si="422"/>
        <v>32.815180178336675</v>
      </c>
      <c r="K364" s="6">
        <f t="shared" si="423"/>
        <v>64.317753149539882</v>
      </c>
      <c r="M364" s="2">
        <f>'rockfish harvests'!O363</f>
        <v>4673.8778957907616</v>
      </c>
      <c r="N364">
        <f>'rockfish harvests'!P363</f>
        <v>2545998.4255660125</v>
      </c>
      <c r="O364">
        <f>IF([2]species_comp_Region1_forR!$D299&gt;49,[2]species_comp_Region1_forR!$N299,[2]species_comp_Region1_forR!$P299)</f>
        <v>0.64373088700000003</v>
      </c>
      <c r="P364">
        <f>IF([2]species_comp_Region1_forR!$D299&gt;49,[2]species_comp_Region1_forR!$O299,[2]species_comp_Region1_forR!$Q299)</f>
        <v>3.51212E-4</v>
      </c>
      <c r="Q364" s="13">
        <f t="shared" si="418"/>
        <v>3008.7195635870808</v>
      </c>
      <c r="R364" s="2">
        <f t="shared" si="390"/>
        <v>1061812.9878987977</v>
      </c>
      <c r="S364">
        <f t="shared" si="424"/>
        <v>1030.4431026984448</v>
      </c>
      <c r="T364" s="6">
        <f t="shared" si="425"/>
        <v>2019.6684812889519</v>
      </c>
      <c r="V364" s="13">
        <f t="shared" si="419"/>
        <v>8820.912730723081</v>
      </c>
      <c r="W364">
        <f t="shared" si="420"/>
        <v>1062889.8239489344</v>
      </c>
      <c r="X364">
        <f t="shared" si="426"/>
        <v>1030.9654814536393</v>
      </c>
      <c r="Y364" s="6">
        <f t="shared" si="427"/>
        <v>2020.6923436491329</v>
      </c>
      <c r="Z364" s="14">
        <f t="shared" si="417"/>
        <v>0.11687741540201446</v>
      </c>
    </row>
    <row r="365" spans="1:26" x14ac:dyDescent="0.25">
      <c r="A365" t="str">
        <f>'rockfish harvests'!A364</f>
        <v>SE</v>
      </c>
      <c r="B365">
        <f>'rockfish harvests'!B364</f>
        <v>2010</v>
      </c>
      <c r="C365" t="str">
        <f>'rockfish harvests'!C364</f>
        <v>SSEO</v>
      </c>
      <c r="D365">
        <f>'rockfish harvests'!D364</f>
        <v>12415</v>
      </c>
      <c r="E365">
        <v>7422</v>
      </c>
      <c r="F365">
        <f>IF([2]species_comp_Region1_forR!$G278&gt;49,[2]species_comp_Region1_forR!$AD278,[2]species_comp_Region1_forR!$AF278)</f>
        <v>0.98746642799999995</v>
      </c>
      <c r="G365">
        <f>IF([2]species_comp_Region1_forR!$G278&gt;49,[2]species_comp_Region1_forR!$AE278,[2]species_comp_Region1_forR!$AG278)</f>
        <v>1.1090000000000001E-5</v>
      </c>
      <c r="H365" s="7">
        <f t="shared" si="421"/>
        <v>7328.9758286159995</v>
      </c>
      <c r="I365">
        <f t="shared" si="428"/>
        <v>610.90467156</v>
      </c>
      <c r="J365">
        <f t="shared" si="422"/>
        <v>24.716485825456662</v>
      </c>
      <c r="K365" s="6">
        <f t="shared" si="423"/>
        <v>48.444312217895053</v>
      </c>
      <c r="M365" s="2">
        <f>'rockfish harvests'!O364</f>
        <v>6016.1943054683579</v>
      </c>
      <c r="N365">
        <f>'rockfish harvests'!P364</f>
        <v>4218393.7471152442</v>
      </c>
      <c r="O365">
        <f>IF([2]species_comp_Region1_forR!$D300&gt;49,[2]species_comp_Region1_forR!$N300,[2]species_comp_Region1_forR!$P300)</f>
        <v>0.54278416299999999</v>
      </c>
      <c r="P365">
        <f>IF([2]species_comp_Region1_forR!$D300&gt;49,[2]species_comp_Region1_forR!$O300,[2]species_comp_Region1_forR!$Q300)</f>
        <v>3.1735200000000002E-4</v>
      </c>
      <c r="Q365" s="13">
        <f t="shared" si="418"/>
        <v>3265.494990539009</v>
      </c>
      <c r="R365" s="2">
        <f t="shared" si="390"/>
        <v>1252948.2983372621</v>
      </c>
      <c r="S365">
        <f t="shared" si="424"/>
        <v>1119.3517312879192</v>
      </c>
      <c r="T365" s="6">
        <f t="shared" si="425"/>
        <v>2193.9293933243216</v>
      </c>
      <c r="V365" s="13">
        <f t="shared" si="419"/>
        <v>10594.470819155009</v>
      </c>
      <c r="W365">
        <f t="shared" si="420"/>
        <v>1253559.2030088222</v>
      </c>
      <c r="X365">
        <f t="shared" si="426"/>
        <v>1119.6245812810748</v>
      </c>
      <c r="Y365" s="6">
        <f t="shared" si="427"/>
        <v>2194.4641793109067</v>
      </c>
      <c r="Z365" s="14">
        <f t="shared" si="417"/>
        <v>0.1056800854325609</v>
      </c>
    </row>
    <row r="366" spans="1:26" x14ac:dyDescent="0.25">
      <c r="A366" t="str">
        <f>'rockfish harvests'!A365</f>
        <v>SE</v>
      </c>
      <c r="B366">
        <f>'rockfish harvests'!B365</f>
        <v>2011</v>
      </c>
      <c r="C366" t="str">
        <f>'rockfish harvests'!C365</f>
        <v>SSEO</v>
      </c>
      <c r="D366">
        <f>'rockfish harvests'!D365</f>
        <v>11926</v>
      </c>
      <c r="E366">
        <v>8143</v>
      </c>
      <c r="F366">
        <f>IF([2]species_comp_Region1_forR!$G279&gt;49,[2]species_comp_Region1_forR!$AD279,[2]species_comp_Region1_forR!$AF279)</f>
        <v>0.99284692399999996</v>
      </c>
      <c r="G366">
        <f>IF([2]species_comp_Region1_forR!$G279&gt;49,[2]species_comp_Region1_forR!$AE279,[2]species_comp_Region1_forR!$AG279)</f>
        <v>5.0836900000000003E-6</v>
      </c>
      <c r="H366" s="7">
        <f t="shared" si="421"/>
        <v>8084.7525021319998</v>
      </c>
      <c r="I366">
        <f t="shared" si="428"/>
        <v>337.09159909681</v>
      </c>
      <c r="J366">
        <f t="shared" si="422"/>
        <v>18.360054441553544</v>
      </c>
      <c r="K366" s="6">
        <f t="shared" si="423"/>
        <v>35.985706705444947</v>
      </c>
      <c r="M366" s="2">
        <f>'rockfish harvests'!O365</f>
        <v>5499.8326454033777</v>
      </c>
      <c r="N366">
        <f>'rockfish harvests'!P365</f>
        <v>3434887.6393615259</v>
      </c>
      <c r="O366">
        <f>IF([2]species_comp_Region1_forR!$D301&gt;49,[2]species_comp_Region1_forR!$N301,[2]species_comp_Region1_forR!$P301)</f>
        <v>0.60861056800000002</v>
      </c>
      <c r="P366">
        <f>IF([2]species_comp_Region1_forR!$D301&gt;49,[2]species_comp_Region1_forR!$O301,[2]species_comp_Region1_forR!$Q301)</f>
        <v>4.6706599999999998E-4</v>
      </c>
      <c r="Q366" s="13">
        <f t="shared" si="418"/>
        <v>3347.2562702238924</v>
      </c>
      <c r="R366" s="2">
        <f t="shared" si="390"/>
        <v>1284829.3869718774</v>
      </c>
      <c r="S366">
        <f t="shared" si="424"/>
        <v>1133.503148196721</v>
      </c>
      <c r="T366" s="6">
        <f t="shared" si="425"/>
        <v>2221.666170465573</v>
      </c>
      <c r="V366" s="13">
        <f t="shared" si="419"/>
        <v>11432.008772355892</v>
      </c>
      <c r="W366">
        <f t="shared" si="420"/>
        <v>1285166.4785709742</v>
      </c>
      <c r="X366">
        <f t="shared" si="426"/>
        <v>1133.6518330470667</v>
      </c>
      <c r="Y366" s="6">
        <f t="shared" si="427"/>
        <v>2221.9575927722508</v>
      </c>
      <c r="Z366" s="14">
        <f t="shared" si="417"/>
        <v>9.916470986169873E-2</v>
      </c>
    </row>
    <row r="367" spans="1:26" x14ac:dyDescent="0.25">
      <c r="A367" t="str">
        <f>'rockfish harvests'!A366</f>
        <v>SE</v>
      </c>
      <c r="B367">
        <f>'rockfish harvests'!B366</f>
        <v>2012</v>
      </c>
      <c r="C367" t="str">
        <f>'rockfish harvests'!C366</f>
        <v>SSEO</v>
      </c>
      <c r="D367">
        <f>'rockfish harvests'!D366</f>
        <v>14290</v>
      </c>
      <c r="E367">
        <v>9606</v>
      </c>
      <c r="F367">
        <f>IF([2]species_comp_Region1_forR!$G280&gt;49,[2]species_comp_Region1_forR!$AD280,[2]species_comp_Region1_forR!$AF280)</f>
        <v>0.96571028699999995</v>
      </c>
      <c r="G367">
        <f>IF([2]species_comp_Region1_forR!$G280&gt;49,[2]species_comp_Region1_forR!$AE280,[2]species_comp_Region1_forR!$AG280)</f>
        <v>2.3189000000000001E-5</v>
      </c>
      <c r="H367" s="7">
        <f t="shared" si="421"/>
        <v>9276.6130169219996</v>
      </c>
      <c r="I367">
        <f t="shared" si="428"/>
        <v>2139.7704476040003</v>
      </c>
      <c r="J367">
        <f t="shared" si="422"/>
        <v>46.257652854462904</v>
      </c>
      <c r="K367" s="6">
        <f t="shared" si="423"/>
        <v>90.664999594747286</v>
      </c>
      <c r="M367" s="2">
        <f>'rockfish harvests'!O366</f>
        <v>7211.4840486137473</v>
      </c>
      <c r="N367">
        <f>'rockfish harvests'!P366</f>
        <v>3512142.9566568048</v>
      </c>
      <c r="O367">
        <f>IF([2]species_comp_Region1_forR!$D302&gt;49,[2]species_comp_Region1_forR!$N302,[2]species_comp_Region1_forR!$P302)</f>
        <v>0.66176470600000004</v>
      </c>
      <c r="P367">
        <f>IF([2]species_comp_Region1_forR!$D302&gt;49,[2]species_comp_Region1_forR!$O302,[2]species_comp_Region1_forR!$Q302)</f>
        <v>3.66337E-4</v>
      </c>
      <c r="Q367" s="13">
        <f t="shared" si="418"/>
        <v>4772.3056212545662</v>
      </c>
      <c r="R367" s="2">
        <f t="shared" si="390"/>
        <v>1555846.5487976095</v>
      </c>
      <c r="S367">
        <f t="shared" si="424"/>
        <v>1247.3357802923836</v>
      </c>
      <c r="T367" s="6">
        <f t="shared" si="425"/>
        <v>2444.7781293730718</v>
      </c>
      <c r="V367" s="13">
        <f t="shared" si="419"/>
        <v>14048.918638176565</v>
      </c>
      <c r="W367">
        <f t="shared" si="420"/>
        <v>1557986.3192452134</v>
      </c>
      <c r="X367">
        <f t="shared" si="426"/>
        <v>1248.1932219192722</v>
      </c>
      <c r="Y367" s="6">
        <f t="shared" si="427"/>
        <v>2446.4587149617737</v>
      </c>
      <c r="Z367" s="14">
        <f t="shared" si="417"/>
        <v>8.8846213296974258E-2</v>
      </c>
    </row>
    <row r="368" spans="1:26" x14ac:dyDescent="0.25">
      <c r="A368" t="str">
        <f>'rockfish harvests'!A367</f>
        <v>SE</v>
      </c>
      <c r="B368">
        <f>'rockfish harvests'!B367</f>
        <v>2013</v>
      </c>
      <c r="C368" t="str">
        <f>'rockfish harvests'!C367</f>
        <v>SSEO</v>
      </c>
      <c r="D368">
        <f>'rockfish harvests'!D367</f>
        <v>15619</v>
      </c>
      <c r="E368">
        <v>11144</v>
      </c>
      <c r="F368">
        <f>IF([2]species_comp_Region1_forR!$G281&gt;49,[2]species_comp_Region1_forR!$AD281,[2]species_comp_Region1_forR!$AF281)</f>
        <v>0.98641087100000002</v>
      </c>
      <c r="G368">
        <f>IF([2]species_comp_Region1_forR!$G281&gt;49,[2]species_comp_Region1_forR!$AE281,[2]species_comp_Region1_forR!$AG281)</f>
        <v>5.3596399999999997E-6</v>
      </c>
      <c r="H368" s="7">
        <f t="shared" si="421"/>
        <v>10992.562746424001</v>
      </c>
      <c r="I368">
        <f t="shared" si="428"/>
        <v>665.60691701503993</v>
      </c>
      <c r="J368">
        <f t="shared" si="422"/>
        <v>25.799358848914054</v>
      </c>
      <c r="K368" s="6">
        <f t="shared" si="423"/>
        <v>50.566743343871543</v>
      </c>
      <c r="M368" s="2">
        <f>'rockfish harvests'!O367</f>
        <v>7064.6801916454569</v>
      </c>
      <c r="N368">
        <f>'rockfish harvests'!P367</f>
        <v>3429125.8906986257</v>
      </c>
      <c r="O368">
        <f>IF([2]species_comp_Region1_forR!$D303&gt;49,[2]species_comp_Region1_forR!$N303,[2]species_comp_Region1_forR!$P303)</f>
        <v>0.675789474</v>
      </c>
      <c r="P368">
        <f>IF([2]species_comp_Region1_forR!$D303&gt;49,[2]species_comp_Region1_forR!$O303,[2]species_comp_Region1_forR!$Q303)</f>
        <v>4.6223199999999997E-4</v>
      </c>
      <c r="Q368" s="13">
        <f t="shared" si="418"/>
        <v>4774.2365106903026</v>
      </c>
      <c r="R368" s="2">
        <f t="shared" si="390"/>
        <v>1587537.1605604924</v>
      </c>
      <c r="S368">
        <f t="shared" si="424"/>
        <v>1259.975063467723</v>
      </c>
      <c r="T368" s="6">
        <f t="shared" si="425"/>
        <v>2469.5511243967371</v>
      </c>
      <c r="V368" s="13">
        <f t="shared" si="419"/>
        <v>15766.799257114304</v>
      </c>
      <c r="W368">
        <f t="shared" si="420"/>
        <v>1588202.7674775075</v>
      </c>
      <c r="X368">
        <f t="shared" si="426"/>
        <v>1260.2391707439931</v>
      </c>
      <c r="Y368" s="6">
        <f t="shared" si="427"/>
        <v>2470.0687746582266</v>
      </c>
      <c r="Z368" s="14">
        <f t="shared" si="417"/>
        <v>7.992993062148282E-2</v>
      </c>
    </row>
    <row r="369" spans="1:26" x14ac:dyDescent="0.25">
      <c r="A369" t="str">
        <f>'rockfish harvests'!A368</f>
        <v>SE</v>
      </c>
      <c r="B369">
        <f>'rockfish harvests'!B368</f>
        <v>2014</v>
      </c>
      <c r="C369" t="str">
        <f>'rockfish harvests'!C368</f>
        <v>SSEO</v>
      </c>
      <c r="D369">
        <f>'rockfish harvests'!D368</f>
        <v>18453</v>
      </c>
      <c r="E369">
        <v>13323</v>
      </c>
      <c r="F369">
        <f>IF([2]species_comp_Region1_forR!$G282&gt;49,[2]species_comp_Region1_forR!$AD282,[2]species_comp_Region1_forR!$AF282)</f>
        <v>0.96467589200000003</v>
      </c>
      <c r="G369">
        <f>IF([2]species_comp_Region1_forR!$G282&gt;49,[2]species_comp_Region1_forR!$AE282,[2]species_comp_Region1_forR!$AG282)</f>
        <v>1.2414E-5</v>
      </c>
      <c r="H369" s="7">
        <f t="shared" si="421"/>
        <v>12852.376909116001</v>
      </c>
      <c r="I369">
        <f t="shared" si="428"/>
        <v>2203.513912206</v>
      </c>
      <c r="J369">
        <f t="shared" si="422"/>
        <v>46.941601082685708</v>
      </c>
      <c r="K369" s="6">
        <f t="shared" si="423"/>
        <v>92.005538122063982</v>
      </c>
      <c r="M369" s="2">
        <f>'rockfish harvests'!O368</f>
        <v>5969.0572591587515</v>
      </c>
      <c r="N369">
        <f>'rockfish harvests'!P368</f>
        <v>5648205.4842977012</v>
      </c>
      <c r="O369">
        <f>IF([2]species_comp_Region1_forR!$D304&gt;49,[2]species_comp_Region1_forR!$N304,[2]species_comp_Region1_forR!$P304)</f>
        <v>0.601941748</v>
      </c>
      <c r="P369">
        <f>IF([2]species_comp_Region1_forR!$D304&gt;49,[2]species_comp_Region1_forR!$O304,[2]species_comp_Region1_forR!$Q304)</f>
        <v>3.8834299999999998E-4</v>
      </c>
      <c r="Q369" s="13">
        <f t="shared" si="418"/>
        <v>3593.0247604901078</v>
      </c>
      <c r="R369" s="2">
        <f t="shared" si="390"/>
        <v>2058179.2222975306</v>
      </c>
      <c r="S369">
        <f t="shared" si="424"/>
        <v>1434.6355712505983</v>
      </c>
      <c r="T369" s="6">
        <f t="shared" si="425"/>
        <v>2811.8857196511726</v>
      </c>
      <c r="V369" s="13">
        <f t="shared" si="419"/>
        <v>16445.401669606108</v>
      </c>
      <c r="W369">
        <f t="shared" si="420"/>
        <v>2060382.7362097367</v>
      </c>
      <c r="X369">
        <f t="shared" si="426"/>
        <v>1435.403335724749</v>
      </c>
      <c r="Y369" s="6">
        <f t="shared" si="427"/>
        <v>2813.3905380205078</v>
      </c>
      <c r="Z369" s="14">
        <f t="shared" si="417"/>
        <v>8.7282959976442406E-2</v>
      </c>
    </row>
    <row r="370" spans="1:26" x14ac:dyDescent="0.25">
      <c r="A370" t="str">
        <f>'rockfish harvests'!A369</f>
        <v>SE</v>
      </c>
      <c r="B370">
        <f>'rockfish harvests'!B369</f>
        <v>2015</v>
      </c>
      <c r="C370" t="str">
        <f>'rockfish harvests'!C369</f>
        <v>SSEO</v>
      </c>
      <c r="D370">
        <f>'rockfish harvests'!D369</f>
        <v>17669</v>
      </c>
      <c r="E370">
        <v>12749</v>
      </c>
      <c r="F370">
        <f>IF([2]species_comp_Region1_forR!$G283&gt;49,[2]species_comp_Region1_forR!$AD283,[2]species_comp_Region1_forR!$AF283)</f>
        <v>0.98942172100000003</v>
      </c>
      <c r="G370">
        <f>IF([2]species_comp_Region1_forR!$G283&gt;49,[2]species_comp_Region1_forR!$AE283,[2]species_comp_Region1_forR!$AG283)</f>
        <v>3.6918399999999998E-6</v>
      </c>
      <c r="H370" s="7">
        <f t="shared" si="421"/>
        <v>12614.137521029001</v>
      </c>
      <c r="I370">
        <f t="shared" si="428"/>
        <v>600.06060177183997</v>
      </c>
      <c r="J370">
        <f t="shared" si="422"/>
        <v>24.496134425085113</v>
      </c>
      <c r="K370" s="6">
        <f t="shared" si="423"/>
        <v>48.01242347316682</v>
      </c>
      <c r="M370" s="2">
        <f>'rockfish harvests'!O369</f>
        <v>15546.524335519505</v>
      </c>
      <c r="N370">
        <f>'rockfish harvests'!P369</f>
        <v>23591989.047447968</v>
      </c>
      <c r="O370">
        <f>IF([2]species_comp_Region1_forR!$D305&gt;49,[2]species_comp_Region1_forR!$N305,[2]species_comp_Region1_forR!$P305)</f>
        <v>0.64264705899999996</v>
      </c>
      <c r="P370">
        <f>IF([2]species_comp_Region1_forR!$D305&gt;49,[2]species_comp_Region1_forR!$O305,[2]species_comp_Region1_forR!$Q305)</f>
        <v>3.3822099999999999E-4</v>
      </c>
      <c r="Q370" s="13">
        <f t="shared" si="418"/>
        <v>9990.9281418935389</v>
      </c>
      <c r="R370" s="2">
        <f t="shared" si="390"/>
        <v>9817146.0582566336</v>
      </c>
      <c r="S370">
        <f t="shared" si="424"/>
        <v>3133.2325254051339</v>
      </c>
      <c r="T370" s="6">
        <f t="shared" si="425"/>
        <v>6141.1357497940626</v>
      </c>
      <c r="V370" s="13">
        <f t="shared" si="419"/>
        <v>22605.065662922541</v>
      </c>
      <c r="W370">
        <f t="shared" si="420"/>
        <v>9817746.1188584063</v>
      </c>
      <c r="X370">
        <f t="shared" si="426"/>
        <v>3133.3282813740416</v>
      </c>
      <c r="Y370" s="6">
        <f t="shared" si="427"/>
        <v>6141.3234314931215</v>
      </c>
      <c r="Z370" s="14">
        <f t="shared" si="417"/>
        <v>0.13861177525856136</v>
      </c>
    </row>
    <row r="371" spans="1:26" x14ac:dyDescent="0.25">
      <c r="A371" t="str">
        <f>'rockfish harvests'!A370</f>
        <v>SE</v>
      </c>
      <c r="B371">
        <f>'rockfish harvests'!B370</f>
        <v>2016</v>
      </c>
      <c r="C371" t="str">
        <f>'rockfish harvests'!C370</f>
        <v>SSEO</v>
      </c>
      <c r="D371">
        <f>'rockfish harvests'!D370</f>
        <v>17707</v>
      </c>
      <c r="E371">
        <v>13558</v>
      </c>
      <c r="F371">
        <f>IF([2]species_comp_Region1_forR!$G284&gt;49,[2]species_comp_Region1_forR!$AD284,[2]species_comp_Region1_forR!$AF284)</f>
        <v>0.99331783799999995</v>
      </c>
      <c r="G371">
        <f>IF([2]species_comp_Region1_forR!$G284&gt;49,[2]species_comp_Region1_forR!$AE284,[2]species_comp_Region1_forR!$AG284)</f>
        <v>1.92895E-6</v>
      </c>
      <c r="H371" s="7">
        <f t="shared" si="421"/>
        <v>13467.403247603999</v>
      </c>
      <c r="I371">
        <f t="shared" si="428"/>
        <v>354.5783621878</v>
      </c>
      <c r="J371">
        <f t="shared" si="422"/>
        <v>18.83025125131898</v>
      </c>
      <c r="K371" s="6">
        <f t="shared" si="423"/>
        <v>36.907292452585203</v>
      </c>
      <c r="M371" s="2">
        <f>'rockfish harvests'!O370</f>
        <v>9530.7617028217246</v>
      </c>
      <c r="N371">
        <f>'rockfish harvests'!P370</f>
        <v>11849070.145310419</v>
      </c>
      <c r="O371">
        <f>IF([2]species_comp_Region1_forR!$D306&gt;49,[2]species_comp_Region1_forR!$N306,[2]species_comp_Region1_forR!$P306)</f>
        <v>0.62983425400000004</v>
      </c>
      <c r="P371">
        <f>IF([2]species_comp_Region1_forR!$D306&gt;49,[2]species_comp_Region1_forR!$O306,[2]species_comp_Region1_forR!$Q306)</f>
        <v>6.4582599999999995E-4</v>
      </c>
      <c r="Q371" s="13">
        <f t="shared" si="418"/>
        <v>6002.8001871484912</v>
      </c>
      <c r="R371" s="2">
        <f t="shared" si="390"/>
        <v>4751433.1443533851</v>
      </c>
      <c r="S371">
        <f t="shared" si="424"/>
        <v>2179.7782328377775</v>
      </c>
      <c r="T371" s="6">
        <f t="shared" si="425"/>
        <v>4272.3653363620442</v>
      </c>
      <c r="V371" s="13">
        <f t="shared" si="419"/>
        <v>19470.20343475249</v>
      </c>
      <c r="W371">
        <f t="shared" si="420"/>
        <v>4751787.7227155725</v>
      </c>
      <c r="X371">
        <f t="shared" si="426"/>
        <v>2179.8595649067793</v>
      </c>
      <c r="Y371" s="6">
        <f t="shared" si="427"/>
        <v>4272.5247472172869</v>
      </c>
      <c r="Z371" s="14">
        <f t="shared" si="417"/>
        <v>0.11195874620477432</v>
      </c>
    </row>
    <row r="372" spans="1:26" x14ac:dyDescent="0.25">
      <c r="A372" t="str">
        <f>'rockfish harvests'!A371</f>
        <v>SE</v>
      </c>
      <c r="B372">
        <f>'rockfish harvests'!B371</f>
        <v>2017</v>
      </c>
      <c r="C372" t="str">
        <f>'rockfish harvests'!C371</f>
        <v>SSEO</v>
      </c>
      <c r="D372">
        <f>'rockfish harvests'!D371</f>
        <v>20760</v>
      </c>
      <c r="E372">
        <v>16390</v>
      </c>
      <c r="F372">
        <f>IF([2]species_comp_Region1_forR!$G285&gt;49,[2]species_comp_Region1_forR!$AD285,[2]species_comp_Region1_forR!$AF285)</f>
        <v>0.98767658599999997</v>
      </c>
      <c r="G372">
        <f>IF([2]species_comp_Region1_forR!$G285&gt;49,[2]species_comp_Region1_forR!$AE285,[2]species_comp_Region1_forR!$AG285)</f>
        <v>3.65952E-6</v>
      </c>
      <c r="H372" s="7">
        <f t="shared" si="421"/>
        <v>16188.019244539999</v>
      </c>
      <c r="I372">
        <f t="shared" si="428"/>
        <v>983.06454259199995</v>
      </c>
      <c r="J372">
        <f t="shared" si="422"/>
        <v>31.353860090776703</v>
      </c>
      <c r="K372" s="6">
        <f t="shared" si="423"/>
        <v>61.453565777922336</v>
      </c>
      <c r="M372" s="2">
        <f>'rockfish harvests'!O371</f>
        <v>7420.2213327054378</v>
      </c>
      <c r="N372">
        <f>'rockfish harvests'!P371</f>
        <v>9465736.8938175309</v>
      </c>
      <c r="O372">
        <f>IF([2]species_comp_Region1_forR!$D307&gt;49,[2]species_comp_Region1_forR!$N307,[2]species_comp_Region1_forR!$P307)</f>
        <v>0.66756756799999994</v>
      </c>
      <c r="P372">
        <f>IF([2]species_comp_Region1_forR!$D307&gt;49,[2]species_comp_Region1_forR!$O307,[2]species_comp_Region1_forR!$Q307)</f>
        <v>6.0141199999999995E-4</v>
      </c>
      <c r="Q372" s="13">
        <f t="shared" si="418"/>
        <v>4953.4991090958874</v>
      </c>
      <c r="R372" s="2">
        <f t="shared" si="390"/>
        <v>4245792.8649203386</v>
      </c>
      <c r="S372">
        <f t="shared" si="424"/>
        <v>2060.5321800254269</v>
      </c>
      <c r="T372" s="6">
        <f t="shared" si="425"/>
        <v>4038.6430728498367</v>
      </c>
      <c r="V372" s="13">
        <f t="shared" si="419"/>
        <v>21141.518353635885</v>
      </c>
      <c r="W372">
        <f t="shared" si="420"/>
        <v>4246775.9294629302</v>
      </c>
      <c r="X372">
        <f t="shared" si="426"/>
        <v>2060.7707124915501</v>
      </c>
      <c r="Y372" s="6">
        <f t="shared" si="427"/>
        <v>4039.1105964834383</v>
      </c>
      <c r="Z372" s="14">
        <f t="shared" si="417"/>
        <v>9.7475057279277286E-2</v>
      </c>
    </row>
    <row r="373" spans="1:26" x14ac:dyDescent="0.25">
      <c r="A373" t="str">
        <f>'rockfish harvests'!A372</f>
        <v>SE</v>
      </c>
      <c r="B373">
        <f>'rockfish harvests'!B372</f>
        <v>2018</v>
      </c>
      <c r="C373" t="str">
        <f>'rockfish harvests'!C372</f>
        <v>SSEO</v>
      </c>
      <c r="D373">
        <f>'rockfish harvests'!D372</f>
        <v>26949</v>
      </c>
      <c r="E373">
        <v>22414</v>
      </c>
      <c r="F373">
        <f>IF([2]species_comp_Region1_forR!$G286&gt;49,[2]species_comp_Region1_forR!$AD286,[2]species_comp_Region1_forR!$AF286)</f>
        <v>0.99505222599999998</v>
      </c>
      <c r="G373">
        <f>IF([2]species_comp_Region1_forR!$G286&gt;49,[2]species_comp_Region1_forR!$AE286,[2]species_comp_Region1_forR!$AG286)</f>
        <v>1.3536700000000001E-6</v>
      </c>
      <c r="H373" s="7">
        <f t="shared" si="421"/>
        <v>22303.100593563999</v>
      </c>
      <c r="I373">
        <f t="shared" si="428"/>
        <v>680.06674634332001</v>
      </c>
      <c r="J373">
        <f t="shared" si="422"/>
        <v>26.078089392118436</v>
      </c>
      <c r="K373" s="6">
        <f t="shared" si="423"/>
        <v>51.113055208552133</v>
      </c>
      <c r="M373" s="2">
        <f>'rockfish harvests'!O372</f>
        <v>12867.635899450121</v>
      </c>
      <c r="N373">
        <f>'rockfish harvests'!P372</f>
        <v>12734528.822682161</v>
      </c>
      <c r="O373">
        <f>IF([2]species_comp_Region1_forR!$D308&gt;49,[2]species_comp_Region1_forR!$N308,[2]species_comp_Region1_forR!$P308)</f>
        <v>0.70486656199999997</v>
      </c>
      <c r="P373">
        <f>IF([2]species_comp_Region1_forR!$D308&gt;49,[2]species_comp_Region1_forR!$O308,[2]species_comp_Region1_forR!$Q308)</f>
        <v>3.27091E-4</v>
      </c>
      <c r="Q373" s="13">
        <f t="shared" si="418"/>
        <v>9069.9662775131837</v>
      </c>
      <c r="R373" s="2">
        <f t="shared" si="390"/>
        <v>6376976.5312546594</v>
      </c>
      <c r="S373">
        <f t="shared" si="424"/>
        <v>2525.267615769596</v>
      </c>
      <c r="T373" s="6">
        <f t="shared" si="425"/>
        <v>4949.524526908408</v>
      </c>
      <c r="V373" s="13">
        <f t="shared" si="419"/>
        <v>31373.066871077182</v>
      </c>
      <c r="W373">
        <f t="shared" si="420"/>
        <v>6377656.5980010023</v>
      </c>
      <c r="X373">
        <f t="shared" si="426"/>
        <v>2525.4022645909308</v>
      </c>
      <c r="Y373" s="6">
        <f t="shared" si="427"/>
        <v>4949.7884385982243</v>
      </c>
      <c r="Z373" s="14">
        <f t="shared" si="417"/>
        <v>8.0495868477528348E-2</v>
      </c>
    </row>
    <row r="374" spans="1:26" x14ac:dyDescent="0.25">
      <c r="A374" t="str">
        <f>'rockfish harvests'!A373</f>
        <v>SE</v>
      </c>
      <c r="B374">
        <f>'rockfish harvests'!B373</f>
        <v>2019</v>
      </c>
      <c r="C374" t="str">
        <f>'rockfish harvests'!C373</f>
        <v>SSEO</v>
      </c>
      <c r="D374">
        <f>'rockfish harvests'!D373</f>
        <v>22912</v>
      </c>
      <c r="E374">
        <v>19342</v>
      </c>
      <c r="F374">
        <v>0.98103975535168197</v>
      </c>
      <c r="G374">
        <v>5.6900439801755743E-6</v>
      </c>
      <c r="H374" s="7">
        <f>E374*F374</f>
        <v>18975.270948012232</v>
      </c>
      <c r="I374">
        <f>(E374^2)*G374</f>
        <v>2128.7192187138412</v>
      </c>
      <c r="J374">
        <f>SQRT(I374)</f>
        <v>46.13804524157738</v>
      </c>
      <c r="K374" s="6">
        <f>(1.96*J374)</f>
        <v>90.430568673491663</v>
      </c>
      <c r="M374" s="2">
        <f>'rockfish harvests'!O373</f>
        <v>16359.985999299963</v>
      </c>
      <c r="N374">
        <f>'rockfish harvests'!P373</f>
        <v>28189042.115738388</v>
      </c>
      <c r="O374">
        <v>0.57831325301204817</v>
      </c>
      <c r="P374">
        <v>4.9067813763112864E-4</v>
      </c>
      <c r="Q374" s="13">
        <f>M374*O374</f>
        <v>9461.1967224867258</v>
      </c>
      <c r="R374" s="2">
        <f>(M374^2)*P374+(O374^2)*N374-(P374*N374)</f>
        <v>9545216.3776269574</v>
      </c>
      <c r="S374">
        <f>SQRT(R374)</f>
        <v>3089.5333592028032</v>
      </c>
      <c r="T374" s="6">
        <f>(1.96*S374)</f>
        <v>6055.4853840374944</v>
      </c>
      <c r="V374" s="13">
        <f>Q374+H374</f>
        <v>28436.467670498958</v>
      </c>
      <c r="W374">
        <f>R374+I374</f>
        <v>9547345.0968456715</v>
      </c>
      <c r="X374">
        <f>SQRT(W374)</f>
        <v>3089.8778449714919</v>
      </c>
      <c r="Y374" s="6">
        <f>(1.96*X374)</f>
        <v>6056.1605761441242</v>
      </c>
      <c r="Z374" s="14">
        <f t="shared" si="417"/>
        <v>0.10865898960358727</v>
      </c>
    </row>
    <row r="375" spans="1:26" x14ac:dyDescent="0.25">
      <c r="A375" t="str">
        <f>'rockfish harvests'!A374</f>
        <v>SE</v>
      </c>
      <c r="B375">
        <f>'rockfish harvests'!B374</f>
        <v>2020</v>
      </c>
      <c r="C375" t="str">
        <f>'rockfish harvests'!C374</f>
        <v>SSEO</v>
      </c>
      <c r="D375">
        <f>'rockfish harvests'!D374</f>
        <v>12619</v>
      </c>
      <c r="E375">
        <v>12449</v>
      </c>
      <c r="F375" t="s">
        <v>317</v>
      </c>
      <c r="G375" t="s">
        <v>318</v>
      </c>
      <c r="H375" s="7">
        <f t="shared" ref="H375:H376" si="429">E375*F375</f>
        <v>12355.865336658349</v>
      </c>
      <c r="I375">
        <f t="shared" ref="I375:I376" si="430">(E375^2)*G375</f>
        <v>935.57671416616631</v>
      </c>
      <c r="J375">
        <f t="shared" ref="J375:J376" si="431">SQRT(I375)</f>
        <v>30.587198534128071</v>
      </c>
      <c r="K375" s="6">
        <f t="shared" ref="K375:K376" si="432">(1.96*J375)</f>
        <v>59.95090912689102</v>
      </c>
      <c r="M375" s="2">
        <f>'rockfish harvests'!O374</f>
        <v>2769.6225355790575</v>
      </c>
      <c r="N375">
        <f>'rockfish harvests'!P374</f>
        <v>1279455.8924929332</v>
      </c>
      <c r="O375">
        <v>0.95959595959595956</v>
      </c>
      <c r="P375">
        <v>1.9680991839121374E-4</v>
      </c>
      <c r="Q375" s="13">
        <f t="shared" ref="Q375:Q376" si="433">M375*O375</f>
        <v>2657.7185947475805</v>
      </c>
      <c r="R375" s="2">
        <f t="shared" ref="R375:R376" si="434">(M375^2)*P375+(O375^2)*N375-(P375*N375)</f>
        <v>1179412.0934709318</v>
      </c>
      <c r="S375">
        <f t="shared" ref="S375:S376" si="435">SQRT(R375)</f>
        <v>1086.007409491727</v>
      </c>
      <c r="T375" s="6">
        <f t="shared" ref="T375:T376" si="436">(1.96*S375)</f>
        <v>2128.5745226037848</v>
      </c>
      <c r="V375" s="13">
        <f t="shared" ref="V375:V376" si="437">Q375+H375</f>
        <v>15013.58393140593</v>
      </c>
      <c r="W375">
        <f t="shared" ref="W375:W376" si="438">R375+I375</f>
        <v>1180347.670185098</v>
      </c>
      <c r="X375">
        <f t="shared" ref="X375:X376" si="439">SQRT(W375)</f>
        <v>1086.4380655081532</v>
      </c>
      <c r="Y375" s="6">
        <f t="shared" ref="Y375:Y376" si="440">(1.96*X375)</f>
        <v>2129.4186083959803</v>
      </c>
      <c r="Z375" s="14">
        <f t="shared" ref="Z375:Z376" si="441">X375/V375</f>
        <v>7.2363672156619763E-2</v>
      </c>
    </row>
    <row r="376" spans="1:26" x14ac:dyDescent="0.25">
      <c r="A376" t="str">
        <f>'rockfish harvests'!A375</f>
        <v>SE</v>
      </c>
      <c r="B376">
        <f>'rockfish harvests'!B375</f>
        <v>2021</v>
      </c>
      <c r="C376" t="str">
        <f>'rockfish harvests'!C375</f>
        <v>SSEO</v>
      </c>
      <c r="D376">
        <f>'rockfish harvests'!D375</f>
        <v>29399</v>
      </c>
      <c r="E376">
        <v>29038</v>
      </c>
      <c r="F376" t="s">
        <v>319</v>
      </c>
      <c r="G376" t="s">
        <v>320</v>
      </c>
      <c r="H376" s="7">
        <f t="shared" si="429"/>
        <v>28499.784642541934</v>
      </c>
      <c r="I376">
        <f t="shared" si="430"/>
        <v>4424.292408094575</v>
      </c>
      <c r="J376">
        <f t="shared" si="431"/>
        <v>66.515354679160922</v>
      </c>
      <c r="K376" s="6">
        <f t="shared" si="432"/>
        <v>130.37009517115541</v>
      </c>
      <c r="M376" s="2">
        <f>'rockfish harvests'!O375</f>
        <v>1670.0870000715477</v>
      </c>
      <c r="N376">
        <f>'rockfish harvests'!P375</f>
        <v>492653.23167840909</v>
      </c>
      <c r="O376">
        <v>0.94152046783625731</v>
      </c>
      <c r="P376">
        <v>3.2388044989207333E-4</v>
      </c>
      <c r="Q376" s="13">
        <f t="shared" si="433"/>
        <v>1572.4210936346151</v>
      </c>
      <c r="R376" s="2">
        <f t="shared" si="434"/>
        <v>437461.57716914325</v>
      </c>
      <c r="S376">
        <f t="shared" si="435"/>
        <v>661.40878219837941</v>
      </c>
      <c r="T376" s="6">
        <f t="shared" si="436"/>
        <v>1296.3612131088237</v>
      </c>
      <c r="V376" s="13">
        <f t="shared" si="437"/>
        <v>30072.205736176547</v>
      </c>
      <c r="W376">
        <f t="shared" si="438"/>
        <v>441885.86957723781</v>
      </c>
      <c r="X376">
        <f t="shared" si="439"/>
        <v>664.74496581564108</v>
      </c>
      <c r="Y376" s="6">
        <f t="shared" si="440"/>
        <v>1302.9001329986565</v>
      </c>
      <c r="Z376" s="14">
        <f t="shared" si="441"/>
        <v>2.2104962025314954E-2</v>
      </c>
    </row>
    <row r="377" spans="1:26" s="51" customFormat="1" x14ac:dyDescent="0.25">
      <c r="A377" s="51" t="s">
        <v>151</v>
      </c>
      <c r="B377" s="51">
        <v>2022</v>
      </c>
      <c r="C377" s="51" t="s">
        <v>40</v>
      </c>
      <c r="D377">
        <f>'rockfish harvests'!D376</f>
        <v>38456</v>
      </c>
      <c r="E377" s="51">
        <v>37538</v>
      </c>
      <c r="F377" t="s">
        <v>201</v>
      </c>
      <c r="G377" t="s">
        <v>321</v>
      </c>
      <c r="H377" s="7">
        <f t="shared" ref="H377" si="442">E377*F377</f>
        <v>37419.295548528353</v>
      </c>
      <c r="I377">
        <f t="shared" ref="I377" si="443">(E377^2)*G377</f>
        <v>1045.630167736361</v>
      </c>
      <c r="J377">
        <f t="shared" ref="J377" si="444">SQRT(I377)</f>
        <v>32.336205215460289</v>
      </c>
      <c r="K377" s="6">
        <f t="shared" ref="K377" si="445">(1.96*J377)</f>
        <v>63.378962222302164</v>
      </c>
      <c r="L377"/>
      <c r="M377" s="2">
        <f>'rockfish harvests'!O376</f>
        <v>6059.5121025154294</v>
      </c>
      <c r="N377">
        <f>'rockfish harvests'!P376</f>
        <v>7024339.3858510992</v>
      </c>
      <c r="O377" t="s">
        <v>202</v>
      </c>
      <c r="P377" t="s">
        <v>203</v>
      </c>
      <c r="Q377" s="13">
        <f t="shared" ref="Q377" si="446">M377*O377</f>
        <v>5492.3656495706382</v>
      </c>
      <c r="R377" s="2">
        <f t="shared" ref="R377" si="447">(M377^2)*P377+(O377^2)*N377-(P377*N377)</f>
        <v>5783443.7854644125</v>
      </c>
      <c r="S377">
        <f t="shared" ref="S377" si="448">SQRT(R377)</f>
        <v>2404.8791623415118</v>
      </c>
      <c r="T377" s="6">
        <f t="shared" ref="T377" si="449">(1.96*S377)</f>
        <v>4713.5631581893631</v>
      </c>
      <c r="U377"/>
      <c r="V377" s="13">
        <f t="shared" ref="V377" si="450">Q377+H377</f>
        <v>42911.661198098991</v>
      </c>
      <c r="W377">
        <f t="shared" ref="W377" si="451">R377+I377</f>
        <v>5784489.4156321492</v>
      </c>
      <c r="X377">
        <f t="shared" ref="X377" si="452">SQRT(W377)</f>
        <v>2405.0965501684436</v>
      </c>
      <c r="Y377" s="6">
        <f t="shared" ref="Y377" si="453">(1.96*X377)</f>
        <v>4713.9892383301494</v>
      </c>
      <c r="Z377" s="14">
        <f t="shared" ref="Z377" si="454">X377/V377</f>
        <v>5.6047621625866829E-2</v>
      </c>
    </row>
  </sheetData>
  <mergeCells count="6">
    <mergeCell ref="V1:Y1"/>
    <mergeCell ref="D1:K1"/>
    <mergeCell ref="A1:A2"/>
    <mergeCell ref="B1:B2"/>
    <mergeCell ref="C1:C2"/>
    <mergeCell ref="M1:R1"/>
  </mergeCells>
  <conditionalFormatting sqref="F78:F102">
    <cfRule type="cellIs" dxfId="1" priority="2" operator="equal">
      <formula>0.44819</formula>
    </cfRule>
  </conditionalFormatting>
  <conditionalFormatting sqref="F78:G102">
    <cfRule type="cellIs" dxfId="0" priority="1" operator="equal">
      <formula>0.448187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172C-E3B2-4725-B72E-06327F54019F}">
  <dimension ref="A1:AN90"/>
  <sheetViews>
    <sheetView topLeftCell="A58" zoomScale="77" zoomScaleNormal="77" workbookViewId="0">
      <selection activeCell="Z86" sqref="Z86:Z87"/>
    </sheetView>
  </sheetViews>
  <sheetFormatPr defaultRowHeight="15" x14ac:dyDescent="0.25"/>
  <sheetData>
    <row r="1" spans="1:32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1:32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 spans="1:32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spans="1:40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40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6" spans="1:40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0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</row>
    <row r="50" spans="1:40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</row>
    <row r="51" spans="1:40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</row>
    <row r="52" spans="1:40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</row>
    <row r="53" spans="1:40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</row>
    <row r="54" spans="1:40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</row>
    <row r="56" spans="1:40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40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40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40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40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40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40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40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40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  <row r="76" spans="1:32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</row>
    <row r="77" spans="1:32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</row>
    <row r="78" spans="1:32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</row>
    <row r="79" spans="1:32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</row>
    <row r="80" spans="1:32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</row>
    <row r="81" spans="1:32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</row>
    <row r="82" spans="1:32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</row>
    <row r="83" spans="1:32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</row>
    <row r="84" spans="1:32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</row>
    <row r="85" spans="1:32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</row>
    <row r="86" spans="1:32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</row>
    <row r="87" spans="1:32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</row>
    <row r="88" spans="1:32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</row>
    <row r="89" spans="1:32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</row>
    <row r="90" spans="1:32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7F83-1005-4FCE-8C54-E1222D7E9FB7}">
  <sheetPr filterMode="1">
    <tabColor theme="9"/>
  </sheetPr>
  <dimension ref="A1:AG377"/>
  <sheetViews>
    <sheetView zoomScale="80" zoomScaleNormal="80" workbookViewId="0">
      <pane ySplit="2" topLeftCell="A228" activePane="bottomLeft" state="frozen"/>
      <selection pane="bottomLeft" activeCell="J389" sqref="J389"/>
    </sheetView>
  </sheetViews>
  <sheetFormatPr defaultRowHeight="15" x14ac:dyDescent="0.25"/>
  <cols>
    <col min="3" max="3" width="14.85546875" customWidth="1"/>
    <col min="4" max="4" width="14" customWidth="1"/>
    <col min="8" max="8" width="12" bestFit="1" customWidth="1"/>
    <col min="9" max="9" width="9.5703125" style="13" bestFit="1" customWidth="1"/>
    <col min="10" max="10" width="11.5703125" customWidth="1"/>
    <col min="11" max="11" width="9.140625" hidden="1" customWidth="1"/>
    <col min="12" max="12" width="12.85546875" customWidth="1"/>
    <col min="13" max="13" width="1.7109375" customWidth="1"/>
    <col min="17" max="17" width="12.28515625" bestFit="1" customWidth="1"/>
    <col min="20" max="20" width="10.5703125" style="13" bestFit="1" customWidth="1"/>
    <col min="21" max="21" width="11.5703125" bestFit="1" customWidth="1"/>
    <col min="22" max="22" width="0.140625" style="4" customWidth="1"/>
    <col min="23" max="23" width="9.140625" style="4"/>
    <col min="24" max="24" width="14.5703125" customWidth="1"/>
    <col min="25" max="25" width="10.5703125" style="13" bestFit="1" customWidth="1"/>
    <col min="26" max="27" width="11.85546875" bestFit="1" customWidth="1"/>
    <col min="28" max="28" width="8.5703125" bestFit="1" customWidth="1"/>
  </cols>
  <sheetData>
    <row r="1" spans="1:33" x14ac:dyDescent="0.25">
      <c r="A1" s="110" t="str">
        <f>'rockfish harvests'!A1</f>
        <v>Region</v>
      </c>
      <c r="B1" s="110" t="str">
        <f>'rockfish harvests'!B1</f>
        <v>year</v>
      </c>
      <c r="C1" s="110" t="str">
        <f>'rockfish harvests'!C1</f>
        <v>RptArea</v>
      </c>
      <c r="D1" s="109" t="s">
        <v>16</v>
      </c>
      <c r="E1" s="109"/>
      <c r="F1" s="109"/>
      <c r="G1" s="109"/>
      <c r="H1" s="109"/>
      <c r="I1" s="109"/>
      <c r="J1" s="109"/>
      <c r="K1" s="109"/>
      <c r="L1" s="109"/>
      <c r="N1" s="109" t="s">
        <v>17</v>
      </c>
      <c r="O1" s="109"/>
      <c r="P1" s="109"/>
      <c r="Q1" s="109"/>
      <c r="R1" s="109"/>
      <c r="S1" s="109"/>
      <c r="T1" s="109"/>
      <c r="U1" s="109"/>
      <c r="V1" s="9"/>
      <c r="W1" s="9"/>
      <c r="Y1" s="109" t="s">
        <v>29</v>
      </c>
      <c r="Z1" s="109"/>
      <c r="AA1" s="109"/>
      <c r="AB1" s="109"/>
    </row>
    <row r="2" spans="1:33" s="3" customFormat="1" ht="101.25" customHeight="1" x14ac:dyDescent="0.35">
      <c r="A2" s="110"/>
      <c r="B2" s="110"/>
      <c r="C2" s="110"/>
      <c r="D2" s="3" t="s">
        <v>14</v>
      </c>
      <c r="E2" s="3" t="s">
        <v>78</v>
      </c>
      <c r="F2" s="3" t="s">
        <v>79</v>
      </c>
      <c r="G2" s="3" t="s">
        <v>117</v>
      </c>
      <c r="H2" s="3" t="s">
        <v>118</v>
      </c>
      <c r="I2" s="8" t="s">
        <v>77</v>
      </c>
      <c r="J2" s="3" t="s">
        <v>120</v>
      </c>
      <c r="K2" s="3" t="s">
        <v>18</v>
      </c>
      <c r="L2" s="3" t="s">
        <v>24</v>
      </c>
      <c r="N2" s="3" t="s">
        <v>5</v>
      </c>
      <c r="O2" s="3" t="s">
        <v>8</v>
      </c>
      <c r="P2" s="3" t="s">
        <v>124</v>
      </c>
      <c r="Q2" s="3" t="s">
        <v>125</v>
      </c>
      <c r="R2" s="3" t="s">
        <v>128</v>
      </c>
      <c r="S2" s="3" t="s">
        <v>129</v>
      </c>
      <c r="T2" s="15" t="s">
        <v>121</v>
      </c>
      <c r="U2" s="3" t="s">
        <v>122</v>
      </c>
      <c r="V2" s="3" t="s">
        <v>25</v>
      </c>
      <c r="W2" s="3" t="s">
        <v>26</v>
      </c>
      <c r="Y2" s="12" t="s">
        <v>131</v>
      </c>
      <c r="Z2" s="3" t="s">
        <v>132</v>
      </c>
      <c r="AA2" s="3" t="s">
        <v>27</v>
      </c>
      <c r="AB2" s="3" t="s">
        <v>28</v>
      </c>
    </row>
    <row r="3" spans="1:33" hidden="1" x14ac:dyDescent="0.25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v>87</v>
      </c>
      <c r="F3" t="s">
        <v>159</v>
      </c>
      <c r="G3" s="38">
        <v>0.7337452100887365</v>
      </c>
      <c r="H3" s="39">
        <v>1.9214600651849493E-2</v>
      </c>
      <c r="I3" s="13">
        <f t="shared" ref="I3:I10" si="0">E3*G3</f>
        <v>63.835833277720077</v>
      </c>
      <c r="J3">
        <f>(E3^2)*H3</f>
        <v>145.4353123338488</v>
      </c>
      <c r="K3">
        <f>SQRT(J3)</f>
        <v>12.059656393689201</v>
      </c>
      <c r="L3" s="6">
        <f>(1.96*K3)</f>
        <v>23.636926531630834</v>
      </c>
      <c r="N3" s="2">
        <f>'rockfish harvests'!O2</f>
        <v>113.5015960846614</v>
      </c>
      <c r="O3">
        <f>'rockfish harvests'!P2</f>
        <v>3943.5752117924521</v>
      </c>
      <c r="R3" s="38">
        <v>0.12347413795074771</v>
      </c>
      <c r="S3" s="39">
        <v>1.095027420221434E-3</v>
      </c>
      <c r="T3" s="13">
        <f t="shared" ref="T3:T22" si="1">R3*N3</f>
        <v>14.014511732587529</v>
      </c>
      <c r="U3" s="14">
        <f>(N3^2)*S3+(R3^2)*O3-(S3*O3)</f>
        <v>69.911697131461395</v>
      </c>
      <c r="V3">
        <f>SQRT(U3)</f>
        <v>8.3613214943250078</v>
      </c>
      <c r="W3" s="6">
        <f>(1.96*V3)</f>
        <v>16.388190128877014</v>
      </c>
      <c r="Y3" s="13">
        <f t="shared" ref="Y3:Y53" si="2">T3+I3</f>
        <v>77.850345010307606</v>
      </c>
      <c r="Z3">
        <f t="shared" ref="Z3:Z53" si="3">U3+J3</f>
        <v>215.34700946531018</v>
      </c>
      <c r="AA3">
        <f>SQRT(Z3)</f>
        <v>14.674706452440887</v>
      </c>
      <c r="AB3" s="6">
        <f>(1.96*AA3)</f>
        <v>28.762424646784137</v>
      </c>
      <c r="AC3" s="14">
        <f>AA3/Y3</f>
        <v>0.1884989263759578</v>
      </c>
      <c r="AF3" s="32"/>
      <c r="AG3" t="s">
        <v>84</v>
      </c>
    </row>
    <row r="4" spans="1:33" hidden="1" x14ac:dyDescent="0.25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v>87</v>
      </c>
      <c r="F4" t="s">
        <v>159</v>
      </c>
      <c r="G4" s="38">
        <v>0.7337452100887365</v>
      </c>
      <c r="H4" s="39">
        <v>1.9214600651849493E-2</v>
      </c>
      <c r="I4" s="13">
        <f t="shared" si="0"/>
        <v>63.835833277720077</v>
      </c>
      <c r="J4">
        <f t="shared" ref="J4:J54" si="4">(E4^2)*H4</f>
        <v>145.4353123338488</v>
      </c>
      <c r="K4">
        <f t="shared" ref="K4:K54" si="5">SQRT(J4)</f>
        <v>12.059656393689201</v>
      </c>
      <c r="L4" s="6">
        <f t="shared" ref="L4:L54" si="6">(1.96*K4)</f>
        <v>23.636926531630834</v>
      </c>
      <c r="N4" s="2">
        <f>'rockfish harvests'!O3</f>
        <v>138.05722985297768</v>
      </c>
      <c r="O4">
        <f>'rockfish harvests'!P3</f>
        <v>5834.5115045216135</v>
      </c>
      <c r="R4" s="38">
        <v>0.12347413795074771</v>
      </c>
      <c r="S4" s="39">
        <v>1.095027420221434E-3</v>
      </c>
      <c r="T4" s="13">
        <f t="shared" si="1"/>
        <v>17.046497443964654</v>
      </c>
      <c r="U4" s="14">
        <f t="shared" ref="U4:U73" si="7">(N4^2)*S4+(R4^2)*O4-(S4*O4)</f>
        <v>103.43421370395049</v>
      </c>
      <c r="V4">
        <f t="shared" ref="V4:V54" si="8">SQRT(U4)</f>
        <v>10.170261240693401</v>
      </c>
      <c r="W4" s="6">
        <f t="shared" ref="W4:W54" si="9">(1.96*V4)</f>
        <v>19.933712031759065</v>
      </c>
      <c r="Y4" s="13">
        <f t="shared" si="2"/>
        <v>80.882330721684724</v>
      </c>
      <c r="Z4">
        <f t="shared" si="3"/>
        <v>248.86952603779929</v>
      </c>
      <c r="AA4">
        <f t="shared" ref="AA4:AA54" si="10">SQRT(Z4)</f>
        <v>15.775599070647026</v>
      </c>
      <c r="AB4" s="6">
        <f t="shared" ref="AB4:AB54" si="11">(1.96*AA4)</f>
        <v>30.920174178468169</v>
      </c>
      <c r="AC4" s="14">
        <f t="shared" ref="AC4:AC73" si="12">AA4/Y4</f>
        <v>0.19504382390921327</v>
      </c>
      <c r="AG4" s="38" t="s">
        <v>93</v>
      </c>
    </row>
    <row r="5" spans="1:33" hidden="1" x14ac:dyDescent="0.25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v>188</v>
      </c>
      <c r="F5" t="s">
        <v>159</v>
      </c>
      <c r="G5" s="38">
        <v>0.7337452100887365</v>
      </c>
      <c r="H5" s="39">
        <v>1.9214600651849493E-2</v>
      </c>
      <c r="I5" s="13">
        <f t="shared" si="0"/>
        <v>137.94409949668247</v>
      </c>
      <c r="J5">
        <f t="shared" si="4"/>
        <v>679.12084543896844</v>
      </c>
      <c r="K5">
        <f t="shared" si="5"/>
        <v>26.059947149581259</v>
      </c>
      <c r="L5" s="6">
        <f t="shared" si="6"/>
        <v>51.077496413179269</v>
      </c>
      <c r="N5" s="2">
        <f>'rockfish harvests'!O4</f>
        <v>385.25060978736042</v>
      </c>
      <c r="O5">
        <f>'rockfish harvests'!P4</f>
        <v>45433.151217293431</v>
      </c>
      <c r="R5" s="38">
        <v>0.12347413795074771</v>
      </c>
      <c r="S5" s="39">
        <v>1.095027420221434E-3</v>
      </c>
      <c r="T5" s="13">
        <f t="shared" si="1"/>
        <v>47.568486938494217</v>
      </c>
      <c r="U5" s="14">
        <f t="shared" si="7"/>
        <v>805.43885612558017</v>
      </c>
      <c r="V5">
        <f t="shared" si="8"/>
        <v>28.380254687468543</v>
      </c>
      <c r="W5" s="6">
        <f t="shared" si="9"/>
        <v>55.625299187438344</v>
      </c>
      <c r="Y5" s="13">
        <f t="shared" si="2"/>
        <v>185.51258643517667</v>
      </c>
      <c r="Z5">
        <f t="shared" si="3"/>
        <v>1484.5597015645485</v>
      </c>
      <c r="AA5">
        <f t="shared" si="10"/>
        <v>38.52998444801851</v>
      </c>
      <c r="AB5" s="6">
        <f t="shared" si="11"/>
        <v>75.518769518116272</v>
      </c>
      <c r="AC5" s="14">
        <f t="shared" si="12"/>
        <v>0.20769471866256348</v>
      </c>
    </row>
    <row r="6" spans="1:33" hidden="1" x14ac:dyDescent="0.25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v>58</v>
      </c>
      <c r="F6" t="s">
        <v>159</v>
      </c>
      <c r="G6" s="38">
        <v>0.7337452100887365</v>
      </c>
      <c r="H6" s="39">
        <v>1.9214600651849493E-2</v>
      </c>
      <c r="I6" s="13">
        <f t="shared" si="0"/>
        <v>42.557222185146713</v>
      </c>
      <c r="J6">
        <f t="shared" si="4"/>
        <v>64.637916592821696</v>
      </c>
      <c r="K6">
        <f t="shared" si="5"/>
        <v>8.0397709291261332</v>
      </c>
      <c r="L6" s="6">
        <f t="shared" si="6"/>
        <v>15.757951021087221</v>
      </c>
      <c r="N6" s="2">
        <f>'rockfish harvests'!O5</f>
        <v>145.96960073387947</v>
      </c>
      <c r="O6">
        <f>'rockfish harvests'!P5</f>
        <v>6522.4540899783578</v>
      </c>
      <c r="R6" s="38">
        <v>0.12347413795074771</v>
      </c>
      <c r="S6" s="39">
        <v>1.095027420221434E-3</v>
      </c>
      <c r="T6" s="13">
        <f t="shared" si="1"/>
        <v>18.023470617630601</v>
      </c>
      <c r="U6" s="14">
        <f t="shared" si="7"/>
        <v>115.63005912220635</v>
      </c>
      <c r="V6">
        <f t="shared" si="8"/>
        <v>10.753141825634327</v>
      </c>
      <c r="W6" s="6">
        <f t="shared" si="9"/>
        <v>21.07615797824328</v>
      </c>
      <c r="Y6" s="13">
        <f t="shared" si="2"/>
        <v>60.580692802777314</v>
      </c>
      <c r="Z6">
        <f t="shared" si="3"/>
        <v>180.26797571502806</v>
      </c>
      <c r="AA6">
        <f t="shared" si="10"/>
        <v>13.426391016018714</v>
      </c>
      <c r="AB6" s="6">
        <f t="shared" si="11"/>
        <v>26.31572639139668</v>
      </c>
      <c r="AC6" s="14">
        <f t="shared" si="12"/>
        <v>0.2216282184115792</v>
      </c>
    </row>
    <row r="7" spans="1:33" hidden="1" x14ac:dyDescent="0.25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v>54</v>
      </c>
      <c r="F7" t="s">
        <v>159</v>
      </c>
      <c r="G7" s="38">
        <v>0.7337452100887365</v>
      </c>
      <c r="H7" s="39">
        <v>1.9214600651849493E-2</v>
      </c>
      <c r="I7" s="13">
        <f t="shared" si="0"/>
        <v>39.622241344791775</v>
      </c>
      <c r="J7">
        <f t="shared" si="4"/>
        <v>56.029775500793122</v>
      </c>
      <c r="K7">
        <f t="shared" si="5"/>
        <v>7.4853039684967451</v>
      </c>
      <c r="L7" s="6">
        <f t="shared" si="6"/>
        <v>14.671195778253621</v>
      </c>
      <c r="N7" s="2">
        <f>'rockfish harvests'!O6</f>
        <v>94.129929445212042</v>
      </c>
      <c r="O7">
        <f>'rockfish harvests'!P6</f>
        <v>2712.3245630524034</v>
      </c>
      <c r="R7" s="38">
        <v>0.12347413795074771</v>
      </c>
      <c r="S7" s="39">
        <v>1.095027420221434E-3</v>
      </c>
      <c r="T7" s="13">
        <f t="shared" si="1"/>
        <v>11.622611893612261</v>
      </c>
      <c r="U7" s="14">
        <f t="shared" si="7"/>
        <v>48.084086949150546</v>
      </c>
      <c r="V7">
        <f t="shared" si="8"/>
        <v>6.9342690277455015</v>
      </c>
      <c r="W7" s="6">
        <f t="shared" si="9"/>
        <v>13.591167294381183</v>
      </c>
      <c r="Y7" s="13">
        <f t="shared" si="2"/>
        <v>51.244853238404033</v>
      </c>
      <c r="Z7">
        <f t="shared" si="3"/>
        <v>104.11386244994367</v>
      </c>
      <c r="AA7">
        <f t="shared" si="10"/>
        <v>10.203620065934622</v>
      </c>
      <c r="AB7" s="6">
        <f t="shared" si="11"/>
        <v>19.99909532923186</v>
      </c>
      <c r="AC7" s="14">
        <f t="shared" si="12"/>
        <v>0.19911502172647072</v>
      </c>
    </row>
    <row r="8" spans="1:33" hidden="1" x14ac:dyDescent="0.25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v>83</v>
      </c>
      <c r="F8" t="s">
        <v>159</v>
      </c>
      <c r="G8" s="38">
        <v>0.7337452100887365</v>
      </c>
      <c r="H8" s="39">
        <v>1.9214600651849493E-2</v>
      </c>
      <c r="I8" s="13">
        <f t="shared" si="0"/>
        <v>60.900852437365131</v>
      </c>
      <c r="J8">
        <f t="shared" si="4"/>
        <v>132.36938389059117</v>
      </c>
      <c r="K8">
        <f t="shared" si="5"/>
        <v>11.505189433059812</v>
      </c>
      <c r="L8" s="6">
        <f t="shared" si="6"/>
        <v>22.55017128879723</v>
      </c>
      <c r="N8" s="2">
        <f>'rockfish harvests'!O7</f>
        <v>154.70049274039195</v>
      </c>
      <c r="O8">
        <f>'rockfish harvests'!P7</f>
        <v>7326.0450447481962</v>
      </c>
      <c r="R8" s="38">
        <v>0.12347413795074771</v>
      </c>
      <c r="S8" s="39">
        <v>1.095027420221434E-3</v>
      </c>
      <c r="T8" s="13">
        <f t="shared" si="1"/>
        <v>19.1015099816758</v>
      </c>
      <c r="U8" s="14">
        <f t="shared" si="7"/>
        <v>129.87611870779631</v>
      </c>
      <c r="V8">
        <f t="shared" si="8"/>
        <v>11.396320402120866</v>
      </c>
      <c r="W8" s="6">
        <f t="shared" si="9"/>
        <v>22.336787988156896</v>
      </c>
      <c r="Y8" s="13">
        <f t="shared" si="2"/>
        <v>80.002362419040935</v>
      </c>
      <c r="Z8">
        <f t="shared" si="3"/>
        <v>262.24550259838747</v>
      </c>
      <c r="AA8">
        <f t="shared" si="10"/>
        <v>16.193995881140253</v>
      </c>
      <c r="AB8" s="6">
        <f t="shared" si="11"/>
        <v>31.740231927034895</v>
      </c>
      <c r="AC8" s="14">
        <f t="shared" si="12"/>
        <v>0.20241897103386045</v>
      </c>
    </row>
    <row r="9" spans="1:33" hidden="1" x14ac:dyDescent="0.25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v>130</v>
      </c>
      <c r="F9" t="s">
        <v>159</v>
      </c>
      <c r="G9" s="38">
        <v>0.7337452100887365</v>
      </c>
      <c r="H9" s="39">
        <v>1.9214600651849493E-2</v>
      </c>
      <c r="I9" s="13">
        <f t="shared" si="0"/>
        <v>95.386877311535741</v>
      </c>
      <c r="J9">
        <f t="shared" si="4"/>
        <v>324.72675101625646</v>
      </c>
      <c r="K9">
        <f t="shared" si="5"/>
        <v>18.020176220455127</v>
      </c>
      <c r="L9" s="6">
        <f t="shared" si="6"/>
        <v>35.319545392092046</v>
      </c>
      <c r="N9" s="2">
        <f>'rockfish harvests'!O8</f>
        <v>127.68929559524418</v>
      </c>
      <c r="O9">
        <f>'rockfish harvests'!P8</f>
        <v>4991.087377424823</v>
      </c>
      <c r="R9" s="38">
        <v>0.12347413795074771</v>
      </c>
      <c r="S9" s="39">
        <v>1.095027420221434E-3</v>
      </c>
      <c r="T9" s="13">
        <f t="shared" si="1"/>
        <v>15.766325699160982</v>
      </c>
      <c r="U9" s="14">
        <f t="shared" si="7"/>
        <v>88.481991682005869</v>
      </c>
      <c r="V9">
        <f t="shared" si="8"/>
        <v>9.406486681115636</v>
      </c>
      <c r="W9" s="6">
        <f t="shared" si="9"/>
        <v>18.436713894986646</v>
      </c>
      <c r="Y9" s="13">
        <f t="shared" si="2"/>
        <v>111.15320301069673</v>
      </c>
      <c r="Z9">
        <f t="shared" si="3"/>
        <v>413.20874269826231</v>
      </c>
      <c r="AA9">
        <f t="shared" si="10"/>
        <v>20.327536562462807</v>
      </c>
      <c r="AB9" s="6">
        <f t="shared" si="11"/>
        <v>39.841971662427099</v>
      </c>
      <c r="AC9" s="14">
        <f t="shared" si="12"/>
        <v>0.18287854971220763</v>
      </c>
    </row>
    <row r="10" spans="1:33" hidden="1" x14ac:dyDescent="0.25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v>206</v>
      </c>
      <c r="F10" t="s">
        <v>159</v>
      </c>
      <c r="G10" s="38">
        <v>0.7337452100887365</v>
      </c>
      <c r="H10" s="39">
        <v>1.9214600651849493E-2</v>
      </c>
      <c r="I10" s="13">
        <f t="shared" si="0"/>
        <v>151.15151327827971</v>
      </c>
      <c r="J10">
        <f t="shared" si="4"/>
        <v>815.39079326188505</v>
      </c>
      <c r="K10">
        <f t="shared" si="5"/>
        <v>28.55504847241351</v>
      </c>
      <c r="L10" s="6">
        <f t="shared" si="6"/>
        <v>55.96789500593048</v>
      </c>
      <c r="N10" s="2">
        <f>'rockfish harvests'!O9</f>
        <v>377.8839196568656</v>
      </c>
      <c r="O10">
        <f>'rockfish harvests'!P9</f>
        <v>43712.235118346529</v>
      </c>
      <c r="R10" s="38">
        <v>0.12347413795074771</v>
      </c>
      <c r="S10" s="39">
        <v>1.095027420221434E-3</v>
      </c>
      <c r="T10" s="13">
        <f t="shared" si="1"/>
        <v>46.658891225081092</v>
      </c>
      <c r="U10" s="14">
        <f t="shared" si="7"/>
        <v>774.93045736638749</v>
      </c>
      <c r="V10">
        <f t="shared" si="8"/>
        <v>27.837572763558022</v>
      </c>
      <c r="W10" s="6">
        <f t="shared" si="9"/>
        <v>54.561642616573721</v>
      </c>
      <c r="Y10" s="13">
        <f t="shared" si="2"/>
        <v>197.81040450336081</v>
      </c>
      <c r="Z10">
        <f t="shared" si="3"/>
        <v>1590.3212506282725</v>
      </c>
      <c r="AA10">
        <f t="shared" si="10"/>
        <v>39.878832112140302</v>
      </c>
      <c r="AB10" s="6">
        <f t="shared" si="11"/>
        <v>78.162510939794984</v>
      </c>
      <c r="AC10" s="14">
        <f t="shared" si="12"/>
        <v>0.20160128691037968</v>
      </c>
    </row>
    <row r="11" spans="1:33" hidden="1" x14ac:dyDescent="0.25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v>159</v>
      </c>
      <c r="F11">
        <v>133</v>
      </c>
      <c r="I11" s="13">
        <f>F11</f>
        <v>133</v>
      </c>
      <c r="J11">
        <f t="shared" si="4"/>
        <v>0</v>
      </c>
      <c r="K11">
        <f t="shared" si="5"/>
        <v>0</v>
      </c>
      <c r="L11" s="6">
        <f t="shared" si="6"/>
        <v>0</v>
      </c>
      <c r="N11" s="2">
        <f>'rockfish harvests'!O10</f>
        <v>252.37734706324954</v>
      </c>
      <c r="O11">
        <f>'rockfish harvests'!P10</f>
        <v>19497.859309067106</v>
      </c>
      <c r="R11" s="38">
        <v>0.12347413795074771</v>
      </c>
      <c r="S11" s="39">
        <v>1.095027420221434E-3</v>
      </c>
      <c r="T11" s="13">
        <f t="shared" si="1"/>
        <v>31.162075366931408</v>
      </c>
      <c r="U11" s="14">
        <f t="shared" si="7"/>
        <v>345.65802895078275</v>
      </c>
      <c r="V11">
        <f t="shared" si="8"/>
        <v>18.591880726564021</v>
      </c>
      <c r="W11" s="6">
        <f t="shared" si="9"/>
        <v>36.440086224065482</v>
      </c>
      <c r="Y11" s="13">
        <f t="shared" si="2"/>
        <v>164.16207536693142</v>
      </c>
      <c r="Z11">
        <f t="shared" si="3"/>
        <v>345.65802895078275</v>
      </c>
      <c r="AA11">
        <f t="shared" si="10"/>
        <v>18.591880726564021</v>
      </c>
      <c r="AB11" s="6">
        <f t="shared" si="11"/>
        <v>36.440086224065482</v>
      </c>
      <c r="AC11" s="14">
        <f t="shared" si="12"/>
        <v>0.11325320226981697</v>
      </c>
    </row>
    <row r="12" spans="1:33" hidden="1" x14ac:dyDescent="0.25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v>304</v>
      </c>
      <c r="F12">
        <v>217</v>
      </c>
      <c r="I12" s="13">
        <f t="shared" ref="I12:I22" si="13">F12</f>
        <v>217</v>
      </c>
      <c r="J12">
        <f t="shared" si="4"/>
        <v>0</v>
      </c>
      <c r="K12">
        <f t="shared" si="5"/>
        <v>0</v>
      </c>
      <c r="L12" s="6">
        <f t="shared" si="6"/>
        <v>0</v>
      </c>
      <c r="N12" s="2">
        <f>'rockfish harvests'!O11</f>
        <v>678.82685350634074</v>
      </c>
      <c r="O12">
        <f>'rockfish harvests'!P11</f>
        <v>141060.11022920778</v>
      </c>
      <c r="R12" s="38">
        <v>0.12347413795074771</v>
      </c>
      <c r="S12" s="39">
        <v>1.095027420221434E-3</v>
      </c>
      <c r="T12" s="13">
        <f t="shared" si="1"/>
        <v>83.817560554513932</v>
      </c>
      <c r="U12" s="14">
        <f t="shared" si="7"/>
        <v>2500.7134830813907</v>
      </c>
      <c r="V12">
        <f t="shared" si="8"/>
        <v>50.007134321828424</v>
      </c>
      <c r="W12" s="6">
        <f t="shared" si="9"/>
        <v>98.013983270783712</v>
      </c>
      <c r="Y12" s="13">
        <f t="shared" si="2"/>
        <v>300.81756055451393</v>
      </c>
      <c r="Z12">
        <f t="shared" si="3"/>
        <v>2500.7134830813907</v>
      </c>
      <c r="AA12">
        <f t="shared" si="10"/>
        <v>50.007134321828424</v>
      </c>
      <c r="AB12" s="6">
        <f t="shared" si="11"/>
        <v>98.013983270783712</v>
      </c>
      <c r="AC12" s="14">
        <f t="shared" si="12"/>
        <v>0.16623741722274279</v>
      </c>
    </row>
    <row r="13" spans="1:33" hidden="1" x14ac:dyDescent="0.25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v>601</v>
      </c>
      <c r="F13">
        <v>509</v>
      </c>
      <c r="I13" s="13">
        <f t="shared" si="13"/>
        <v>509</v>
      </c>
      <c r="J13">
        <f t="shared" si="4"/>
        <v>0</v>
      </c>
      <c r="K13">
        <f t="shared" si="5"/>
        <v>0</v>
      </c>
      <c r="L13" s="6">
        <f t="shared" si="6"/>
        <v>0</v>
      </c>
      <c r="N13" s="2">
        <f>'rockfish harvests'!O12</f>
        <v>728.48380179337983</v>
      </c>
      <c r="O13">
        <f>'rockfish harvests'!P12</f>
        <v>162452.3467972634</v>
      </c>
      <c r="R13" s="38">
        <v>0.12347413795074771</v>
      </c>
      <c r="S13" s="39">
        <v>1.095027420221434E-3</v>
      </c>
      <c r="T13" s="13">
        <f t="shared" si="1"/>
        <v>89.948909437520939</v>
      </c>
      <c r="U13" s="14">
        <f t="shared" si="7"/>
        <v>2879.9550300508226</v>
      </c>
      <c r="V13">
        <f t="shared" si="8"/>
        <v>53.665212475595609</v>
      </c>
      <c r="W13" s="6">
        <f t="shared" si="9"/>
        <v>105.18381645216739</v>
      </c>
      <c r="Y13" s="13">
        <f t="shared" si="2"/>
        <v>598.94890943752091</v>
      </c>
      <c r="Z13">
        <f t="shared" si="3"/>
        <v>2879.9550300508226</v>
      </c>
      <c r="AA13">
        <f t="shared" si="10"/>
        <v>53.665212475595609</v>
      </c>
      <c r="AB13" s="6">
        <f t="shared" si="11"/>
        <v>105.18381645216739</v>
      </c>
      <c r="AC13" s="14">
        <f t="shared" si="12"/>
        <v>8.9598981866405206E-2</v>
      </c>
    </row>
    <row r="14" spans="1:33" hidden="1" x14ac:dyDescent="0.25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v>557</v>
      </c>
      <c r="F14">
        <v>466</v>
      </c>
      <c r="I14" s="13">
        <f t="shared" si="13"/>
        <v>466</v>
      </c>
      <c r="J14">
        <f t="shared" si="4"/>
        <v>0</v>
      </c>
      <c r="K14">
        <f t="shared" si="5"/>
        <v>0</v>
      </c>
      <c r="L14" s="6">
        <f t="shared" si="6"/>
        <v>0</v>
      </c>
      <c r="N14" s="2">
        <f>'rockfish harvests'!O13</f>
        <v>1026.6983318908196</v>
      </c>
      <c r="O14">
        <f>'rockfish harvests'!P13</f>
        <v>322679.89242321515</v>
      </c>
      <c r="R14" s="38">
        <v>0.12347413795074771</v>
      </c>
      <c r="S14" s="39">
        <v>1.095027420221434E-3</v>
      </c>
      <c r="T14" s="13">
        <f t="shared" si="1"/>
        <v>126.77069146568962</v>
      </c>
      <c r="U14" s="14">
        <f t="shared" si="7"/>
        <v>5720.4687873191842</v>
      </c>
      <c r="V14">
        <f t="shared" si="8"/>
        <v>75.633780728713973</v>
      </c>
      <c r="W14" s="6">
        <f t="shared" si="9"/>
        <v>148.24221022827939</v>
      </c>
      <c r="Y14" s="13">
        <f t="shared" si="2"/>
        <v>592.77069146568965</v>
      </c>
      <c r="Z14">
        <f t="shared" si="3"/>
        <v>5720.4687873191842</v>
      </c>
      <c r="AA14">
        <f t="shared" si="10"/>
        <v>75.633780728713973</v>
      </c>
      <c r="AB14" s="6">
        <f t="shared" si="11"/>
        <v>148.24221022827939</v>
      </c>
      <c r="AC14" s="14">
        <f t="shared" si="12"/>
        <v>0.12759365774596795</v>
      </c>
    </row>
    <row r="15" spans="1:33" hidden="1" x14ac:dyDescent="0.25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v>1061</v>
      </c>
      <c r="F15">
        <v>348</v>
      </c>
      <c r="I15" s="13">
        <f t="shared" si="13"/>
        <v>348</v>
      </c>
      <c r="J15">
        <f t="shared" si="4"/>
        <v>0</v>
      </c>
      <c r="K15">
        <f t="shared" si="5"/>
        <v>0</v>
      </c>
      <c r="L15" s="6">
        <f t="shared" si="6"/>
        <v>0</v>
      </c>
      <c r="N15" s="2">
        <f>'rockfish harvests'!O14</f>
        <v>827.25201761705193</v>
      </c>
      <c r="O15">
        <f>'rockfish harvests'!P14</f>
        <v>209489.30732140518</v>
      </c>
      <c r="R15" s="38">
        <v>0.12347413795074771</v>
      </c>
      <c r="S15" s="39">
        <v>1.095027420221434E-3</v>
      </c>
      <c r="T15" s="13">
        <f t="shared" si="1"/>
        <v>102.14422974328225</v>
      </c>
      <c r="U15" s="14">
        <f t="shared" si="7"/>
        <v>3713.8262158506841</v>
      </c>
      <c r="V15">
        <f t="shared" si="8"/>
        <v>60.941170122099592</v>
      </c>
      <c r="W15" s="6">
        <f t="shared" si="9"/>
        <v>119.4446934393152</v>
      </c>
      <c r="Y15" s="13">
        <f t="shared" si="2"/>
        <v>450.14422974328227</v>
      </c>
      <c r="Z15">
        <f t="shared" si="3"/>
        <v>3713.8262158506841</v>
      </c>
      <c r="AA15">
        <f t="shared" si="10"/>
        <v>60.941170122099592</v>
      </c>
      <c r="AB15" s="6">
        <f t="shared" si="11"/>
        <v>119.4446934393152</v>
      </c>
      <c r="AC15" s="14">
        <f t="shared" si="12"/>
        <v>0.13538143131781208</v>
      </c>
    </row>
    <row r="16" spans="1:33" hidden="1" x14ac:dyDescent="0.25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v>487</v>
      </c>
      <c r="F16">
        <v>385</v>
      </c>
      <c r="I16" s="13">
        <f t="shared" si="13"/>
        <v>385</v>
      </c>
      <c r="J16">
        <f t="shared" si="4"/>
        <v>0</v>
      </c>
      <c r="K16">
        <f t="shared" si="5"/>
        <v>0</v>
      </c>
      <c r="L16" s="6">
        <f t="shared" si="6"/>
        <v>0</v>
      </c>
      <c r="N16" s="2">
        <f>'rockfish harvests'!O15</f>
        <v>852.74081958488568</v>
      </c>
      <c r="O16">
        <f>'rockfish harvests'!P15</f>
        <v>200039.3867927817</v>
      </c>
      <c r="R16" s="38">
        <v>0.12347413795074771</v>
      </c>
      <c r="S16" s="39">
        <v>1.095027420221434E-3</v>
      </c>
      <c r="T16" s="13">
        <f t="shared" si="1"/>
        <v>105.29143759365785</v>
      </c>
      <c r="U16" s="14">
        <f t="shared" si="7"/>
        <v>3626.992120985869</v>
      </c>
      <c r="V16">
        <f t="shared" si="8"/>
        <v>60.224514286010383</v>
      </c>
      <c r="W16" s="6">
        <f t="shared" si="9"/>
        <v>118.04004800058034</v>
      </c>
      <c r="Y16" s="13">
        <f t="shared" si="2"/>
        <v>490.29143759365786</v>
      </c>
      <c r="Z16">
        <f t="shared" si="3"/>
        <v>3626.992120985869</v>
      </c>
      <c r="AA16">
        <f t="shared" si="10"/>
        <v>60.224514286010383</v>
      </c>
      <c r="AB16" s="6">
        <f t="shared" si="11"/>
        <v>118.04004800058034</v>
      </c>
      <c r="AC16" s="14">
        <f t="shared" si="12"/>
        <v>0.12283411389273141</v>
      </c>
    </row>
    <row r="17" spans="1:29" hidden="1" x14ac:dyDescent="0.25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v>564</v>
      </c>
      <c r="F17">
        <v>411</v>
      </c>
      <c r="I17" s="13">
        <f t="shared" si="13"/>
        <v>411</v>
      </c>
      <c r="J17">
        <f t="shared" si="4"/>
        <v>0</v>
      </c>
      <c r="K17">
        <f t="shared" si="5"/>
        <v>0</v>
      </c>
      <c r="L17" s="6">
        <f t="shared" si="6"/>
        <v>0</v>
      </c>
      <c r="N17" s="2">
        <f>'rockfish harvests'!O16</f>
        <v>1110.7541899441339</v>
      </c>
      <c r="O17">
        <f>'rockfish harvests'!P16</f>
        <v>261396.56419933448</v>
      </c>
      <c r="R17" s="38">
        <v>0.12347413795074771</v>
      </c>
      <c r="S17" s="39">
        <v>1.095027420221434E-3</v>
      </c>
      <c r="T17" s="13">
        <f t="shared" si="1"/>
        <v>137.14941607853302</v>
      </c>
      <c r="U17" s="14">
        <f t="shared" si="7"/>
        <v>5049.9970473953726</v>
      </c>
      <c r="V17">
        <f t="shared" si="8"/>
        <v>71.063331243302784</v>
      </c>
      <c r="W17" s="6">
        <f t="shared" si="9"/>
        <v>139.28412923687344</v>
      </c>
      <c r="Y17" s="13">
        <f t="shared" si="2"/>
        <v>548.14941607853302</v>
      </c>
      <c r="Z17">
        <f t="shared" si="3"/>
        <v>5049.9970473953726</v>
      </c>
      <c r="AA17">
        <f t="shared" si="10"/>
        <v>71.063331243302784</v>
      </c>
      <c r="AB17" s="6">
        <f t="shared" si="11"/>
        <v>139.28412923687344</v>
      </c>
      <c r="AC17" s="14">
        <f t="shared" si="12"/>
        <v>0.12964226387704769</v>
      </c>
    </row>
    <row r="18" spans="1:29" hidden="1" x14ac:dyDescent="0.25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v>473</v>
      </c>
      <c r="F18">
        <v>382</v>
      </c>
      <c r="I18" s="13">
        <f t="shared" si="13"/>
        <v>382</v>
      </c>
      <c r="J18">
        <f t="shared" si="4"/>
        <v>0</v>
      </c>
      <c r="K18">
        <f t="shared" si="5"/>
        <v>0</v>
      </c>
      <c r="L18" s="6">
        <f t="shared" si="6"/>
        <v>0</v>
      </c>
      <c r="N18" s="2">
        <f>'rockfish harvests'!O17</f>
        <v>731.12895692786697</v>
      </c>
      <c r="O18">
        <f>'rockfish harvests'!P17</f>
        <v>125971.00775365347</v>
      </c>
      <c r="R18" s="38">
        <v>0.12347413795074771</v>
      </c>
      <c r="S18" s="39">
        <v>1.095027420221434E-3</v>
      </c>
      <c r="T18" s="13">
        <f t="shared" si="1"/>
        <v>90.275517687497725</v>
      </c>
      <c r="U18" s="14">
        <f t="shared" si="7"/>
        <v>2367.9414026591917</v>
      </c>
      <c r="V18">
        <f t="shared" si="8"/>
        <v>48.661498154693014</v>
      </c>
      <c r="W18" s="6">
        <f t="shared" si="9"/>
        <v>95.3765363831983</v>
      </c>
      <c r="Y18" s="13">
        <f t="shared" si="2"/>
        <v>472.27551768749771</v>
      </c>
      <c r="Z18">
        <f t="shared" si="3"/>
        <v>2367.9414026591917</v>
      </c>
      <c r="AA18">
        <f t="shared" si="10"/>
        <v>48.661498154693014</v>
      </c>
      <c r="AB18" s="6">
        <f t="shared" si="11"/>
        <v>95.3765363831983</v>
      </c>
      <c r="AC18" s="14">
        <f t="shared" si="12"/>
        <v>0.1030362496725737</v>
      </c>
    </row>
    <row r="19" spans="1:29" hidden="1" x14ac:dyDescent="0.25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v>580</v>
      </c>
      <c r="F19">
        <v>434</v>
      </c>
      <c r="I19" s="13">
        <f t="shared" si="13"/>
        <v>434</v>
      </c>
      <c r="J19">
        <f t="shared" si="4"/>
        <v>0</v>
      </c>
      <c r="K19">
        <f t="shared" si="5"/>
        <v>0</v>
      </c>
      <c r="L19" s="6">
        <f t="shared" si="6"/>
        <v>0</v>
      </c>
      <c r="N19" s="2">
        <f>'rockfish harvests'!O18</f>
        <v>1234.1607301869994</v>
      </c>
      <c r="O19">
        <f>'rockfish harvests'!P18</f>
        <v>268862.96198516607</v>
      </c>
      <c r="R19" s="38">
        <v>0.12347413795074771</v>
      </c>
      <c r="S19" s="39">
        <v>1.095027420221434E-3</v>
      </c>
      <c r="T19" s="13">
        <f t="shared" si="1"/>
        <v>152.38693225250509</v>
      </c>
      <c r="U19" s="14">
        <f t="shared" si="7"/>
        <v>5472.529479734726</v>
      </c>
      <c r="V19">
        <f t="shared" si="8"/>
        <v>73.976546822183622</v>
      </c>
      <c r="W19" s="6">
        <f t="shared" si="9"/>
        <v>144.99403177147988</v>
      </c>
      <c r="Y19" s="13">
        <f t="shared" si="2"/>
        <v>586.38693225250506</v>
      </c>
      <c r="Z19">
        <f t="shared" si="3"/>
        <v>5472.529479734726</v>
      </c>
      <c r="AA19">
        <f t="shared" si="10"/>
        <v>73.976546822183622</v>
      </c>
      <c r="AB19" s="6">
        <f t="shared" si="11"/>
        <v>144.99403177147988</v>
      </c>
      <c r="AC19" s="14">
        <f t="shared" si="12"/>
        <v>0.12615654059345316</v>
      </c>
    </row>
    <row r="20" spans="1:29" hidden="1" x14ac:dyDescent="0.25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v>630</v>
      </c>
      <c r="F20">
        <v>421</v>
      </c>
      <c r="I20" s="13">
        <f t="shared" si="13"/>
        <v>421</v>
      </c>
      <c r="J20">
        <f t="shared" si="4"/>
        <v>0</v>
      </c>
      <c r="K20">
        <f t="shared" si="5"/>
        <v>0</v>
      </c>
      <c r="L20" s="6">
        <f t="shared" si="6"/>
        <v>0</v>
      </c>
      <c r="N20" s="2">
        <f>'rockfish harvests'!O19</f>
        <v>1736.4958972529439</v>
      </c>
      <c r="O20">
        <f>'rockfish harvests'!P19</f>
        <v>1075446.4405794584</v>
      </c>
      <c r="R20" s="38">
        <v>0.12347413795074771</v>
      </c>
      <c r="S20" s="39">
        <v>1.095027420221434E-3</v>
      </c>
      <c r="T20" s="13">
        <f t="shared" si="1"/>
        <v>214.41233396831743</v>
      </c>
      <c r="U20" s="14">
        <f t="shared" si="7"/>
        <v>18520.430873481801</v>
      </c>
      <c r="V20">
        <f t="shared" si="8"/>
        <v>136.08978974736422</v>
      </c>
      <c r="W20" s="6">
        <f t="shared" si="9"/>
        <v>266.73598790483385</v>
      </c>
      <c r="Y20" s="13">
        <f t="shared" si="2"/>
        <v>635.4123339683174</v>
      </c>
      <c r="Z20">
        <f t="shared" si="3"/>
        <v>18520.430873481801</v>
      </c>
      <c r="AA20">
        <f t="shared" si="10"/>
        <v>136.08978974736422</v>
      </c>
      <c r="AB20" s="6">
        <f t="shared" si="11"/>
        <v>266.73598790483385</v>
      </c>
      <c r="AC20" s="14">
        <f t="shared" si="12"/>
        <v>0.21417555573315306</v>
      </c>
    </row>
    <row r="21" spans="1:29" hidden="1" x14ac:dyDescent="0.25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v>760</v>
      </c>
      <c r="F21">
        <v>544</v>
      </c>
      <c r="I21" s="13">
        <f t="shared" si="13"/>
        <v>544</v>
      </c>
      <c r="J21">
        <f t="shared" si="4"/>
        <v>0</v>
      </c>
      <c r="K21">
        <f t="shared" si="5"/>
        <v>0</v>
      </c>
      <c r="L21" s="6">
        <f t="shared" si="6"/>
        <v>0</v>
      </c>
      <c r="N21" s="2">
        <f>'rockfish harvests'!O20</f>
        <v>467.58654422040308</v>
      </c>
      <c r="O21">
        <f>'rockfish harvests'!P20</f>
        <v>63684.114088437818</v>
      </c>
      <c r="R21" s="38">
        <v>0.12347413795074771</v>
      </c>
      <c r="S21" s="39">
        <v>1.095027420221434E-3</v>
      </c>
      <c r="T21" s="13">
        <f t="shared" si="1"/>
        <v>57.734845464983444</v>
      </c>
      <c r="U21" s="14">
        <f t="shared" si="7"/>
        <v>1140.5971142898507</v>
      </c>
      <c r="V21">
        <f t="shared" si="8"/>
        <v>33.772727374167616</v>
      </c>
      <c r="W21" s="6">
        <f t="shared" si="9"/>
        <v>66.194545653368522</v>
      </c>
      <c r="Y21" s="13">
        <f t="shared" si="2"/>
        <v>601.73484546498344</v>
      </c>
      <c r="Z21">
        <f t="shared" si="3"/>
        <v>1140.5971142898507</v>
      </c>
      <c r="AA21">
        <f t="shared" si="10"/>
        <v>33.772727374167616</v>
      </c>
      <c r="AB21" s="6">
        <f t="shared" si="11"/>
        <v>66.194545653368522</v>
      </c>
      <c r="AC21" s="14">
        <f t="shared" si="12"/>
        <v>5.6125596894875091E-2</v>
      </c>
    </row>
    <row r="22" spans="1:29" hidden="1" x14ac:dyDescent="0.25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v>539</v>
      </c>
      <c r="F22">
        <v>416</v>
      </c>
      <c r="I22" s="13">
        <f t="shared" si="13"/>
        <v>416</v>
      </c>
      <c r="J22">
        <f t="shared" si="4"/>
        <v>0</v>
      </c>
      <c r="K22">
        <f t="shared" si="5"/>
        <v>0</v>
      </c>
      <c r="L22" s="6">
        <f t="shared" si="6"/>
        <v>0</v>
      </c>
      <c r="N22" s="2">
        <f>'rockfish harvests'!O21</f>
        <v>537.74758244483019</v>
      </c>
      <c r="O22">
        <f>'rockfish harvests'!P21</f>
        <v>89663.784684390819</v>
      </c>
      <c r="R22" s="38">
        <v>0.12347413795074771</v>
      </c>
      <c r="S22" s="39">
        <v>1.095027420221434E-3</v>
      </c>
      <c r="T22" s="13">
        <f t="shared" si="1"/>
        <v>66.397919177474037</v>
      </c>
      <c r="U22" s="14">
        <f t="shared" si="7"/>
        <v>1585.4692269858333</v>
      </c>
      <c r="V22">
        <f t="shared" si="8"/>
        <v>39.817951064637079</v>
      </c>
      <c r="W22" s="6">
        <f t="shared" si="9"/>
        <v>78.043184086688669</v>
      </c>
      <c r="Y22" s="13">
        <f t="shared" si="2"/>
        <v>482.39791917747402</v>
      </c>
      <c r="Z22">
        <f t="shared" si="3"/>
        <v>1585.4692269858333</v>
      </c>
      <c r="AA22">
        <f t="shared" si="10"/>
        <v>39.817951064637079</v>
      </c>
      <c r="AB22" s="6">
        <f t="shared" si="11"/>
        <v>78.043184086688669</v>
      </c>
      <c r="AC22" s="14">
        <f t="shared" si="12"/>
        <v>8.2541713970345862E-2</v>
      </c>
    </row>
    <row r="23" spans="1:29" hidden="1" x14ac:dyDescent="0.25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v>602</v>
      </c>
      <c r="F23">
        <v>449</v>
      </c>
      <c r="I23" s="13">
        <f>F23</f>
        <v>449</v>
      </c>
      <c r="J23">
        <f>(E23^2)*H23</f>
        <v>0</v>
      </c>
      <c r="K23">
        <f t="shared" si="5"/>
        <v>0</v>
      </c>
      <c r="L23" s="6">
        <f t="shared" si="6"/>
        <v>0</v>
      </c>
      <c r="N23" s="2">
        <f>'rockfish harvests'!O22</f>
        <v>1496.4016172506736</v>
      </c>
      <c r="O23">
        <f>'rockfish harvests'!P22</f>
        <v>412259.26032139536</v>
      </c>
      <c r="R23" s="38">
        <v>0.12347413795074771</v>
      </c>
      <c r="S23" s="39">
        <v>1.095027420221434E-3</v>
      </c>
      <c r="T23" s="13">
        <f>R23*N23</f>
        <v>184.76689971813164</v>
      </c>
      <c r="U23" s="14">
        <f t="shared" si="7"/>
        <v>8285.8177939355955</v>
      </c>
      <c r="V23">
        <f t="shared" si="8"/>
        <v>91.026467546179092</v>
      </c>
      <c r="W23" s="6">
        <f t="shared" si="9"/>
        <v>178.41187639051103</v>
      </c>
      <c r="Y23" s="13">
        <f>T23+I23</f>
        <v>633.76689971813164</v>
      </c>
      <c r="Z23" s="14">
        <f>U23+J23</f>
        <v>8285.8177939355955</v>
      </c>
      <c r="AA23">
        <f>SQRT(Z23)</f>
        <v>91.026467546179092</v>
      </c>
      <c r="AB23" s="6">
        <f>(1.96*AA23)</f>
        <v>178.41187639051103</v>
      </c>
      <c r="AC23" s="14">
        <f t="shared" si="12"/>
        <v>0.14362767696871387</v>
      </c>
    </row>
    <row r="24" spans="1:29" hidden="1" x14ac:dyDescent="0.25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v>1020</v>
      </c>
      <c r="F24">
        <v>719</v>
      </c>
      <c r="I24" s="13">
        <f>F24</f>
        <v>719</v>
      </c>
      <c r="J24">
        <f>(E24^2)*H24</f>
        <v>0</v>
      </c>
      <c r="K24">
        <f>SQRT(J24)</f>
        <v>0</v>
      </c>
      <c r="L24" s="6">
        <f>(1.96*K24)</f>
        <v>0</v>
      </c>
      <c r="N24" s="2">
        <f>'rockfish harvests'!O23</f>
        <v>4435.3764258555148</v>
      </c>
      <c r="O24">
        <f>'rockfish harvests'!P23</f>
        <v>3560251.2769631236</v>
      </c>
      <c r="R24" s="38">
        <v>0.12222712270469756</v>
      </c>
      <c r="S24" s="38">
        <v>1.0289631320921915E-3</v>
      </c>
      <c r="T24" s="13">
        <f>R24*N24</f>
        <v>542.1232986445649</v>
      </c>
      <c r="U24" s="14">
        <f>(N24^2)*S24+(R24^2)*O24-(S24*O24)</f>
        <v>69767.241257265472</v>
      </c>
      <c r="V24">
        <f>SQRT(U24)</f>
        <v>264.13489216168597</v>
      </c>
      <c r="W24" s="6">
        <f>(1.96*V24)</f>
        <v>517.70438863690447</v>
      </c>
      <c r="Y24" s="13">
        <f>T24+I24</f>
        <v>1261.1232986445648</v>
      </c>
      <c r="Z24">
        <f>U24+J24</f>
        <v>69767.241257265472</v>
      </c>
      <c r="AA24">
        <f>SQRT(Z24)</f>
        <v>264.13489216168597</v>
      </c>
      <c r="AB24" s="6">
        <f>(1.96*AA24)</f>
        <v>517.70438863690447</v>
      </c>
      <c r="AC24" s="14">
        <f t="shared" si="12"/>
        <v>0.20944414590197005</v>
      </c>
    </row>
    <row r="25" spans="1:29" hidden="1" x14ac:dyDescent="0.25">
      <c r="A25" t="str">
        <f>'rockfish harvests'!A24</f>
        <v>SC</v>
      </c>
      <c r="B25">
        <f>'rockfish harvests'!B24</f>
        <v>2020</v>
      </c>
      <c r="C25" t="str">
        <f>'rockfish harvests'!C24</f>
        <v>AFOGNAK</v>
      </c>
      <c r="D25">
        <f>'rockfish harvests'!D24</f>
        <v>5835</v>
      </c>
      <c r="E25">
        <v>831</v>
      </c>
      <c r="F25">
        <v>605</v>
      </c>
      <c r="I25" s="13">
        <f t="shared" ref="I25" si="14">F25</f>
        <v>605</v>
      </c>
      <c r="J25">
        <f t="shared" ref="J25" si="15">(E25^2)*H25</f>
        <v>0</v>
      </c>
      <c r="K25">
        <f t="shared" ref="K25:K27" si="16">SQRT(J25)</f>
        <v>0</v>
      </c>
      <c r="L25" s="6">
        <f t="shared" ref="L25:L27" si="17">(1.96*K25)</f>
        <v>0</v>
      </c>
      <c r="N25" s="2">
        <f>'rockfish harvests'!O24</f>
        <v>1752.4199820520489</v>
      </c>
      <c r="O25">
        <f>'rockfish harvests'!P24</f>
        <v>564645.39156800637</v>
      </c>
      <c r="R25" s="38">
        <v>0.12099095862606961</v>
      </c>
      <c r="S25" s="38">
        <v>9.8619468272814498E-4</v>
      </c>
      <c r="T25" s="13">
        <f t="shared" ref="T25:T26" si="18">R25*N25</f>
        <v>212.0269735439571</v>
      </c>
      <c r="U25" s="14">
        <f t="shared" ref="U25:U26" si="19">(N25^2)*S25+(R25^2)*O25-(S25*O25)</f>
        <v>10737.467488475704</v>
      </c>
      <c r="V25">
        <f t="shared" ref="V25:V26" si="20">SQRT(U25)</f>
        <v>103.62175200446914</v>
      </c>
      <c r="W25" s="6">
        <f t="shared" ref="W25:W26" si="21">(1.96*V25)</f>
        <v>203.09863392875951</v>
      </c>
      <c r="Y25" s="13">
        <f t="shared" ref="Y25:Y26" si="22">T25+I25</f>
        <v>817.02697354395707</v>
      </c>
      <c r="Z25">
        <f t="shared" ref="Z25:Z26" si="23">U25+J25</f>
        <v>10737.467488475704</v>
      </c>
      <c r="AA25">
        <f t="shared" ref="AA25:AA26" si="24">SQRT(Z25)</f>
        <v>103.62175200446914</v>
      </c>
      <c r="AB25" s="6">
        <f t="shared" ref="AB25:AB26" si="25">(1.96*AA25)</f>
        <v>203.09863392875951</v>
      </c>
      <c r="AC25" s="14">
        <f t="shared" ref="AC25:AC26" si="26">AA25/Y25</f>
        <v>0.12682782253197442</v>
      </c>
    </row>
    <row r="26" spans="1:29" hidden="1" x14ac:dyDescent="0.25">
      <c r="A26" t="str">
        <f>'rockfish harvests'!A25</f>
        <v>SC</v>
      </c>
      <c r="B26">
        <f>'rockfish harvests'!B25</f>
        <v>2021</v>
      </c>
      <c r="C26" t="str">
        <f>'rockfish harvests'!C25</f>
        <v>AFOGNAK</v>
      </c>
      <c r="D26">
        <f>'rockfish harvests'!D25</f>
        <v>9007</v>
      </c>
      <c r="E26">
        <v>1077</v>
      </c>
      <c r="F26">
        <v>817</v>
      </c>
      <c r="I26" s="13">
        <f>F26</f>
        <v>817</v>
      </c>
      <c r="J26">
        <f>(E26^2)*H26</f>
        <v>0</v>
      </c>
      <c r="K26">
        <f t="shared" si="16"/>
        <v>0</v>
      </c>
      <c r="L26" s="6">
        <f t="shared" si="17"/>
        <v>0</v>
      </c>
      <c r="N26" s="2">
        <f>'rockfish harvests'!O25</f>
        <v>1406.6827148896191</v>
      </c>
      <c r="O26">
        <f>'rockfish harvests'!P25</f>
        <v>336808.63980312884</v>
      </c>
      <c r="R26" s="38">
        <v>0.11909822544392649</v>
      </c>
      <c r="S26" s="38">
        <v>9.6796862042983537E-4</v>
      </c>
      <c r="T26" s="13">
        <f t="shared" si="18"/>
        <v>167.53341510599844</v>
      </c>
      <c r="U26" s="14">
        <f t="shared" si="19"/>
        <v>6366.7779673621681</v>
      </c>
      <c r="V26">
        <f t="shared" si="20"/>
        <v>79.792092135512831</v>
      </c>
      <c r="W26" s="6">
        <f t="shared" si="21"/>
        <v>156.39250058560515</v>
      </c>
      <c r="Y26" s="13">
        <f t="shared" si="22"/>
        <v>984.53341510599842</v>
      </c>
      <c r="Z26">
        <f t="shared" si="23"/>
        <v>6366.7779673621681</v>
      </c>
      <c r="AA26">
        <f t="shared" si="24"/>
        <v>79.792092135512831</v>
      </c>
      <c r="AB26" s="6">
        <f t="shared" si="25"/>
        <v>156.39250058560515</v>
      </c>
      <c r="AC26" s="14">
        <f t="shared" si="26"/>
        <v>8.1045590643484794E-2</v>
      </c>
    </row>
    <row r="27" spans="1:29" s="51" customFormat="1" hidden="1" x14ac:dyDescent="0.25">
      <c r="A27" s="51" t="s">
        <v>81</v>
      </c>
      <c r="B27" s="51">
        <v>2022</v>
      </c>
      <c r="C27" s="51" t="s">
        <v>45</v>
      </c>
      <c r="D27">
        <f>'rockfish harvests'!D26</f>
        <v>9241</v>
      </c>
      <c r="E27" s="51">
        <v>930</v>
      </c>
      <c r="F27" s="51">
        <v>671</v>
      </c>
      <c r="I27" s="71">
        <f>F27</f>
        <v>671</v>
      </c>
      <c r="J27" s="51">
        <f>(E27^2)*H27</f>
        <v>0</v>
      </c>
      <c r="K27" s="51">
        <f t="shared" si="16"/>
        <v>0</v>
      </c>
      <c r="L27" s="78">
        <f t="shared" si="17"/>
        <v>0</v>
      </c>
      <c r="N27" s="2">
        <f>'rockfish harvests'!O26</f>
        <v>3527.878214229373</v>
      </c>
      <c r="O27">
        <f>'rockfish harvests'!P26</f>
        <v>2029671.2150868119</v>
      </c>
      <c r="R27" s="88">
        <v>0.12347413795074771</v>
      </c>
      <c r="S27" s="89">
        <v>1.095027420221434E-3</v>
      </c>
      <c r="T27" s="13">
        <f t="shared" ref="T27" si="27">R27*N27</f>
        <v>435.60172129719513</v>
      </c>
      <c r="U27" s="14">
        <f t="shared" ref="U27" si="28">(N27^2)*S27+(R27^2)*O27-(S27*O27)</f>
        <v>42350.171933844977</v>
      </c>
      <c r="V27">
        <f t="shared" ref="V27" si="29">SQRT(U27)</f>
        <v>205.79157401080585</v>
      </c>
      <c r="W27" s="6">
        <f t="shared" ref="W27" si="30">(1.96*V27)</f>
        <v>403.35148506117946</v>
      </c>
      <c r="X27"/>
      <c r="Y27" s="13">
        <f t="shared" ref="Y27" si="31">T27+I27</f>
        <v>1106.6017212971951</v>
      </c>
      <c r="Z27">
        <f t="shared" ref="Z27" si="32">U27+J27</f>
        <v>42350.171933844977</v>
      </c>
      <c r="AA27">
        <f t="shared" ref="AA27" si="33">SQRT(Z27)</f>
        <v>205.79157401080585</v>
      </c>
      <c r="AB27" s="6">
        <f t="shared" ref="AB27" si="34">(1.96*AA27)</f>
        <v>403.35148506117946</v>
      </c>
      <c r="AC27" s="14">
        <f t="shared" ref="AC27" si="35">AA27/Y27</f>
        <v>0.18596715516542858</v>
      </c>
    </row>
    <row r="28" spans="1:29" hidden="1" x14ac:dyDescent="0.25">
      <c r="A28" t="str">
        <f>'rockfish harvests'!A27</f>
        <v>SC</v>
      </c>
      <c r="B28">
        <f>'rockfish harvests'!B27</f>
        <v>1998</v>
      </c>
      <c r="C28" t="str">
        <f>'rockfish harvests'!C27</f>
        <v>WKMA</v>
      </c>
      <c r="D28">
        <f>'rockfish harvests'!D27</f>
        <v>148</v>
      </c>
      <c r="E28">
        <v>31</v>
      </c>
      <c r="F28" t="s">
        <v>159</v>
      </c>
      <c r="G28" s="38">
        <v>0.74470782740778874</v>
      </c>
      <c r="H28" s="39">
        <v>4.4922308591158009E-3</v>
      </c>
      <c r="I28" s="13">
        <f t="shared" ref="I28:I35" si="36">E28*G28</f>
        <v>23.085942649641449</v>
      </c>
      <c r="J28">
        <f t="shared" si="4"/>
        <v>4.3170338556102843</v>
      </c>
      <c r="K28">
        <f t="shared" si="5"/>
        <v>2.0777473031170763</v>
      </c>
      <c r="L28" s="6">
        <f t="shared" si="6"/>
        <v>4.0723847141094698</v>
      </c>
      <c r="N28" s="2">
        <f>'rockfish harvests'!O27</f>
        <v>42.686604162511713</v>
      </c>
      <c r="O28">
        <f>'rockfish harvests'!P27</f>
        <v>681.09032990436276</v>
      </c>
      <c r="R28" s="38">
        <v>0.1616564144198088</v>
      </c>
      <c r="S28" s="39">
        <v>1.2779754648134906E-3</v>
      </c>
      <c r="T28" s="13">
        <f t="shared" ref="T28:T73" si="37">R28*N28</f>
        <v>6.9005633726693292</v>
      </c>
      <c r="U28" s="14">
        <f t="shared" si="7"/>
        <v>19.257036242923466</v>
      </c>
      <c r="V28">
        <f t="shared" si="8"/>
        <v>4.3882839747358497</v>
      </c>
      <c r="W28" s="6">
        <f t="shared" si="9"/>
        <v>8.6010365904822645</v>
      </c>
      <c r="Y28" s="13">
        <f>T28+I28</f>
        <v>29.986506022310778</v>
      </c>
      <c r="Z28">
        <f t="shared" si="3"/>
        <v>23.574070098533749</v>
      </c>
      <c r="AA28">
        <f t="shared" si="10"/>
        <v>4.8553135942525634</v>
      </c>
      <c r="AB28" s="6">
        <f t="shared" si="11"/>
        <v>9.5164146447350237</v>
      </c>
      <c r="AC28" s="14">
        <f>AA28/Y28</f>
        <v>0.16191661644874791</v>
      </c>
    </row>
    <row r="29" spans="1:29" hidden="1" x14ac:dyDescent="0.25">
      <c r="A29" t="str">
        <f>'rockfish harvests'!A28</f>
        <v>SC</v>
      </c>
      <c r="B29">
        <f>'rockfish harvests'!B28</f>
        <v>1999</v>
      </c>
      <c r="C29" t="str">
        <f>'rockfish harvests'!C28</f>
        <v>WKMA</v>
      </c>
      <c r="D29">
        <f>'rockfish harvests'!D28</f>
        <v>228</v>
      </c>
      <c r="E29">
        <v>5</v>
      </c>
      <c r="F29" t="s">
        <v>159</v>
      </c>
      <c r="G29" s="38">
        <v>0.74470782740778874</v>
      </c>
      <c r="H29" s="39">
        <v>4.4922308591158009E-3</v>
      </c>
      <c r="I29" s="13">
        <f t="shared" si="36"/>
        <v>3.7235391370389435</v>
      </c>
      <c r="J29">
        <f t="shared" si="4"/>
        <v>0.11230577147789503</v>
      </c>
      <c r="K29">
        <f t="shared" si="5"/>
        <v>0.33512053276081882</v>
      </c>
      <c r="L29" s="6">
        <f t="shared" si="6"/>
        <v>0.6568362442112049</v>
      </c>
      <c r="N29" s="2">
        <f>'rockfish harvests'!O28</f>
        <v>65.760444250355874</v>
      </c>
      <c r="O29">
        <f>'rockfish harvests'!P28</f>
        <v>1616.4079487649926</v>
      </c>
      <c r="R29" s="38">
        <v>0.1616564144198088</v>
      </c>
      <c r="S29" s="39">
        <v>1.2779754648134906E-3</v>
      </c>
      <c r="T29" s="13">
        <f t="shared" si="37"/>
        <v>10.630597628166262</v>
      </c>
      <c r="U29" s="14">
        <f t="shared" si="7"/>
        <v>45.70205314335891</v>
      </c>
      <c r="V29">
        <f t="shared" si="8"/>
        <v>6.7603293664849575</v>
      </c>
      <c r="W29" s="6">
        <f t="shared" si="9"/>
        <v>13.250245558310516</v>
      </c>
      <c r="Y29" s="13">
        <f t="shared" si="2"/>
        <v>14.354136765205205</v>
      </c>
      <c r="Z29">
        <f t="shared" si="3"/>
        <v>45.814358914836802</v>
      </c>
      <c r="AA29">
        <f t="shared" si="10"/>
        <v>6.7686305051196882</v>
      </c>
      <c r="AB29" s="6">
        <f t="shared" si="11"/>
        <v>13.266515790034589</v>
      </c>
      <c r="AC29" s="14">
        <f t="shared" si="12"/>
        <v>0.47154563286083645</v>
      </c>
    </row>
    <row r="30" spans="1:29" hidden="1" x14ac:dyDescent="0.25">
      <c r="A30" t="str">
        <f>'rockfish harvests'!A29</f>
        <v>SC</v>
      </c>
      <c r="B30">
        <f>'rockfish harvests'!B29</f>
        <v>2000</v>
      </c>
      <c r="C30" t="str">
        <f>'rockfish harvests'!C29</f>
        <v>WKMA</v>
      </c>
      <c r="D30">
        <f>'rockfish harvests'!D29</f>
        <v>386</v>
      </c>
      <c r="E30">
        <v>78</v>
      </c>
      <c r="F30" t="s">
        <v>159</v>
      </c>
      <c r="G30" s="38">
        <v>0.74470782740778874</v>
      </c>
      <c r="H30" s="39">
        <v>4.4922308591158009E-3</v>
      </c>
      <c r="I30" s="13">
        <f t="shared" si="36"/>
        <v>58.087210537807522</v>
      </c>
      <c r="J30">
        <f t="shared" si="4"/>
        <v>27.330732546860531</v>
      </c>
      <c r="K30">
        <f t="shared" si="5"/>
        <v>5.2278803110687733</v>
      </c>
      <c r="L30" s="6">
        <f t="shared" si="6"/>
        <v>10.246645409694795</v>
      </c>
      <c r="N30" s="2">
        <f>'rockfish harvests'!O29</f>
        <v>111.33127842384812</v>
      </c>
      <c r="O30">
        <f>'rockfish harvests'!P29</f>
        <v>4632.9316469334572</v>
      </c>
      <c r="R30" s="38">
        <v>0.1616564144198088</v>
      </c>
      <c r="S30" s="39">
        <v>1.2779754648134906E-3</v>
      </c>
      <c r="T30" s="13">
        <f t="shared" si="37"/>
        <v>17.99741528277271</v>
      </c>
      <c r="U30" s="14">
        <f t="shared" si="7"/>
        <v>130.99074927185103</v>
      </c>
      <c r="V30">
        <f t="shared" si="8"/>
        <v>11.445119015189446</v>
      </c>
      <c r="W30" s="6">
        <f t="shared" si="9"/>
        <v>22.432433269771312</v>
      </c>
      <c r="Y30" s="13">
        <f t="shared" si="2"/>
        <v>76.084625820580229</v>
      </c>
      <c r="Z30">
        <f t="shared" si="3"/>
        <v>158.32148181871156</v>
      </c>
      <c r="AA30">
        <f t="shared" si="10"/>
        <v>12.582586451867183</v>
      </c>
      <c r="AB30" s="6">
        <f t="shared" si="11"/>
        <v>24.661869445659679</v>
      </c>
      <c r="AC30" s="14">
        <f t="shared" si="12"/>
        <v>0.16537620204032999</v>
      </c>
    </row>
    <row r="31" spans="1:29" hidden="1" x14ac:dyDescent="0.25">
      <c r="A31" t="str">
        <f>'rockfish harvests'!A30</f>
        <v>SC</v>
      </c>
      <c r="B31">
        <f>'rockfish harvests'!B30</f>
        <v>2001</v>
      </c>
      <c r="C31" t="str">
        <f>'rockfish harvests'!C30</f>
        <v>WKMA</v>
      </c>
      <c r="D31">
        <f>'rockfish harvests'!D30</f>
        <v>1182</v>
      </c>
      <c r="E31">
        <v>24</v>
      </c>
      <c r="F31" t="s">
        <v>159</v>
      </c>
      <c r="G31" s="38">
        <v>0.74470782740778874</v>
      </c>
      <c r="H31" s="39">
        <v>4.4922308591158009E-3</v>
      </c>
      <c r="I31" s="13">
        <f t="shared" si="36"/>
        <v>17.872987857786931</v>
      </c>
      <c r="J31">
        <f t="shared" si="4"/>
        <v>2.5875249748507012</v>
      </c>
      <c r="K31">
        <f t="shared" si="5"/>
        <v>1.6085785572519302</v>
      </c>
      <c r="L31" s="6">
        <f t="shared" si="6"/>
        <v>3.1528139722137833</v>
      </c>
      <c r="N31" s="2">
        <f>'rockfish harvests'!O30</f>
        <v>340.91598729789757</v>
      </c>
      <c r="O31">
        <f>'rockfish harvests'!P30</f>
        <v>43442.642717188777</v>
      </c>
      <c r="R31" s="38">
        <v>0.1616564144198088</v>
      </c>
      <c r="S31" s="39">
        <v>1.2779754648134906E-3</v>
      </c>
      <c r="T31" s="13">
        <f t="shared" si="37"/>
        <v>55.111256124967198</v>
      </c>
      <c r="U31" s="14">
        <f t="shared" si="7"/>
        <v>1228.2901526597063</v>
      </c>
      <c r="V31">
        <f t="shared" si="8"/>
        <v>35.04697066309307</v>
      </c>
      <c r="W31" s="6">
        <f t="shared" si="9"/>
        <v>68.692062499662413</v>
      </c>
      <c r="Y31" s="13">
        <f t="shared" si="2"/>
        <v>72.984243982754123</v>
      </c>
      <c r="Z31">
        <f t="shared" si="3"/>
        <v>1230.8776776345571</v>
      </c>
      <c r="AA31">
        <f t="shared" si="10"/>
        <v>35.083866343870326</v>
      </c>
      <c r="AB31" s="6">
        <f t="shared" si="11"/>
        <v>68.764378033985835</v>
      </c>
      <c r="AC31" s="14">
        <f t="shared" si="12"/>
        <v>0.48070466212077911</v>
      </c>
    </row>
    <row r="32" spans="1:29" hidden="1" x14ac:dyDescent="0.25">
      <c r="A32" t="str">
        <f>'rockfish harvests'!A31</f>
        <v>SC</v>
      </c>
      <c r="B32">
        <f>'rockfish harvests'!B31</f>
        <v>2002</v>
      </c>
      <c r="C32" t="str">
        <f>'rockfish harvests'!C31</f>
        <v>WKMA</v>
      </c>
      <c r="D32">
        <f>'rockfish harvests'!D31</f>
        <v>880</v>
      </c>
      <c r="E32">
        <v>69</v>
      </c>
      <c r="F32" t="s">
        <v>159</v>
      </c>
      <c r="G32" s="38">
        <v>0.74470782740778874</v>
      </c>
      <c r="H32" s="39">
        <v>4.4922308591158009E-3</v>
      </c>
      <c r="I32" s="13">
        <f t="shared" si="36"/>
        <v>51.38484009113742</v>
      </c>
      <c r="J32">
        <f t="shared" si="4"/>
        <v>21.387511120250327</v>
      </c>
      <c r="K32">
        <f t="shared" si="5"/>
        <v>4.624663352099299</v>
      </c>
      <c r="L32" s="6">
        <f t="shared" si="6"/>
        <v>9.064340170114626</v>
      </c>
      <c r="N32" s="2">
        <f>'rockfish harvests'!O31</f>
        <v>253.8122409662858</v>
      </c>
      <c r="O32">
        <f>'rockfish harvests'!P31</f>
        <v>24079.453591943871</v>
      </c>
      <c r="R32" s="38">
        <v>0.1616564144198088</v>
      </c>
      <c r="S32" s="39">
        <v>1.2779754648134906E-3</v>
      </c>
      <c r="T32" s="13">
        <f t="shared" si="37"/>
        <v>41.030376810466272</v>
      </c>
      <c r="U32" s="14">
        <f t="shared" si="7"/>
        <v>680.81852020269969</v>
      </c>
      <c r="V32">
        <f t="shared" si="8"/>
        <v>26.092499309240189</v>
      </c>
      <c r="W32" s="6">
        <f t="shared" si="9"/>
        <v>51.141298646110769</v>
      </c>
      <c r="Y32" s="13">
        <f t="shared" si="2"/>
        <v>92.415216901603685</v>
      </c>
      <c r="Z32">
        <f t="shared" si="3"/>
        <v>702.20603132295003</v>
      </c>
      <c r="AA32">
        <f t="shared" si="10"/>
        <v>26.499170389333891</v>
      </c>
      <c r="AB32" s="6">
        <f t="shared" si="11"/>
        <v>51.938373963094428</v>
      </c>
      <c r="AC32" s="14">
        <f t="shared" si="12"/>
        <v>0.28674033647021663</v>
      </c>
    </row>
    <row r="33" spans="1:29" hidden="1" x14ac:dyDescent="0.25">
      <c r="A33" t="str">
        <f>'rockfish harvests'!A32</f>
        <v>SC</v>
      </c>
      <c r="B33">
        <f>'rockfish harvests'!B32</f>
        <v>2003</v>
      </c>
      <c r="C33" t="str">
        <f>'rockfish harvests'!C32</f>
        <v>WKMA</v>
      </c>
      <c r="D33">
        <f>'rockfish harvests'!D32</f>
        <v>1107</v>
      </c>
      <c r="E33">
        <v>149</v>
      </c>
      <c r="F33" t="s">
        <v>159</v>
      </c>
      <c r="G33" s="38">
        <v>0.74470782740778874</v>
      </c>
      <c r="H33" s="39">
        <v>4.4922308591158009E-3</v>
      </c>
      <c r="I33" s="13">
        <f t="shared" si="36"/>
        <v>110.96146628376052</v>
      </c>
      <c r="J33">
        <f t="shared" si="4"/>
        <v>99.732017303229895</v>
      </c>
      <c r="K33">
        <f t="shared" si="5"/>
        <v>9.9865918762723993</v>
      </c>
      <c r="L33" s="6">
        <f t="shared" si="6"/>
        <v>19.573720077493903</v>
      </c>
      <c r="N33" s="2">
        <f>'rockfish harvests'!O32</f>
        <v>319.28426221554378</v>
      </c>
      <c r="O33">
        <f>'rockfish harvests'!P32</f>
        <v>38104.522630157575</v>
      </c>
      <c r="R33" s="38">
        <v>0.1616564144198088</v>
      </c>
      <c r="S33" s="39">
        <v>1.2779754648134906E-3</v>
      </c>
      <c r="T33" s="13">
        <f t="shared" si="37"/>
        <v>51.614349010438843</v>
      </c>
      <c r="U33" s="14">
        <f t="shared" si="7"/>
        <v>1077.3610211310411</v>
      </c>
      <c r="V33">
        <f t="shared" si="8"/>
        <v>32.823178108328285</v>
      </c>
      <c r="W33" s="6">
        <f t="shared" si="9"/>
        <v>64.333429092323442</v>
      </c>
      <c r="Y33" s="13">
        <f t="shared" si="2"/>
        <v>162.57581529419934</v>
      </c>
      <c r="Z33">
        <f t="shared" si="3"/>
        <v>1177.093038434271</v>
      </c>
      <c r="AA33">
        <f t="shared" si="10"/>
        <v>34.30878952155367</v>
      </c>
      <c r="AB33" s="6">
        <f t="shared" si="11"/>
        <v>67.245227462245197</v>
      </c>
      <c r="AC33" s="14">
        <f t="shared" si="12"/>
        <v>0.21103255400852847</v>
      </c>
    </row>
    <row r="34" spans="1:29" hidden="1" x14ac:dyDescent="0.25">
      <c r="A34" t="str">
        <f>'rockfish harvests'!A33</f>
        <v>SC</v>
      </c>
      <c r="B34">
        <f>'rockfish harvests'!B33</f>
        <v>2004</v>
      </c>
      <c r="C34" t="str">
        <f>'rockfish harvests'!C33</f>
        <v>WKMA</v>
      </c>
      <c r="D34">
        <f>'rockfish harvests'!D33</f>
        <v>810</v>
      </c>
      <c r="E34">
        <v>94</v>
      </c>
      <c r="F34" t="s">
        <v>159</v>
      </c>
      <c r="G34" s="38">
        <v>0.74470782740778874</v>
      </c>
      <c r="H34" s="39">
        <v>4.4922308591158009E-3</v>
      </c>
      <c r="I34" s="13">
        <f t="shared" si="36"/>
        <v>70.002535776332138</v>
      </c>
      <c r="J34">
        <f t="shared" si="4"/>
        <v>39.693351871147215</v>
      </c>
      <c r="K34">
        <f t="shared" si="5"/>
        <v>6.300266015903393</v>
      </c>
      <c r="L34" s="6">
        <f t="shared" si="6"/>
        <v>12.34852139117065</v>
      </c>
      <c r="N34" s="2">
        <f>'rockfish harvests'!O33</f>
        <v>233.62263088942223</v>
      </c>
      <c r="O34">
        <f>'rockfish harvests'!P33</f>
        <v>20400.993674682817</v>
      </c>
      <c r="R34" s="38">
        <v>0.1616564144198088</v>
      </c>
      <c r="S34" s="39">
        <v>1.2779754648134906E-3</v>
      </c>
      <c r="T34" s="13">
        <f t="shared" si="37"/>
        <v>37.766596836906466</v>
      </c>
      <c r="U34" s="14">
        <f t="shared" si="7"/>
        <v>576.81434801780904</v>
      </c>
      <c r="V34">
        <f t="shared" si="8"/>
        <v>24.01695959145972</v>
      </c>
      <c r="W34" s="6">
        <f t="shared" si="9"/>
        <v>47.07324079926105</v>
      </c>
      <c r="Y34" s="13">
        <f t="shared" si="2"/>
        <v>107.76913261323861</v>
      </c>
      <c r="Z34">
        <f t="shared" si="3"/>
        <v>616.50769988895627</v>
      </c>
      <c r="AA34">
        <f t="shared" si="10"/>
        <v>24.82957309115395</v>
      </c>
      <c r="AB34" s="6">
        <f t="shared" si="11"/>
        <v>48.665963258661741</v>
      </c>
      <c r="AC34" s="14">
        <f t="shared" si="12"/>
        <v>0.23039596300976284</v>
      </c>
    </row>
    <row r="35" spans="1:29" hidden="1" x14ac:dyDescent="0.25">
      <c r="A35" t="str">
        <f>'rockfish harvests'!A34</f>
        <v>SC</v>
      </c>
      <c r="B35">
        <f>'rockfish harvests'!B34</f>
        <v>2005</v>
      </c>
      <c r="C35" t="str">
        <f>'rockfish harvests'!C34</f>
        <v>WKMA</v>
      </c>
      <c r="D35">
        <f>'rockfish harvests'!D34</f>
        <v>1266</v>
      </c>
      <c r="E35">
        <v>133</v>
      </c>
      <c r="F35" t="s">
        <v>159</v>
      </c>
      <c r="G35" s="38">
        <v>0.74470782740778874</v>
      </c>
      <c r="H35" s="39">
        <v>4.4922308591158009E-3</v>
      </c>
      <c r="I35" s="13">
        <f t="shared" si="36"/>
        <v>99.046141045235899</v>
      </c>
      <c r="J35">
        <f t="shared" si="4"/>
        <v>79.463071666899395</v>
      </c>
      <c r="K35">
        <f t="shared" si="5"/>
        <v>8.9142061714377796</v>
      </c>
      <c r="L35" s="6">
        <f t="shared" si="6"/>
        <v>17.471844096018049</v>
      </c>
      <c r="N35" s="2">
        <f>'rockfish harvests'!O34</f>
        <v>365.14351939013386</v>
      </c>
      <c r="O35">
        <f>'rockfish harvests'!P34</f>
        <v>49836.633162719001</v>
      </c>
      <c r="R35" s="38">
        <v>0.1616564144198088</v>
      </c>
      <c r="S35" s="39">
        <v>1.2779754648134906E-3</v>
      </c>
      <c r="T35" s="13">
        <f t="shared" si="37"/>
        <v>59.027792093238972</v>
      </c>
      <c r="U35" s="14">
        <f t="shared" si="7"/>
        <v>1409.0727894705553</v>
      </c>
      <c r="V35">
        <f t="shared" si="8"/>
        <v>37.53761832442963</v>
      </c>
      <c r="W35" s="6">
        <f t="shared" si="9"/>
        <v>73.573731915882078</v>
      </c>
      <c r="Y35" s="13">
        <f t="shared" si="2"/>
        <v>158.07393313847487</v>
      </c>
      <c r="Z35">
        <f t="shared" si="3"/>
        <v>1488.5358611374547</v>
      </c>
      <c r="AA35">
        <f t="shared" si="10"/>
        <v>38.581548195185931</v>
      </c>
      <c r="AB35" s="6">
        <f t="shared" si="11"/>
        <v>75.619834462564427</v>
      </c>
      <c r="AC35" s="14">
        <f t="shared" si="12"/>
        <v>0.24407280459952863</v>
      </c>
    </row>
    <row r="36" spans="1:29" hidden="1" x14ac:dyDescent="0.25">
      <c r="A36" t="str">
        <f>'rockfish harvests'!A35</f>
        <v>SC</v>
      </c>
      <c r="B36">
        <f>'rockfish harvests'!B35</f>
        <v>2006</v>
      </c>
      <c r="C36" t="str">
        <f>'rockfish harvests'!C35</f>
        <v>WKMA</v>
      </c>
      <c r="D36">
        <f>'rockfish harvests'!D35</f>
        <v>737</v>
      </c>
      <c r="E36">
        <v>155</v>
      </c>
      <c r="F36">
        <v>118</v>
      </c>
      <c r="I36" s="13">
        <f>F36</f>
        <v>118</v>
      </c>
      <c r="J36">
        <f t="shared" si="4"/>
        <v>0</v>
      </c>
      <c r="K36">
        <f t="shared" si="5"/>
        <v>0</v>
      </c>
      <c r="L36" s="6">
        <f t="shared" si="6"/>
        <v>0</v>
      </c>
      <c r="N36" s="2">
        <f>'rockfish harvests'!O35</f>
        <v>212.56775180926445</v>
      </c>
      <c r="O36">
        <f>'rockfish harvests'!P35</f>
        <v>16889.47924597438</v>
      </c>
      <c r="R36" s="38">
        <v>0.1616564144198088</v>
      </c>
      <c r="S36" s="39">
        <v>1.2779754648134906E-3</v>
      </c>
      <c r="T36" s="13">
        <f t="shared" si="37"/>
        <v>34.362940578765517</v>
      </c>
      <c r="U36" s="14">
        <f t="shared" si="7"/>
        <v>477.53036518592478</v>
      </c>
      <c r="V36">
        <f t="shared" si="8"/>
        <v>21.852468171488656</v>
      </c>
      <c r="W36" s="6">
        <f t="shared" si="9"/>
        <v>42.830837616117762</v>
      </c>
      <c r="Y36" s="13">
        <f t="shared" si="2"/>
        <v>152.36294057876552</v>
      </c>
      <c r="Z36">
        <f t="shared" si="3"/>
        <v>477.53036518592478</v>
      </c>
      <c r="AA36">
        <f t="shared" si="10"/>
        <v>21.852468171488656</v>
      </c>
      <c r="AB36" s="6">
        <f t="shared" si="11"/>
        <v>42.830837616117762</v>
      </c>
      <c r="AC36" s="14">
        <f t="shared" si="12"/>
        <v>0.14342377541730239</v>
      </c>
    </row>
    <row r="37" spans="1:29" hidden="1" x14ac:dyDescent="0.25">
      <c r="A37" t="str">
        <f>'rockfish harvests'!A36</f>
        <v>SC</v>
      </c>
      <c r="B37">
        <f>'rockfish harvests'!B36</f>
        <v>2007</v>
      </c>
      <c r="C37" t="str">
        <f>'rockfish harvests'!C36</f>
        <v>WKMA</v>
      </c>
      <c r="D37">
        <f>'rockfish harvests'!D36</f>
        <v>1645</v>
      </c>
      <c r="E37">
        <v>337</v>
      </c>
      <c r="F37">
        <v>242</v>
      </c>
      <c r="I37" s="13">
        <f t="shared" ref="I37:I48" si="38">F37</f>
        <v>242</v>
      </c>
      <c r="J37">
        <f t="shared" si="4"/>
        <v>0</v>
      </c>
      <c r="K37">
        <f t="shared" si="5"/>
        <v>0</v>
      </c>
      <c r="L37" s="6">
        <f t="shared" si="6"/>
        <v>0</v>
      </c>
      <c r="N37" s="2">
        <f>'rockfish harvests'!O36</f>
        <v>474.45583680629579</v>
      </c>
      <c r="O37">
        <f>'rockfish harvests'!P36</f>
        <v>84142.049852969925</v>
      </c>
      <c r="R37" s="38">
        <v>0.1616564144198088</v>
      </c>
      <c r="S37" s="39">
        <v>1.2779754648134906E-3</v>
      </c>
      <c r="T37" s="13">
        <f t="shared" si="37"/>
        <v>76.698829378655731</v>
      </c>
      <c r="U37" s="14">
        <f t="shared" si="7"/>
        <v>2379.0185125665166</v>
      </c>
      <c r="V37">
        <f t="shared" si="8"/>
        <v>48.775183367841031</v>
      </c>
      <c r="W37" s="6">
        <f t="shared" si="9"/>
        <v>95.599359400968424</v>
      </c>
      <c r="Y37" s="13">
        <f t="shared" si="2"/>
        <v>318.69882937865572</v>
      </c>
      <c r="Z37">
        <f t="shared" si="3"/>
        <v>2379.0185125665166</v>
      </c>
      <c r="AA37">
        <f t="shared" si="10"/>
        <v>48.775183367841031</v>
      </c>
      <c r="AB37" s="6">
        <f t="shared" si="11"/>
        <v>95.599359400968424</v>
      </c>
      <c r="AC37" s="14">
        <f t="shared" si="12"/>
        <v>0.15304475219734728</v>
      </c>
    </row>
    <row r="38" spans="1:29" hidden="1" x14ac:dyDescent="0.25">
      <c r="A38" t="str">
        <f>'rockfish harvests'!A37</f>
        <v>SC</v>
      </c>
      <c r="B38">
        <f>'rockfish harvests'!B37</f>
        <v>2008</v>
      </c>
      <c r="C38" t="str">
        <f>'rockfish harvests'!C37</f>
        <v>WKMA</v>
      </c>
      <c r="D38">
        <f>'rockfish harvests'!D37</f>
        <v>1196</v>
      </c>
      <c r="E38">
        <v>296</v>
      </c>
      <c r="F38">
        <v>211</v>
      </c>
      <c r="I38" s="13">
        <f t="shared" si="38"/>
        <v>211</v>
      </c>
      <c r="J38">
        <f t="shared" si="4"/>
        <v>0</v>
      </c>
      <c r="K38">
        <f t="shared" si="5"/>
        <v>0</v>
      </c>
      <c r="L38" s="6">
        <f t="shared" si="6"/>
        <v>0</v>
      </c>
      <c r="N38" s="2">
        <f>'rockfish harvests'!O37</f>
        <v>344.95390931327029</v>
      </c>
      <c r="O38">
        <f>'rockfish harvests'!P37</f>
        <v>44477.835342425082</v>
      </c>
      <c r="R38" s="38">
        <v>0.1616564144198088</v>
      </c>
      <c r="S38" s="39">
        <v>1.2779754648134906E-3</v>
      </c>
      <c r="T38" s="13">
        <f t="shared" si="37"/>
        <v>55.764012119679165</v>
      </c>
      <c r="U38" s="14">
        <f t="shared" si="7"/>
        <v>1257.5590191041642</v>
      </c>
      <c r="V38">
        <f t="shared" si="8"/>
        <v>35.462078606649165</v>
      </c>
      <c r="W38" s="6">
        <f t="shared" si="9"/>
        <v>69.505674069032366</v>
      </c>
      <c r="Y38" s="13">
        <f t="shared" si="2"/>
        <v>266.76401211967914</v>
      </c>
      <c r="Z38">
        <f t="shared" si="3"/>
        <v>1257.5590191041642</v>
      </c>
      <c r="AA38">
        <f t="shared" si="10"/>
        <v>35.462078606649165</v>
      </c>
      <c r="AB38" s="6">
        <f t="shared" si="11"/>
        <v>69.505674069032366</v>
      </c>
      <c r="AC38" s="14">
        <f t="shared" si="12"/>
        <v>0.13293426772551203</v>
      </c>
    </row>
    <row r="39" spans="1:29" hidden="1" x14ac:dyDescent="0.25">
      <c r="A39" t="str">
        <f>'rockfish harvests'!A38</f>
        <v>SC</v>
      </c>
      <c r="B39">
        <f>'rockfish harvests'!B38</f>
        <v>2009</v>
      </c>
      <c r="C39" t="str">
        <f>'rockfish harvests'!C38</f>
        <v>WKMA</v>
      </c>
      <c r="D39">
        <f>'rockfish harvests'!D38</f>
        <v>1849</v>
      </c>
      <c r="E39">
        <v>332</v>
      </c>
      <c r="F39">
        <v>249</v>
      </c>
      <c r="I39" s="13">
        <f t="shared" si="38"/>
        <v>249</v>
      </c>
      <c r="J39">
        <f t="shared" si="4"/>
        <v>0</v>
      </c>
      <c r="K39">
        <f t="shared" si="5"/>
        <v>0</v>
      </c>
      <c r="L39" s="6">
        <f t="shared" si="6"/>
        <v>0</v>
      </c>
      <c r="N39" s="2">
        <f>'rockfish harvests'!O38</f>
        <v>533.29412903029834</v>
      </c>
      <c r="O39">
        <f>'rockfish harvests'!P38</f>
        <v>106305.34609967883</v>
      </c>
      <c r="R39" s="38">
        <v>0.1616564144198088</v>
      </c>
      <c r="S39" s="39">
        <v>1.2779754648134906E-3</v>
      </c>
      <c r="T39" s="13">
        <f t="shared" si="37"/>
        <v>86.210416730172895</v>
      </c>
      <c r="U39" s="14">
        <f t="shared" si="7"/>
        <v>3005.6599143692019</v>
      </c>
      <c r="V39">
        <f t="shared" si="8"/>
        <v>54.823899116801257</v>
      </c>
      <c r="W39" s="6">
        <f t="shared" si="9"/>
        <v>107.45484226893046</v>
      </c>
      <c r="Y39" s="13">
        <f t="shared" si="2"/>
        <v>335.21041673017288</v>
      </c>
      <c r="Z39">
        <f t="shared" si="3"/>
        <v>3005.6599143692019</v>
      </c>
      <c r="AA39">
        <f t="shared" si="10"/>
        <v>54.823899116801257</v>
      </c>
      <c r="AB39" s="6">
        <f t="shared" si="11"/>
        <v>107.45484226893046</v>
      </c>
      <c r="AC39" s="14">
        <f t="shared" si="12"/>
        <v>0.16355070242620673</v>
      </c>
    </row>
    <row r="40" spans="1:29" hidden="1" x14ac:dyDescent="0.25">
      <c r="A40" t="str">
        <f>'rockfish harvests'!A39</f>
        <v>SC</v>
      </c>
      <c r="B40">
        <f>'rockfish harvests'!B39</f>
        <v>2010</v>
      </c>
      <c r="C40" t="str">
        <f>'rockfish harvests'!C39</f>
        <v>WKMA</v>
      </c>
      <c r="D40">
        <f>'rockfish harvests'!D39</f>
        <v>1266</v>
      </c>
      <c r="E40">
        <v>473</v>
      </c>
      <c r="F40">
        <v>317</v>
      </c>
      <c r="I40" s="13">
        <f t="shared" si="38"/>
        <v>317</v>
      </c>
      <c r="J40">
        <f t="shared" si="4"/>
        <v>0</v>
      </c>
      <c r="K40">
        <f t="shared" si="5"/>
        <v>0</v>
      </c>
      <c r="L40" s="6">
        <f t="shared" si="6"/>
        <v>0</v>
      </c>
      <c r="N40" s="2">
        <f>'rockfish harvests'!O39</f>
        <v>365.14351939013386</v>
      </c>
      <c r="O40">
        <f>'rockfish harvests'!P39</f>
        <v>49836.633162719001</v>
      </c>
      <c r="R40" s="38">
        <v>0.1616564144198088</v>
      </c>
      <c r="S40" s="39">
        <v>1.2779754648134906E-3</v>
      </c>
      <c r="T40" s="13">
        <f t="shared" si="37"/>
        <v>59.027792093238972</v>
      </c>
      <c r="U40" s="14">
        <f t="shared" si="7"/>
        <v>1409.0727894705553</v>
      </c>
      <c r="V40">
        <f t="shared" si="8"/>
        <v>37.53761832442963</v>
      </c>
      <c r="W40" s="6">
        <f t="shared" si="9"/>
        <v>73.573731915882078</v>
      </c>
      <c r="Y40" s="13">
        <f t="shared" si="2"/>
        <v>376.02779209323899</v>
      </c>
      <c r="Z40">
        <f t="shared" si="3"/>
        <v>1409.0727894705553</v>
      </c>
      <c r="AA40">
        <f t="shared" si="10"/>
        <v>37.53761832442963</v>
      </c>
      <c r="AB40" s="6">
        <f t="shared" si="11"/>
        <v>73.573731915882078</v>
      </c>
      <c r="AC40" s="14">
        <f t="shared" si="12"/>
        <v>9.9826712582781349E-2</v>
      </c>
    </row>
    <row r="41" spans="1:29" hidden="1" x14ac:dyDescent="0.25">
      <c r="A41" t="str">
        <f>'rockfish harvests'!A40</f>
        <v>SC</v>
      </c>
      <c r="B41">
        <f>'rockfish harvests'!B40</f>
        <v>2011</v>
      </c>
      <c r="C41" t="str">
        <f>'rockfish harvests'!C40</f>
        <v>WKMA</v>
      </c>
      <c r="D41">
        <f>'rockfish harvests'!D40</f>
        <v>1366</v>
      </c>
      <c r="E41">
        <v>249</v>
      </c>
      <c r="F41">
        <v>163</v>
      </c>
      <c r="I41" s="13">
        <f t="shared" si="38"/>
        <v>163</v>
      </c>
      <c r="J41">
        <f t="shared" si="4"/>
        <v>0</v>
      </c>
      <c r="K41">
        <f t="shared" si="5"/>
        <v>0</v>
      </c>
      <c r="L41" s="6">
        <f t="shared" si="6"/>
        <v>0</v>
      </c>
      <c r="N41" s="2">
        <f>'rockfish harvests'!O40</f>
        <v>321.1685166498487</v>
      </c>
      <c r="O41">
        <f>'rockfish harvests'!P40</f>
        <v>51469.344301835146</v>
      </c>
      <c r="R41" s="38">
        <v>0.1616564144198088</v>
      </c>
      <c r="S41" s="39">
        <v>1.2779754648134906E-3</v>
      </c>
      <c r="T41" s="13">
        <f t="shared" si="37"/>
        <v>51.918950826143202</v>
      </c>
      <c r="U41" s="14">
        <f t="shared" si="7"/>
        <v>1411.0834996879978</v>
      </c>
      <c r="V41">
        <f t="shared" si="8"/>
        <v>37.564391379177138</v>
      </c>
      <c r="W41" s="6">
        <f t="shared" si="9"/>
        <v>73.626207103187184</v>
      </c>
      <c r="Y41" s="13">
        <f t="shared" si="2"/>
        <v>214.9189508261432</v>
      </c>
      <c r="Z41">
        <f t="shared" si="3"/>
        <v>1411.0834996879978</v>
      </c>
      <c r="AA41">
        <f t="shared" si="10"/>
        <v>37.564391379177138</v>
      </c>
      <c r="AB41" s="6">
        <f t="shared" si="11"/>
        <v>73.626207103187184</v>
      </c>
      <c r="AC41" s="14">
        <f t="shared" si="12"/>
        <v>0.17478398826525318</v>
      </c>
    </row>
    <row r="42" spans="1:29" hidden="1" x14ac:dyDescent="0.25">
      <c r="A42" t="str">
        <f>'rockfish harvests'!A41</f>
        <v>SC</v>
      </c>
      <c r="B42">
        <f>'rockfish harvests'!B41</f>
        <v>2012</v>
      </c>
      <c r="C42" t="str">
        <f>'rockfish harvests'!C41</f>
        <v>WKMA</v>
      </c>
      <c r="D42">
        <f>'rockfish harvests'!D41</f>
        <v>1747</v>
      </c>
      <c r="E42">
        <v>425</v>
      </c>
      <c r="F42">
        <v>335</v>
      </c>
      <c r="I42" s="13">
        <f t="shared" si="38"/>
        <v>335</v>
      </c>
      <c r="J42">
        <f t="shared" si="4"/>
        <v>0</v>
      </c>
      <c r="K42">
        <f t="shared" si="5"/>
        <v>0</v>
      </c>
      <c r="L42" s="6">
        <f t="shared" si="6"/>
        <v>0</v>
      </c>
      <c r="N42" s="2">
        <f>'rockfish harvests'!O41</f>
        <v>1124.7026143790849</v>
      </c>
      <c r="O42">
        <f>'rockfish harvests'!P41</f>
        <v>412684.87548151758</v>
      </c>
      <c r="R42" s="38">
        <v>0.1616564144198088</v>
      </c>
      <c r="S42" s="39">
        <v>1.2779754648134906E-3</v>
      </c>
      <c r="T42" s="13">
        <f t="shared" si="37"/>
        <v>181.81539192910776</v>
      </c>
      <c r="U42" s="14">
        <f t="shared" si="7"/>
        <v>11873.791345745005</v>
      </c>
      <c r="V42">
        <f t="shared" si="8"/>
        <v>108.9669277613396</v>
      </c>
      <c r="W42" s="6">
        <f t="shared" si="9"/>
        <v>213.57517841222563</v>
      </c>
      <c r="Y42" s="13">
        <f t="shared" si="2"/>
        <v>516.81539192910782</v>
      </c>
      <c r="Z42">
        <f t="shared" si="3"/>
        <v>11873.791345745005</v>
      </c>
      <c r="AA42">
        <f t="shared" si="10"/>
        <v>108.9669277613396</v>
      </c>
      <c r="AB42" s="6">
        <f t="shared" si="11"/>
        <v>213.57517841222563</v>
      </c>
      <c r="AC42" s="14">
        <f t="shared" si="12"/>
        <v>0.21084303885493938</v>
      </c>
    </row>
    <row r="43" spans="1:29" hidden="1" x14ac:dyDescent="0.25">
      <c r="A43" t="str">
        <f>'rockfish harvests'!A42</f>
        <v>SC</v>
      </c>
      <c r="B43">
        <f>'rockfish harvests'!B42</f>
        <v>2013</v>
      </c>
      <c r="C43" t="str">
        <f>'rockfish harvests'!C42</f>
        <v>WKMA</v>
      </c>
      <c r="D43">
        <f>'rockfish harvests'!D42</f>
        <v>1983</v>
      </c>
      <c r="E43">
        <v>357</v>
      </c>
      <c r="F43">
        <v>279</v>
      </c>
      <c r="I43" s="13">
        <f t="shared" si="38"/>
        <v>279</v>
      </c>
      <c r="J43">
        <f t="shared" si="4"/>
        <v>0</v>
      </c>
      <c r="K43">
        <f t="shared" si="5"/>
        <v>0</v>
      </c>
      <c r="L43" s="6">
        <f t="shared" si="6"/>
        <v>0</v>
      </c>
      <c r="N43" s="2">
        <f>'rockfish harvests'!O42</f>
        <v>401.95945945945914</v>
      </c>
      <c r="O43">
        <f>'rockfish harvests'!P42</f>
        <v>69446.330827502126</v>
      </c>
      <c r="R43" s="38">
        <v>0.1616564144198088</v>
      </c>
      <c r="S43" s="39">
        <v>1.2779754648134906E-3</v>
      </c>
      <c r="T43" s="13">
        <f t="shared" si="37"/>
        <v>64.979324958340655</v>
      </c>
      <c r="U43" s="14">
        <f t="shared" si="7"/>
        <v>1932.5604060046498</v>
      </c>
      <c r="V43">
        <f t="shared" si="8"/>
        <v>43.960896328494599</v>
      </c>
      <c r="W43" s="6">
        <f t="shared" si="9"/>
        <v>86.16335680384941</v>
      </c>
      <c r="Y43" s="13">
        <f t="shared" si="2"/>
        <v>343.97932495834067</v>
      </c>
      <c r="Z43">
        <f t="shared" si="3"/>
        <v>1932.5604060046498</v>
      </c>
      <c r="AA43">
        <f t="shared" si="10"/>
        <v>43.960896328494599</v>
      </c>
      <c r="AB43" s="6">
        <f t="shared" si="11"/>
        <v>86.16335680384941</v>
      </c>
      <c r="AC43" s="14">
        <f t="shared" si="12"/>
        <v>0.1278009843580532</v>
      </c>
    </row>
    <row r="44" spans="1:29" hidden="1" x14ac:dyDescent="0.25">
      <c r="A44" t="str">
        <f>'rockfish harvests'!A43</f>
        <v>SC</v>
      </c>
      <c r="B44">
        <f>'rockfish harvests'!B43</f>
        <v>2014</v>
      </c>
      <c r="C44" t="str">
        <f>'rockfish harvests'!C43</f>
        <v>WKMA</v>
      </c>
      <c r="D44">
        <f>'rockfish harvests'!D43</f>
        <v>2396</v>
      </c>
      <c r="E44">
        <v>639</v>
      </c>
      <c r="F44">
        <v>404</v>
      </c>
      <c r="I44" s="13">
        <f t="shared" si="38"/>
        <v>404</v>
      </c>
      <c r="J44">
        <f t="shared" si="4"/>
        <v>0</v>
      </c>
      <c r="K44">
        <f t="shared" si="5"/>
        <v>0</v>
      </c>
      <c r="L44" s="6">
        <f t="shared" si="6"/>
        <v>0</v>
      </c>
      <c r="N44" s="2">
        <f>'rockfish harvests'!O43</f>
        <v>806.87092451987473</v>
      </c>
      <c r="O44">
        <f>'rockfish harvests'!P43</f>
        <v>244720.20702808804</v>
      </c>
      <c r="R44" s="38">
        <v>0.1616564144198088</v>
      </c>
      <c r="S44" s="39">
        <v>1.2779754648134906E-3</v>
      </c>
      <c r="T44" s="13">
        <f t="shared" si="37"/>
        <v>130.43586055747915</v>
      </c>
      <c r="U44" s="14">
        <f t="shared" si="7"/>
        <v>6914.4909330054379</v>
      </c>
      <c r="V44">
        <f t="shared" si="8"/>
        <v>83.153418047639136</v>
      </c>
      <c r="W44" s="6">
        <f t="shared" si="9"/>
        <v>162.98069937337272</v>
      </c>
      <c r="Y44" s="13">
        <f t="shared" si="2"/>
        <v>534.43586055747915</v>
      </c>
      <c r="Z44">
        <f t="shared" si="3"/>
        <v>6914.4909330054379</v>
      </c>
      <c r="AA44">
        <f t="shared" si="10"/>
        <v>83.153418047639136</v>
      </c>
      <c r="AB44" s="6">
        <f t="shared" si="11"/>
        <v>162.98069937337272</v>
      </c>
      <c r="AC44" s="14">
        <f t="shared" si="12"/>
        <v>0.15559101509561951</v>
      </c>
    </row>
    <row r="45" spans="1:29" hidden="1" x14ac:dyDescent="0.25">
      <c r="A45" t="str">
        <f>'rockfish harvests'!A44</f>
        <v>SC</v>
      </c>
      <c r="B45">
        <f>'rockfish harvests'!B44</f>
        <v>2015</v>
      </c>
      <c r="C45" t="str">
        <f>'rockfish harvests'!C44</f>
        <v>WKMA</v>
      </c>
      <c r="D45">
        <f>'rockfish harvests'!D44</f>
        <v>2031</v>
      </c>
      <c r="E45">
        <v>367</v>
      </c>
      <c r="F45">
        <v>285</v>
      </c>
      <c r="I45" s="13">
        <f t="shared" si="38"/>
        <v>285</v>
      </c>
      <c r="J45">
        <f t="shared" si="4"/>
        <v>0</v>
      </c>
      <c r="K45">
        <f t="shared" si="5"/>
        <v>0</v>
      </c>
      <c r="L45" s="6">
        <f t="shared" si="6"/>
        <v>0</v>
      </c>
      <c r="N45" s="2">
        <f>'rockfish harvests'!O44</f>
        <v>924.55105533371352</v>
      </c>
      <c r="O45">
        <f>'rockfish harvests'!P44</f>
        <v>669754.36895301775</v>
      </c>
      <c r="R45" s="38">
        <v>0.1616564144198088</v>
      </c>
      <c r="S45" s="39">
        <v>1.2779754648134906E-3</v>
      </c>
      <c r="T45" s="13">
        <f t="shared" si="37"/>
        <v>149.45960855329838</v>
      </c>
      <c r="U45" s="14">
        <f t="shared" si="7"/>
        <v>17739.031454523018</v>
      </c>
      <c r="V45">
        <f t="shared" si="8"/>
        <v>133.18795536580257</v>
      </c>
      <c r="W45" s="6">
        <f t="shared" si="9"/>
        <v>261.04839251697302</v>
      </c>
      <c r="Y45" s="13">
        <f t="shared" si="2"/>
        <v>434.45960855329838</v>
      </c>
      <c r="Z45">
        <f t="shared" si="3"/>
        <v>17739.031454523018</v>
      </c>
      <c r="AA45">
        <f t="shared" si="10"/>
        <v>133.18795536580257</v>
      </c>
      <c r="AB45" s="6">
        <f t="shared" si="11"/>
        <v>261.04839251697302</v>
      </c>
      <c r="AC45" s="14">
        <f t="shared" si="12"/>
        <v>0.30656004089609956</v>
      </c>
    </row>
    <row r="46" spans="1:29" hidden="1" x14ac:dyDescent="0.25">
      <c r="A46" t="str">
        <f>'rockfish harvests'!A45</f>
        <v>SC</v>
      </c>
      <c r="B46">
        <f>'rockfish harvests'!B45</f>
        <v>2016</v>
      </c>
      <c r="C46" t="str">
        <f>'rockfish harvests'!C45</f>
        <v>WKMA</v>
      </c>
      <c r="D46">
        <f>'rockfish harvests'!D45</f>
        <v>3337</v>
      </c>
      <c r="E46">
        <v>693</v>
      </c>
      <c r="F46">
        <v>588</v>
      </c>
      <c r="I46" s="13">
        <f t="shared" si="38"/>
        <v>588</v>
      </c>
      <c r="J46">
        <f t="shared" si="4"/>
        <v>0</v>
      </c>
      <c r="K46">
        <f t="shared" si="5"/>
        <v>0</v>
      </c>
      <c r="L46" s="6">
        <f t="shared" si="6"/>
        <v>0</v>
      </c>
      <c r="N46" s="2">
        <f>'rockfish harvests'!O45</f>
        <v>295.12697145138736</v>
      </c>
      <c r="O46">
        <f>'rockfish harvests'!P45</f>
        <v>25370.25919469192</v>
      </c>
      <c r="R46" s="38">
        <v>0.1616564144198088</v>
      </c>
      <c r="S46" s="39">
        <v>1.2779754648134906E-3</v>
      </c>
      <c r="T46" s="13">
        <f t="shared" si="37"/>
        <v>47.709168003408557</v>
      </c>
      <c r="U46" s="14">
        <f t="shared" si="7"/>
        <v>741.88482001593763</v>
      </c>
      <c r="V46">
        <f t="shared" si="8"/>
        <v>27.237562666581194</v>
      </c>
      <c r="W46" s="6">
        <f t="shared" si="9"/>
        <v>53.385622826499137</v>
      </c>
      <c r="Y46" s="13">
        <f t="shared" si="2"/>
        <v>635.70916800340854</v>
      </c>
      <c r="Z46">
        <f t="shared" si="3"/>
        <v>741.88482001593763</v>
      </c>
      <c r="AA46">
        <f t="shared" si="10"/>
        <v>27.237562666581194</v>
      </c>
      <c r="AB46" s="6">
        <f t="shared" si="11"/>
        <v>53.385622826499137</v>
      </c>
      <c r="AC46" s="14">
        <f t="shared" si="12"/>
        <v>4.2845949118725232E-2</v>
      </c>
    </row>
    <row r="47" spans="1:29" hidden="1" x14ac:dyDescent="0.25">
      <c r="A47" t="str">
        <f>'rockfish harvests'!A46</f>
        <v>SC</v>
      </c>
      <c r="B47">
        <f>'rockfish harvests'!B46</f>
        <v>2017</v>
      </c>
      <c r="C47" t="str">
        <f>'rockfish harvests'!C46</f>
        <v>WKMA</v>
      </c>
      <c r="D47">
        <f>'rockfish harvests'!D46</f>
        <v>2899</v>
      </c>
      <c r="E47">
        <v>598</v>
      </c>
      <c r="F47">
        <v>493</v>
      </c>
      <c r="I47" s="13">
        <f t="shared" si="38"/>
        <v>493</v>
      </c>
      <c r="J47">
        <f t="shared" si="4"/>
        <v>0</v>
      </c>
      <c r="K47">
        <f t="shared" si="5"/>
        <v>0</v>
      </c>
      <c r="L47" s="6">
        <f t="shared" si="6"/>
        <v>0</v>
      </c>
      <c r="N47" s="2">
        <f>'rockfish harvests'!O46</f>
        <v>997.88339552238813</v>
      </c>
      <c r="O47">
        <f>'rockfish harvests'!P46</f>
        <v>341376.2270959196</v>
      </c>
      <c r="R47" s="38">
        <v>0.1616564144198088</v>
      </c>
      <c r="S47" s="39">
        <v>0</v>
      </c>
      <c r="T47" s="13">
        <f t="shared" si="37"/>
        <v>161.31425172921314</v>
      </c>
      <c r="U47" s="14">
        <f t="shared" si="7"/>
        <v>8921.1154122354037</v>
      </c>
      <c r="V47">
        <f t="shared" si="8"/>
        <v>94.451656482220599</v>
      </c>
      <c r="W47" s="6">
        <f t="shared" si="9"/>
        <v>185.12524670515236</v>
      </c>
      <c r="Y47" s="13">
        <f t="shared" si="2"/>
        <v>654.31425172921308</v>
      </c>
      <c r="Z47">
        <f t="shared" si="3"/>
        <v>8921.1154122354037</v>
      </c>
      <c r="AA47">
        <f t="shared" si="10"/>
        <v>94.451656482220599</v>
      </c>
      <c r="AB47" s="6">
        <f t="shared" si="11"/>
        <v>185.12524670515236</v>
      </c>
      <c r="AC47" s="14">
        <f t="shared" si="12"/>
        <v>0.14435213084936635</v>
      </c>
    </row>
    <row r="48" spans="1:29" hidden="1" x14ac:dyDescent="0.25">
      <c r="A48" t="str">
        <f>'rockfish harvests'!A47</f>
        <v>SC</v>
      </c>
      <c r="B48">
        <f>'rockfish harvests'!B47</f>
        <v>2018</v>
      </c>
      <c r="C48" t="str">
        <f>'rockfish harvests'!C47</f>
        <v>WKMA</v>
      </c>
      <c r="D48">
        <f>'rockfish harvests'!D47</f>
        <v>4291</v>
      </c>
      <c r="E48">
        <v>708</v>
      </c>
      <c r="F48">
        <v>540</v>
      </c>
      <c r="I48" s="13">
        <f t="shared" si="38"/>
        <v>540</v>
      </c>
      <c r="J48">
        <f t="shared" si="4"/>
        <v>0</v>
      </c>
      <c r="K48">
        <f t="shared" si="5"/>
        <v>0</v>
      </c>
      <c r="L48" s="6">
        <f t="shared" si="6"/>
        <v>0</v>
      </c>
      <c r="N48" s="2">
        <f>'rockfish harvests'!O47</f>
        <v>688.36627310061613</v>
      </c>
      <c r="O48">
        <f>'rockfish harvests'!P47</f>
        <v>176905.35655507445</v>
      </c>
      <c r="R48" s="38">
        <v>0.1616564144198088</v>
      </c>
      <c r="S48" s="39">
        <v>0</v>
      </c>
      <c r="T48" s="13">
        <f t="shared" si="37"/>
        <v>111.27882351697248</v>
      </c>
      <c r="U48" s="14">
        <f t="shared" si="7"/>
        <v>4623.031651313654</v>
      </c>
      <c r="V48">
        <f t="shared" si="8"/>
        <v>67.992879416256926</v>
      </c>
      <c r="W48" s="6">
        <f t="shared" si="9"/>
        <v>133.26604365586357</v>
      </c>
      <c r="Y48" s="13">
        <f t="shared" si="2"/>
        <v>651.27882351697247</v>
      </c>
      <c r="Z48">
        <f t="shared" si="3"/>
        <v>4623.031651313654</v>
      </c>
      <c r="AA48">
        <f t="shared" si="10"/>
        <v>67.992879416256926</v>
      </c>
      <c r="AB48" s="6">
        <f t="shared" si="11"/>
        <v>133.26604365586357</v>
      </c>
      <c r="AC48" s="14">
        <f t="shared" si="12"/>
        <v>0.10439903304254299</v>
      </c>
    </row>
    <row r="49" spans="1:29" hidden="1" x14ac:dyDescent="0.25">
      <c r="A49" t="str">
        <f>'rockfish harvests'!A48</f>
        <v>SC</v>
      </c>
      <c r="B49">
        <f>'rockfish harvests'!B48</f>
        <v>2019</v>
      </c>
      <c r="C49" t="str">
        <f>'rockfish harvests'!C48</f>
        <v>WKMA</v>
      </c>
      <c r="D49">
        <f>'rockfish harvests'!D48</f>
        <v>6954</v>
      </c>
      <c r="E49">
        <v>1310</v>
      </c>
      <c r="F49">
        <v>1037</v>
      </c>
      <c r="I49" s="13">
        <f>F49</f>
        <v>1037</v>
      </c>
      <c r="J49">
        <f>(E49^2)*H49</f>
        <v>0</v>
      </c>
      <c r="K49">
        <f>SQRT(J49)</f>
        <v>0</v>
      </c>
      <c r="L49" s="6">
        <f>(1.96*K49)</f>
        <v>0</v>
      </c>
      <c r="N49" s="2">
        <f>'rockfish harvests'!O48</f>
        <v>4547.8631178707237</v>
      </c>
      <c r="O49">
        <f>'rockfish harvests'!P48</f>
        <v>3743126.0537553802</v>
      </c>
      <c r="R49" s="38">
        <v>0.16076115674821842</v>
      </c>
      <c r="S49" s="38">
        <v>1.1856732315517384E-3</v>
      </c>
      <c r="T49" s="13">
        <f>R49*N49</f>
        <v>731.11973556145676</v>
      </c>
      <c r="U49" s="14">
        <f>(N49^2)*S49+(R49^2)*O49-(S49*O49)</f>
        <v>116823.13436799873</v>
      </c>
      <c r="V49">
        <f>SQRT(U49)</f>
        <v>341.79399404904518</v>
      </c>
      <c r="W49" s="6">
        <f>(1.96*V49)</f>
        <v>669.9162283361286</v>
      </c>
      <c r="Y49" s="13">
        <f>T49+I49</f>
        <v>1768.1197355614568</v>
      </c>
      <c r="Z49">
        <f>U49+J49</f>
        <v>116823.13436799873</v>
      </c>
      <c r="AA49">
        <f>SQRT(Z49)</f>
        <v>341.79399404904518</v>
      </c>
      <c r="AB49" s="6">
        <f>(1.96*AA49)</f>
        <v>669.9162283361286</v>
      </c>
      <c r="AC49" s="14">
        <f t="shared" si="12"/>
        <v>0.19330930319631909</v>
      </c>
    </row>
    <row r="50" spans="1:29" hidden="1" x14ac:dyDescent="0.25">
      <c r="A50" t="str">
        <f>'rockfish harvests'!A49</f>
        <v>SC</v>
      </c>
      <c r="B50">
        <f>'rockfish harvests'!B49</f>
        <v>2020</v>
      </c>
      <c r="C50" t="str">
        <f>'rockfish harvests'!C49</f>
        <v>WKMA</v>
      </c>
      <c r="D50">
        <f>'rockfish harvests'!D49</f>
        <v>4035</v>
      </c>
      <c r="E50">
        <v>579</v>
      </c>
      <c r="F50">
        <v>455</v>
      </c>
      <c r="I50" s="13">
        <f t="shared" ref="I50:I52" si="39">F50</f>
        <v>455</v>
      </c>
      <c r="J50">
        <f t="shared" ref="J50:J52" si="40">(E50^2)*H50</f>
        <v>0</v>
      </c>
      <c r="K50">
        <f t="shared" ref="K50:K52" si="41">SQRT(J50)</f>
        <v>0</v>
      </c>
      <c r="L50" s="6">
        <f t="shared" ref="L50:L52" si="42">(1.96*K50)</f>
        <v>0</v>
      </c>
      <c r="N50" s="2">
        <f>'rockfish harvests'!O49</f>
        <v>763.28309305373477</v>
      </c>
      <c r="O50">
        <f>'rockfish harvests'!P49</f>
        <v>145836.37674785985</v>
      </c>
      <c r="R50" s="38">
        <v>0.15756130102778784</v>
      </c>
      <c r="S50" s="38">
        <v>1.2599142579396518E-3</v>
      </c>
      <c r="T50" s="13">
        <f t="shared" ref="T50:T51" si="43">R50*N50</f>
        <v>120.2638771940605</v>
      </c>
      <c r="U50" s="14">
        <f t="shared" ref="U50:U51" si="44">(N50^2)*S50+(R50^2)*O50-(S50*O50)</f>
        <v>4170.7563206303239</v>
      </c>
      <c r="V50">
        <f t="shared" ref="V50:V51" si="45">SQRT(U50)</f>
        <v>64.581392990785858</v>
      </c>
      <c r="W50" s="6">
        <f t="shared" ref="W50:W51" si="46">(1.96*V50)</f>
        <v>126.57953026194028</v>
      </c>
      <c r="Y50" s="13">
        <f t="shared" ref="Y50:Y51" si="47">T50+I50</f>
        <v>575.26387719406046</v>
      </c>
      <c r="Z50">
        <f t="shared" ref="Z50:Z51" si="48">U50+J50</f>
        <v>4170.7563206303239</v>
      </c>
      <c r="AA50">
        <f t="shared" ref="AA50:AA51" si="49">SQRT(Z50)</f>
        <v>64.581392990785858</v>
      </c>
      <c r="AB50" s="6">
        <f t="shared" ref="AB50:AB51" si="50">(1.96*AA50)</f>
        <v>126.57953026194028</v>
      </c>
      <c r="AC50" s="14">
        <f t="shared" ref="AC50:AC51" si="51">AA50/Y50</f>
        <v>0.11226394625331197</v>
      </c>
    </row>
    <row r="51" spans="1:29" hidden="1" x14ac:dyDescent="0.25">
      <c r="A51" t="str">
        <f>'rockfish harvests'!A50</f>
        <v>SC</v>
      </c>
      <c r="B51">
        <f>'rockfish harvests'!B50</f>
        <v>2021</v>
      </c>
      <c r="C51" t="str">
        <f>'rockfish harvests'!C50</f>
        <v>WKMA</v>
      </c>
      <c r="D51">
        <f>'rockfish harvests'!D50</f>
        <v>7924</v>
      </c>
      <c r="E51">
        <v>1031</v>
      </c>
      <c r="F51">
        <v>754</v>
      </c>
      <c r="I51" s="13">
        <f t="shared" si="39"/>
        <v>754</v>
      </c>
      <c r="J51">
        <f t="shared" si="40"/>
        <v>0</v>
      </c>
      <c r="K51">
        <f t="shared" si="41"/>
        <v>0</v>
      </c>
      <c r="L51" s="6">
        <f t="shared" si="42"/>
        <v>0</v>
      </c>
      <c r="N51" s="2">
        <f>'rockfish harvests'!O50</f>
        <v>1237.5434476279934</v>
      </c>
      <c r="O51">
        <f>'rockfish harvests'!P50</f>
        <v>260682.47263099358</v>
      </c>
      <c r="R51" s="38">
        <v>0.15366084237887165</v>
      </c>
      <c r="S51" s="38">
        <v>1.4299573571006593E-3</v>
      </c>
      <c r="T51" s="13">
        <f t="shared" si="43"/>
        <v>190.16196864297049</v>
      </c>
      <c r="U51" s="14">
        <f t="shared" si="44"/>
        <v>7972.3790573301676</v>
      </c>
      <c r="V51">
        <f t="shared" si="45"/>
        <v>89.288179829864191</v>
      </c>
      <c r="W51" s="6">
        <f t="shared" si="46"/>
        <v>175.0048324665338</v>
      </c>
      <c r="Y51" s="13">
        <f t="shared" si="47"/>
        <v>944.16196864297046</v>
      </c>
      <c r="Z51">
        <f t="shared" si="48"/>
        <v>7972.3790573301676</v>
      </c>
      <c r="AA51">
        <f t="shared" si="49"/>
        <v>89.288179829864191</v>
      </c>
      <c r="AB51" s="6">
        <f t="shared" si="50"/>
        <v>175.0048324665338</v>
      </c>
      <c r="AC51" s="14">
        <f t="shared" si="51"/>
        <v>9.4568710449327589E-2</v>
      </c>
    </row>
    <row r="52" spans="1:29" s="51" customFormat="1" hidden="1" x14ac:dyDescent="0.25">
      <c r="A52" s="51" t="s">
        <v>81</v>
      </c>
      <c r="B52" s="51">
        <v>2022</v>
      </c>
      <c r="C52" s="51" t="s">
        <v>54</v>
      </c>
      <c r="D52" s="51">
        <v>11146</v>
      </c>
      <c r="E52" s="51">
        <v>1422</v>
      </c>
      <c r="F52" s="51">
        <v>1071</v>
      </c>
      <c r="I52" s="71">
        <f t="shared" si="39"/>
        <v>1071</v>
      </c>
      <c r="J52" s="51">
        <f t="shared" si="40"/>
        <v>0</v>
      </c>
      <c r="K52" s="51">
        <f t="shared" si="41"/>
        <v>0</v>
      </c>
      <c r="L52" s="78">
        <f t="shared" si="42"/>
        <v>0</v>
      </c>
      <c r="N52" s="2">
        <f>'rockfish harvests'!O51</f>
        <v>4525.7248322147643</v>
      </c>
      <c r="O52">
        <f>'rockfish harvests'!P51</f>
        <v>4143553.5425617779</v>
      </c>
      <c r="R52" s="38">
        <v>0.15366084237887165</v>
      </c>
      <c r="S52" s="38">
        <v>1.4299573571006593E-3</v>
      </c>
      <c r="T52" s="13">
        <f t="shared" ref="T52" si="52">R52*N52</f>
        <v>695.42669009309827</v>
      </c>
      <c r="U52" s="14">
        <f t="shared" ref="U52" si="53">(N52^2)*S52+(R52^2)*O52-(S52*O52)</f>
        <v>121199.70119368267</v>
      </c>
      <c r="V52">
        <f t="shared" ref="V52" si="54">SQRT(U52)</f>
        <v>348.13747456095945</v>
      </c>
      <c r="W52" s="6">
        <f t="shared" ref="W52" si="55">(1.96*V52)</f>
        <v>682.3494501394805</v>
      </c>
      <c r="X52"/>
      <c r="Y52" s="13">
        <f t="shared" ref="Y52" si="56">T52+I52</f>
        <v>1766.4266900930984</v>
      </c>
      <c r="Z52">
        <f t="shared" ref="Z52" si="57">U52+J52</f>
        <v>121199.70119368267</v>
      </c>
      <c r="AA52">
        <f t="shared" ref="AA52" si="58">SQRT(Z52)</f>
        <v>348.13747456095945</v>
      </c>
      <c r="AB52" s="6">
        <f t="shared" ref="AB52" si="59">(1.96*AA52)</f>
        <v>682.3494501394805</v>
      </c>
      <c r="AC52" s="14">
        <f t="shared" ref="AC52" si="60">AA52/Y52</f>
        <v>0.19708571916030723</v>
      </c>
    </row>
    <row r="53" spans="1:29" hidden="1" x14ac:dyDescent="0.25">
      <c r="A53" t="str">
        <f>'rockfish harvests'!A52</f>
        <v>SC</v>
      </c>
      <c r="B53">
        <f>'rockfish harvests'!B52</f>
        <v>1998</v>
      </c>
      <c r="C53" t="str">
        <f>'rockfish harvests'!C52</f>
        <v>SKMA</v>
      </c>
      <c r="D53">
        <f>'rockfish harvests'!D52</f>
        <v>27</v>
      </c>
      <c r="E53">
        <v>5</v>
      </c>
      <c r="F53" t="s">
        <v>159</v>
      </c>
      <c r="G53" s="38">
        <v>0.70478762612764989</v>
      </c>
      <c r="H53" s="39">
        <v>5.8520684408507724E-2</v>
      </c>
      <c r="I53" s="13">
        <f t="shared" ref="I53:I60" si="61">E53*G53</f>
        <v>3.5239381306382493</v>
      </c>
      <c r="J53">
        <f t="shared" si="4"/>
        <v>1.4630171102126932</v>
      </c>
      <c r="K53">
        <f t="shared" si="5"/>
        <v>1.2095524421093502</v>
      </c>
      <c r="L53" s="6">
        <f t="shared" si="6"/>
        <v>2.3707227865343263</v>
      </c>
      <c r="N53" s="2">
        <f>'rockfish harvests'!O52</f>
        <v>7.9215011476053405</v>
      </c>
      <c r="O53">
        <f>'rockfish harvests'!P52</f>
        <v>23.019267226088481</v>
      </c>
      <c r="R53" s="38">
        <v>0.11145942888803913</v>
      </c>
      <c r="S53" s="39">
        <v>1.8625729336481456E-3</v>
      </c>
      <c r="T53" s="13">
        <f t="shared" si="37"/>
        <v>0.88292599384803783</v>
      </c>
      <c r="U53" s="14">
        <f t="shared" si="7"/>
        <v>0.35997478287640861</v>
      </c>
      <c r="V53">
        <f t="shared" si="8"/>
        <v>0.59997898536232797</v>
      </c>
      <c r="W53" s="6">
        <f t="shared" si="9"/>
        <v>1.1759588113101629</v>
      </c>
      <c r="Y53" s="13">
        <f t="shared" si="2"/>
        <v>4.4068641244862867</v>
      </c>
      <c r="Z53">
        <f t="shared" si="3"/>
        <v>1.8229918930891018</v>
      </c>
      <c r="AA53">
        <f t="shared" si="10"/>
        <v>1.3501821703344707</v>
      </c>
      <c r="AB53" s="6">
        <f t="shared" si="11"/>
        <v>2.6463570538555627</v>
      </c>
      <c r="AC53" s="14">
        <f>AA53/Y53</f>
        <v>0.30638162017120579</v>
      </c>
    </row>
    <row r="54" spans="1:29" hidden="1" x14ac:dyDescent="0.25">
      <c r="A54" t="str">
        <f>'rockfish harvests'!A53</f>
        <v>SC</v>
      </c>
      <c r="B54">
        <f>'rockfish harvests'!B53</f>
        <v>1999</v>
      </c>
      <c r="C54" t="str">
        <f>'rockfish harvests'!C53</f>
        <v>SKMA</v>
      </c>
      <c r="D54">
        <f>'rockfish harvests'!D53</f>
        <v>88</v>
      </c>
      <c r="E54">
        <v>15</v>
      </c>
      <c r="F54" t="s">
        <v>159</v>
      </c>
      <c r="G54" s="38">
        <v>0.70478762612764989</v>
      </c>
      <c r="H54" s="39">
        <v>5.8520684408507724E-2</v>
      </c>
      <c r="I54" s="13">
        <f t="shared" si="61"/>
        <v>10.571814391914748</v>
      </c>
      <c r="J54">
        <f t="shared" si="4"/>
        <v>13.167153991914239</v>
      </c>
      <c r="K54">
        <f t="shared" si="5"/>
        <v>3.6286573263280508</v>
      </c>
      <c r="L54" s="6">
        <f t="shared" si="6"/>
        <v>7.1121683596029799</v>
      </c>
      <c r="N54" s="2">
        <f>'rockfish harvests'!O53</f>
        <v>25.818225962565563</v>
      </c>
      <c r="O54">
        <f>'rockfish harvests'!P53</f>
        <v>244.52840246752979</v>
      </c>
      <c r="R54" s="38">
        <v>0.11145942888803913</v>
      </c>
      <c r="S54" s="39">
        <v>1.8625729336481456E-3</v>
      </c>
      <c r="T54" s="13">
        <f t="shared" si="37"/>
        <v>2.8776847206899019</v>
      </c>
      <c r="U54" s="14">
        <f t="shared" si="7"/>
        <v>3.8239296551370505</v>
      </c>
      <c r="V54">
        <f t="shared" si="8"/>
        <v>1.9554870634031436</v>
      </c>
      <c r="W54" s="6">
        <f t="shared" si="9"/>
        <v>3.8327546442701612</v>
      </c>
      <c r="Y54" s="13">
        <f t="shared" ref="Y54:Y123" si="62">T54+I54</f>
        <v>13.449499112604649</v>
      </c>
      <c r="Z54">
        <f t="shared" ref="Z54:Z123" si="63">U54+J54</f>
        <v>16.99108364705129</v>
      </c>
      <c r="AA54">
        <f t="shared" si="10"/>
        <v>4.1220242171839905</v>
      </c>
      <c r="AB54" s="6">
        <f t="shared" si="11"/>
        <v>8.0791674656806212</v>
      </c>
      <c r="AC54" s="14">
        <f t="shared" si="12"/>
        <v>0.3064816156105693</v>
      </c>
    </row>
    <row r="55" spans="1:29" hidden="1" x14ac:dyDescent="0.25">
      <c r="A55" t="str">
        <f>'rockfish harvests'!A54</f>
        <v>SC</v>
      </c>
      <c r="B55">
        <f>'rockfish harvests'!B54</f>
        <v>2000</v>
      </c>
      <c r="C55" t="str">
        <f>'rockfish harvests'!C54</f>
        <v>SKMA</v>
      </c>
      <c r="D55">
        <f>'rockfish harvests'!D54</f>
        <v>65</v>
      </c>
      <c r="E55">
        <v>60</v>
      </c>
      <c r="F55" t="s">
        <v>159</v>
      </c>
      <c r="G55" s="38">
        <v>0.70478762612764989</v>
      </c>
      <c r="H55" s="39">
        <v>5.8520684408507724E-2</v>
      </c>
      <c r="I55" s="13">
        <f t="shared" si="61"/>
        <v>42.28725756765899</v>
      </c>
      <c r="J55">
        <f t="shared" ref="J55:J123" si="64">(E55^2)*H55</f>
        <v>210.67446387062782</v>
      </c>
      <c r="K55">
        <f t="shared" ref="K55:K123" si="65">SQRT(J55)</f>
        <v>14.514629305312203</v>
      </c>
      <c r="L55" s="6">
        <f t="shared" ref="L55:L123" si="66">(1.96*K55)</f>
        <v>28.44867343841192</v>
      </c>
      <c r="N55" s="2">
        <f>'rockfish harvests'!O54</f>
        <v>19.070280540531371</v>
      </c>
      <c r="O55">
        <f>'rockfish harvests'!P54</f>
        <v>133.41070511690512</v>
      </c>
      <c r="R55" s="38">
        <v>0.11145942888803913</v>
      </c>
      <c r="S55" s="39">
        <v>1.8625729336481456E-3</v>
      </c>
      <c r="T55" s="13">
        <f t="shared" si="37"/>
        <v>2.1255625777823126</v>
      </c>
      <c r="U55" s="14">
        <f t="shared" si="7"/>
        <v>2.0862736044620389</v>
      </c>
      <c r="V55">
        <f t="shared" ref="V55:V123" si="67">SQRT(U55)</f>
        <v>1.4443938536500489</v>
      </c>
      <c r="W55" s="6">
        <f t="shared" ref="W55:W123" si="68">(1.96*V55)</f>
        <v>2.8310119531540958</v>
      </c>
      <c r="Y55" s="13">
        <f t="shared" si="62"/>
        <v>44.412820145441302</v>
      </c>
      <c r="Z55">
        <f t="shared" si="63"/>
        <v>212.76073747508985</v>
      </c>
      <c r="AA55">
        <f t="shared" ref="AA55:AA123" si="69">SQRT(Z55)</f>
        <v>14.586320217076336</v>
      </c>
      <c r="AB55" s="6">
        <f t="shared" ref="AB55:AB123" si="70">(1.96*AA55)</f>
        <v>28.58918762546962</v>
      </c>
      <c r="AC55" s="14">
        <f t="shared" si="12"/>
        <v>0.32842589525523591</v>
      </c>
    </row>
    <row r="56" spans="1:29" hidden="1" x14ac:dyDescent="0.25">
      <c r="A56" t="str">
        <f>'rockfish harvests'!A55</f>
        <v>SC</v>
      </c>
      <c r="B56">
        <f>'rockfish harvests'!B55</f>
        <v>2001</v>
      </c>
      <c r="C56" t="str">
        <f>'rockfish harvests'!C55</f>
        <v>SKMA</v>
      </c>
      <c r="D56">
        <f>'rockfish harvests'!D55</f>
        <v>27</v>
      </c>
      <c r="E56">
        <v>19</v>
      </c>
      <c r="F56" t="s">
        <v>159</v>
      </c>
      <c r="G56" s="38">
        <v>0.70478762612764989</v>
      </c>
      <c r="H56" s="39">
        <v>5.8520684408507724E-2</v>
      </c>
      <c r="I56" s="13">
        <f t="shared" si="61"/>
        <v>13.390964896425348</v>
      </c>
      <c r="J56">
        <f t="shared" si="64"/>
        <v>21.125967071471287</v>
      </c>
      <c r="K56">
        <f t="shared" si="65"/>
        <v>4.5962992800155309</v>
      </c>
      <c r="L56" s="6">
        <f t="shared" si="66"/>
        <v>9.0087465888304408</v>
      </c>
      <c r="N56" s="2">
        <f>'rockfish harvests'!O55</f>
        <v>7.9215011476053405</v>
      </c>
      <c r="O56">
        <f>'rockfish harvests'!P55</f>
        <v>23.019267226088481</v>
      </c>
      <c r="R56" s="38">
        <v>0.11145942888803913</v>
      </c>
      <c r="S56" s="39">
        <v>1.8625729336481456E-3</v>
      </c>
      <c r="T56" s="13">
        <f t="shared" si="37"/>
        <v>0.88292599384803783</v>
      </c>
      <c r="U56" s="14">
        <f t="shared" si="7"/>
        <v>0.35997478287640861</v>
      </c>
      <c r="V56">
        <f t="shared" si="67"/>
        <v>0.59997898536232797</v>
      </c>
      <c r="W56" s="6">
        <f t="shared" si="68"/>
        <v>1.1759588113101629</v>
      </c>
      <c r="Y56" s="13">
        <f t="shared" si="62"/>
        <v>14.273890890273385</v>
      </c>
      <c r="Z56">
        <f t="shared" si="63"/>
        <v>21.485941854347697</v>
      </c>
      <c r="AA56">
        <f t="shared" si="69"/>
        <v>4.6352930710309677</v>
      </c>
      <c r="AB56" s="6">
        <f t="shared" si="70"/>
        <v>9.0851744192206958</v>
      </c>
      <c r="AC56" s="14">
        <f t="shared" si="12"/>
        <v>0.32473928143794217</v>
      </c>
    </row>
    <row r="57" spans="1:29" hidden="1" x14ac:dyDescent="0.25">
      <c r="A57" t="str">
        <f>'rockfish harvests'!A56</f>
        <v>SC</v>
      </c>
      <c r="B57">
        <f>'rockfish harvests'!B56</f>
        <v>2002</v>
      </c>
      <c r="C57" t="str">
        <f>'rockfish harvests'!C56</f>
        <v>SKMA</v>
      </c>
      <c r="D57">
        <f>'rockfish harvests'!D56</f>
        <v>99</v>
      </c>
      <c r="E57">
        <v>11</v>
      </c>
      <c r="F57" t="s">
        <v>159</v>
      </c>
      <c r="G57" s="38">
        <v>0.70478762612764989</v>
      </c>
      <c r="H57" s="39">
        <v>5.8520684408507724E-2</v>
      </c>
      <c r="I57" s="13">
        <f t="shared" si="61"/>
        <v>7.7526638874041485</v>
      </c>
      <c r="J57">
        <f t="shared" si="64"/>
        <v>7.0810028134294347</v>
      </c>
      <c r="K57">
        <f t="shared" si="65"/>
        <v>2.6610153726405708</v>
      </c>
      <c r="L57" s="6">
        <f t="shared" si="66"/>
        <v>5.215590130375519</v>
      </c>
      <c r="N57" s="2">
        <f>'rockfish harvests'!O56</f>
        <v>29.045504207886239</v>
      </c>
      <c r="O57">
        <f>'rockfish harvests'!P56</f>
        <v>309.48125937296737</v>
      </c>
      <c r="R57" s="38">
        <v>0.11145942888803913</v>
      </c>
      <c r="S57" s="39">
        <v>1.8625729336481456E-3</v>
      </c>
      <c r="T57" s="13">
        <f t="shared" si="37"/>
        <v>3.2373953107761375</v>
      </c>
      <c r="U57" s="14">
        <f t="shared" si="7"/>
        <v>4.8396609697828268</v>
      </c>
      <c r="V57">
        <f t="shared" si="67"/>
        <v>2.1999229463285359</v>
      </c>
      <c r="W57" s="6">
        <f t="shared" si="68"/>
        <v>4.3118489748039304</v>
      </c>
      <c r="Y57" s="13">
        <f t="shared" si="62"/>
        <v>10.990059198180287</v>
      </c>
      <c r="Z57">
        <f t="shared" si="63"/>
        <v>11.920663783212262</v>
      </c>
      <c r="AA57">
        <f t="shared" si="69"/>
        <v>3.4526314288108226</v>
      </c>
      <c r="AB57" s="6">
        <f t="shared" si="70"/>
        <v>6.7671576004692122</v>
      </c>
      <c r="AC57" s="14">
        <f t="shared" si="12"/>
        <v>0.31415949327939041</v>
      </c>
    </row>
    <row r="58" spans="1:29" hidden="1" x14ac:dyDescent="0.25">
      <c r="A58" t="str">
        <f>'rockfish harvests'!A57</f>
        <v>SC</v>
      </c>
      <c r="B58">
        <f>'rockfish harvests'!B57</f>
        <v>2003</v>
      </c>
      <c r="C58" t="str">
        <f>'rockfish harvests'!C57</f>
        <v>SKMA</v>
      </c>
      <c r="D58">
        <f>'rockfish harvests'!D57</f>
        <v>144</v>
      </c>
      <c r="E58">
        <v>40</v>
      </c>
      <c r="F58" t="s">
        <v>159</v>
      </c>
      <c r="G58" s="38">
        <v>0.70478762612764989</v>
      </c>
      <c r="H58" s="39">
        <v>5.8520684408507724E-2</v>
      </c>
      <c r="I58" s="13">
        <f t="shared" si="61"/>
        <v>28.191505045105995</v>
      </c>
      <c r="J58">
        <f t="shared" si="64"/>
        <v>93.633095053612365</v>
      </c>
      <c r="K58">
        <f t="shared" si="65"/>
        <v>9.6764195368748016</v>
      </c>
      <c r="L58" s="6">
        <f t="shared" si="66"/>
        <v>18.965782292274611</v>
      </c>
      <c r="N58" s="2">
        <f>'rockfish harvests'!O57</f>
        <v>42.248006120561826</v>
      </c>
      <c r="O58">
        <f>'rockfish harvests'!P57</f>
        <v>654.77026776429454</v>
      </c>
      <c r="R58" s="38">
        <v>0.11145942888803913</v>
      </c>
      <c r="S58" s="39">
        <v>1.8625729336481456E-3</v>
      </c>
      <c r="T58" s="13">
        <f t="shared" si="37"/>
        <v>4.7089386338562029</v>
      </c>
      <c r="U58" s="14">
        <f t="shared" si="7"/>
        <v>10.23928271292896</v>
      </c>
      <c r="V58">
        <f t="shared" si="67"/>
        <v>3.1998879219324166</v>
      </c>
      <c r="W58" s="6">
        <f t="shared" si="68"/>
        <v>6.2717803269875363</v>
      </c>
      <c r="Y58" s="13">
        <f t="shared" si="62"/>
        <v>32.900443678962198</v>
      </c>
      <c r="Z58">
        <f t="shared" si="63"/>
        <v>103.87237776654132</v>
      </c>
      <c r="AA58">
        <f t="shared" si="69"/>
        <v>10.191779911602355</v>
      </c>
      <c r="AB58" s="6">
        <f t="shared" si="70"/>
        <v>19.975888626740616</v>
      </c>
      <c r="AC58" s="14">
        <f t="shared" si="12"/>
        <v>0.30977636687979893</v>
      </c>
    </row>
    <row r="59" spans="1:29" hidden="1" x14ac:dyDescent="0.25">
      <c r="A59" t="str">
        <f>'rockfish harvests'!A58</f>
        <v>SC</v>
      </c>
      <c r="B59">
        <f>'rockfish harvests'!B58</f>
        <v>2004</v>
      </c>
      <c r="C59" t="str">
        <f>'rockfish harvests'!C58</f>
        <v>SKMA</v>
      </c>
      <c r="D59">
        <f>'rockfish harvests'!D58</f>
        <v>200</v>
      </c>
      <c r="E59">
        <v>41</v>
      </c>
      <c r="F59" t="s">
        <v>159</v>
      </c>
      <c r="G59" s="38">
        <v>0.70478762612764989</v>
      </c>
      <c r="H59" s="39">
        <v>5.8520684408507724E-2</v>
      </c>
      <c r="I59" s="13">
        <f t="shared" si="61"/>
        <v>28.896292671233645</v>
      </c>
      <c r="J59">
        <f t="shared" si="64"/>
        <v>98.373270490701486</v>
      </c>
      <c r="K59">
        <f t="shared" si="65"/>
        <v>9.9183300252966724</v>
      </c>
      <c r="L59" s="6">
        <f t="shared" si="66"/>
        <v>19.439926849581479</v>
      </c>
      <c r="N59" s="2">
        <f>'rockfish harvests'!O58</f>
        <v>58.677786278558074</v>
      </c>
      <c r="O59">
        <f>'rockfish harvests'!P58</f>
        <v>1263.059930100877</v>
      </c>
      <c r="R59" s="38">
        <v>0.11145942888803913</v>
      </c>
      <c r="S59" s="39">
        <v>1.8625729336481456E-3</v>
      </c>
      <c r="T59" s="13">
        <f t="shared" si="37"/>
        <v>6.5401925470225013</v>
      </c>
      <c r="U59" s="14">
        <f t="shared" si="7"/>
        <v>19.751702764137651</v>
      </c>
      <c r="V59">
        <f t="shared" si="67"/>
        <v>4.4442887804616893</v>
      </c>
      <c r="W59" s="6">
        <f t="shared" si="68"/>
        <v>8.7108060097049105</v>
      </c>
      <c r="Y59" s="13">
        <f t="shared" si="62"/>
        <v>35.436485218256145</v>
      </c>
      <c r="Z59">
        <f t="shared" si="63"/>
        <v>118.12497325483913</v>
      </c>
      <c r="AA59">
        <f t="shared" si="69"/>
        <v>10.868531329247716</v>
      </c>
      <c r="AB59" s="6">
        <f t="shared" si="70"/>
        <v>21.302321405325522</v>
      </c>
      <c r="AC59" s="14">
        <f t="shared" si="12"/>
        <v>0.30670455216728076</v>
      </c>
    </row>
    <row r="60" spans="1:29" hidden="1" x14ac:dyDescent="0.25">
      <c r="A60" t="str">
        <f>'rockfish harvests'!A59</f>
        <v>SC</v>
      </c>
      <c r="B60">
        <f>'rockfish harvests'!B59</f>
        <v>2005</v>
      </c>
      <c r="C60" t="str">
        <f>'rockfish harvests'!C59</f>
        <v>SKMA</v>
      </c>
      <c r="D60">
        <f>'rockfish harvests'!D59</f>
        <v>287</v>
      </c>
      <c r="E60">
        <v>159</v>
      </c>
      <c r="F60" t="s">
        <v>159</v>
      </c>
      <c r="G60" s="38">
        <v>0.70478762612764989</v>
      </c>
      <c r="H60" s="39">
        <v>5.8520684408507724E-2</v>
      </c>
      <c r="I60" s="13">
        <f t="shared" si="61"/>
        <v>112.06123255429634</v>
      </c>
      <c r="J60">
        <f t="shared" si="64"/>
        <v>1479.4614225314838</v>
      </c>
      <c r="K60">
        <f t="shared" si="65"/>
        <v>38.463767659077341</v>
      </c>
      <c r="L60" s="6">
        <f t="shared" si="66"/>
        <v>75.388984611791585</v>
      </c>
      <c r="N60" s="2">
        <f>'rockfish harvests'!O59</f>
        <v>84.202623309730882</v>
      </c>
      <c r="O60">
        <f>'rockfish harvests'!P59</f>
        <v>2600.9245845619785</v>
      </c>
      <c r="R60" s="38">
        <v>0.11145942888803913</v>
      </c>
      <c r="S60" s="39">
        <v>1.8625729336481456E-3</v>
      </c>
      <c r="T60" s="13">
        <f t="shared" si="37"/>
        <v>9.3851763049772945</v>
      </c>
      <c r="U60" s="14">
        <f t="shared" si="7"/>
        <v>40.673200124481369</v>
      </c>
      <c r="V60">
        <f t="shared" si="67"/>
        <v>6.3775543999625253</v>
      </c>
      <c r="W60" s="6">
        <f t="shared" si="68"/>
        <v>12.500006623926549</v>
      </c>
      <c r="Y60" s="13">
        <f t="shared" si="62"/>
        <v>121.44640885927363</v>
      </c>
      <c r="Z60">
        <f t="shared" si="63"/>
        <v>1520.1346226559651</v>
      </c>
      <c r="AA60">
        <f t="shared" si="69"/>
        <v>38.988903840143607</v>
      </c>
      <c r="AB60" s="6">
        <f t="shared" si="70"/>
        <v>76.418251526681473</v>
      </c>
      <c r="AC60" s="14">
        <f t="shared" si="12"/>
        <v>0.32103793110360396</v>
      </c>
    </row>
    <row r="61" spans="1:29" hidden="1" x14ac:dyDescent="0.25">
      <c r="A61" t="str">
        <f>'rockfish harvests'!A60</f>
        <v>SC</v>
      </c>
      <c r="B61">
        <f>'rockfish harvests'!B60</f>
        <v>2006</v>
      </c>
      <c r="C61" t="str">
        <f>'rockfish harvests'!C60</f>
        <v>SKMA</v>
      </c>
      <c r="D61">
        <f>'rockfish harvests'!D60</f>
        <v>303</v>
      </c>
      <c r="E61">
        <v>112</v>
      </c>
      <c r="F61">
        <v>69</v>
      </c>
      <c r="H61" s="16"/>
      <c r="I61" s="13">
        <f>F61</f>
        <v>69</v>
      </c>
      <c r="J61">
        <f t="shared" si="64"/>
        <v>0</v>
      </c>
      <c r="K61">
        <f t="shared" si="65"/>
        <v>0</v>
      </c>
      <c r="L61" s="6">
        <f t="shared" si="66"/>
        <v>0</v>
      </c>
      <c r="N61" s="2">
        <f>'rockfish harvests'!O60</f>
        <v>88.896846212015475</v>
      </c>
      <c r="O61">
        <f>'rockfish harvests'!P60</f>
        <v>2899.0067280657854</v>
      </c>
      <c r="R61" s="38">
        <v>0.11145942888803913</v>
      </c>
      <c r="S61" s="39">
        <v>1.8625729336481456E-3</v>
      </c>
      <c r="T61" s="13">
        <f t="shared" si="37"/>
        <v>9.9083917087390887</v>
      </c>
      <c r="U61" s="14">
        <f t="shared" si="7"/>
        <v>45.334601976817844</v>
      </c>
      <c r="V61">
        <f t="shared" si="67"/>
        <v>6.7330975023994597</v>
      </c>
      <c r="W61" s="6">
        <f t="shared" si="68"/>
        <v>13.196871104702941</v>
      </c>
      <c r="Y61" s="13">
        <f t="shared" si="62"/>
        <v>78.908391708739089</v>
      </c>
      <c r="Z61">
        <f t="shared" si="63"/>
        <v>45.334601976817844</v>
      </c>
      <c r="AA61">
        <f t="shared" si="69"/>
        <v>6.7330975023994597</v>
      </c>
      <c r="AB61" s="6">
        <f t="shared" si="70"/>
        <v>13.196871104702941</v>
      </c>
      <c r="AC61" s="14">
        <f t="shared" si="12"/>
        <v>8.5328028573338294E-2</v>
      </c>
    </row>
    <row r="62" spans="1:29" hidden="1" x14ac:dyDescent="0.25">
      <c r="A62" t="str">
        <f>'rockfish harvests'!A61</f>
        <v>SC</v>
      </c>
      <c r="B62">
        <f>'rockfish harvests'!B61</f>
        <v>2007</v>
      </c>
      <c r="C62" t="str">
        <f>'rockfish harvests'!C61</f>
        <v>SKMA</v>
      </c>
      <c r="D62">
        <f>'rockfish harvests'!D61</f>
        <v>1148</v>
      </c>
      <c r="E62">
        <v>179</v>
      </c>
      <c r="F62">
        <v>157</v>
      </c>
      <c r="H62" s="16"/>
      <c r="I62" s="13">
        <f t="shared" ref="I62:I73" si="71">F62</f>
        <v>157</v>
      </c>
      <c r="J62">
        <f t="shared" si="64"/>
        <v>0</v>
      </c>
      <c r="K62">
        <f t="shared" si="65"/>
        <v>0</v>
      </c>
      <c r="L62" s="6">
        <f t="shared" si="66"/>
        <v>0</v>
      </c>
      <c r="N62" s="2">
        <f>'rockfish harvests'!O61</f>
        <v>336.81049323892353</v>
      </c>
      <c r="O62">
        <f>'rockfish harvests'!P61</f>
        <v>41614.793352991655</v>
      </c>
      <c r="R62" s="38">
        <v>0.11145942888803913</v>
      </c>
      <c r="S62" s="39">
        <v>1.8625729336481456E-3</v>
      </c>
      <c r="T62" s="13">
        <f t="shared" si="37"/>
        <v>37.540705219909178</v>
      </c>
      <c r="U62" s="14">
        <f t="shared" si="7"/>
        <v>650.7712019917019</v>
      </c>
      <c r="V62">
        <f t="shared" si="67"/>
        <v>25.510217599850101</v>
      </c>
      <c r="W62" s="6">
        <f t="shared" si="68"/>
        <v>50.000026495706194</v>
      </c>
      <c r="Y62" s="13">
        <f t="shared" si="62"/>
        <v>194.54070521990917</v>
      </c>
      <c r="Z62">
        <f t="shared" si="63"/>
        <v>650.7712019917019</v>
      </c>
      <c r="AA62">
        <f t="shared" si="69"/>
        <v>25.510217599850101</v>
      </c>
      <c r="AB62" s="6">
        <f t="shared" si="70"/>
        <v>50.000026495706194</v>
      </c>
      <c r="AC62" s="14">
        <f t="shared" si="12"/>
        <v>0.13113048794088261</v>
      </c>
    </row>
    <row r="63" spans="1:29" hidden="1" x14ac:dyDescent="0.25">
      <c r="A63" t="str">
        <f>'rockfish harvests'!A62</f>
        <v>SC</v>
      </c>
      <c r="B63">
        <f>'rockfish harvests'!B62</f>
        <v>2008</v>
      </c>
      <c r="C63" t="str">
        <f>'rockfish harvests'!C62</f>
        <v>SKMA</v>
      </c>
      <c r="D63">
        <f>'rockfish harvests'!D62</f>
        <v>1130</v>
      </c>
      <c r="E63">
        <v>88</v>
      </c>
      <c r="F63">
        <v>59</v>
      </c>
      <c r="H63" s="16"/>
      <c r="I63" s="13">
        <f t="shared" si="71"/>
        <v>59</v>
      </c>
      <c r="J63">
        <f t="shared" si="64"/>
        <v>0</v>
      </c>
      <c r="K63">
        <f t="shared" si="65"/>
        <v>0</v>
      </c>
      <c r="L63" s="6">
        <f t="shared" si="66"/>
        <v>0</v>
      </c>
      <c r="N63" s="2">
        <f>'rockfish harvests'!O62</f>
        <v>331.52949247385322</v>
      </c>
      <c r="O63">
        <f>'rockfish harvests'!P62</f>
        <v>40320.030618645244</v>
      </c>
      <c r="R63" s="38">
        <v>0.11145942888803913</v>
      </c>
      <c r="S63" s="39">
        <v>1.8625729336481456E-3</v>
      </c>
      <c r="T63" s="13">
        <f t="shared" si="37"/>
        <v>36.952087890677149</v>
      </c>
      <c r="U63" s="14">
        <f t="shared" si="7"/>
        <v>630.52373148818424</v>
      </c>
      <c r="V63">
        <f t="shared" si="67"/>
        <v>25.110231609608547</v>
      </c>
      <c r="W63" s="6">
        <f t="shared" si="68"/>
        <v>49.216053954832752</v>
      </c>
      <c r="Y63" s="13">
        <f t="shared" si="62"/>
        <v>95.952087890677149</v>
      </c>
      <c r="Z63">
        <f t="shared" si="63"/>
        <v>630.52373148818424</v>
      </c>
      <c r="AA63">
        <f t="shared" si="69"/>
        <v>25.110231609608547</v>
      </c>
      <c r="AB63" s="6">
        <f t="shared" si="70"/>
        <v>49.216053954832752</v>
      </c>
      <c r="AC63" s="14">
        <f t="shared" si="12"/>
        <v>0.26169552077092734</v>
      </c>
    </row>
    <row r="64" spans="1:29" hidden="1" x14ac:dyDescent="0.25">
      <c r="A64" t="str">
        <f>'rockfish harvests'!A63</f>
        <v>SC</v>
      </c>
      <c r="B64">
        <f>'rockfish harvests'!B63</f>
        <v>2009</v>
      </c>
      <c r="C64" t="str">
        <f>'rockfish harvests'!C63</f>
        <v>SKMA</v>
      </c>
      <c r="D64">
        <f>'rockfish harvests'!D63</f>
        <v>810</v>
      </c>
      <c r="E64">
        <v>89</v>
      </c>
      <c r="F64">
        <v>76</v>
      </c>
      <c r="H64" s="16"/>
      <c r="I64" s="13">
        <f t="shared" si="71"/>
        <v>76</v>
      </c>
      <c r="J64">
        <f t="shared" si="64"/>
        <v>0</v>
      </c>
      <c r="K64">
        <f t="shared" si="65"/>
        <v>0</v>
      </c>
      <c r="L64" s="6">
        <f t="shared" si="66"/>
        <v>0</v>
      </c>
      <c r="N64" s="2">
        <f>'rockfish harvests'!O63</f>
        <v>237.64503442816022</v>
      </c>
      <c r="O64">
        <f>'rockfish harvests'!P63</f>
        <v>20717.340503479634</v>
      </c>
      <c r="R64" s="38">
        <v>0.11145942888803913</v>
      </c>
      <c r="S64" s="39">
        <v>1.8625729336481456E-3</v>
      </c>
      <c r="T64" s="13">
        <f t="shared" si="37"/>
        <v>26.487779815441133</v>
      </c>
      <c r="U64" s="14">
        <f t="shared" si="7"/>
        <v>323.97730458876782</v>
      </c>
      <c r="V64">
        <f t="shared" si="67"/>
        <v>17.999369560869841</v>
      </c>
      <c r="W64" s="6">
        <f t="shared" si="68"/>
        <v>35.278764339304885</v>
      </c>
      <c r="Y64" s="13">
        <f t="shared" si="62"/>
        <v>102.48777981544113</v>
      </c>
      <c r="Z64">
        <f t="shared" si="63"/>
        <v>323.97730458876782</v>
      </c>
      <c r="AA64">
        <f t="shared" si="69"/>
        <v>17.999369560869841</v>
      </c>
      <c r="AB64" s="6">
        <f t="shared" si="70"/>
        <v>35.278764339304885</v>
      </c>
      <c r="AC64" s="14">
        <f t="shared" si="12"/>
        <v>0.17562454366055064</v>
      </c>
    </row>
    <row r="65" spans="1:29" hidden="1" x14ac:dyDescent="0.25">
      <c r="A65" t="str">
        <f>'rockfish harvests'!A64</f>
        <v>SC</v>
      </c>
      <c r="B65">
        <f>'rockfish harvests'!B64</f>
        <v>2010</v>
      </c>
      <c r="C65" t="str">
        <f>'rockfish harvests'!C64</f>
        <v>SKMA</v>
      </c>
      <c r="D65">
        <f>'rockfish harvests'!D64</f>
        <v>644</v>
      </c>
      <c r="E65">
        <v>244</v>
      </c>
      <c r="F65">
        <v>80</v>
      </c>
      <c r="H65" s="16"/>
      <c r="I65" s="13">
        <f t="shared" si="71"/>
        <v>80</v>
      </c>
      <c r="J65">
        <f t="shared" si="64"/>
        <v>0</v>
      </c>
      <c r="K65">
        <f t="shared" si="65"/>
        <v>0</v>
      </c>
      <c r="L65" s="6">
        <f t="shared" si="66"/>
        <v>0</v>
      </c>
      <c r="N65" s="2">
        <f>'rockfish harvests'!O64</f>
        <v>188.94247181695698</v>
      </c>
      <c r="O65">
        <f>'rockfish harvests'!P64</f>
        <v>13095.910579257932</v>
      </c>
      <c r="R65" s="38">
        <v>0.11145942888803913</v>
      </c>
      <c r="S65" s="39">
        <v>1.8625729336481456E-3</v>
      </c>
      <c r="T65" s="13">
        <f t="shared" si="37"/>
        <v>21.059420001412455</v>
      </c>
      <c r="U65" s="14">
        <f t="shared" si="7"/>
        <v>204.79355493968481</v>
      </c>
      <c r="V65">
        <f t="shared" si="67"/>
        <v>14.310609873086639</v>
      </c>
      <c r="W65" s="6">
        <f t="shared" si="68"/>
        <v>28.048795351249812</v>
      </c>
      <c r="Y65" s="13">
        <f t="shared" si="62"/>
        <v>101.05942000141246</v>
      </c>
      <c r="Z65">
        <f t="shared" si="63"/>
        <v>204.79355493968481</v>
      </c>
      <c r="AA65">
        <f t="shared" si="69"/>
        <v>14.310609873086639</v>
      </c>
      <c r="AB65" s="6">
        <f t="shared" si="70"/>
        <v>28.048795351249812</v>
      </c>
      <c r="AC65" s="14">
        <f t="shared" si="12"/>
        <v>0.14160589752926175</v>
      </c>
    </row>
    <row r="66" spans="1:29" hidden="1" x14ac:dyDescent="0.25">
      <c r="A66" t="str">
        <f>'rockfish harvests'!A65</f>
        <v>SC</v>
      </c>
      <c r="B66">
        <f>'rockfish harvests'!B65</f>
        <v>2011</v>
      </c>
      <c r="C66" t="str">
        <f>'rockfish harvests'!C65</f>
        <v>SKMA</v>
      </c>
      <c r="D66">
        <f>'rockfish harvests'!D65</f>
        <v>689</v>
      </c>
      <c r="E66">
        <v>137</v>
      </c>
      <c r="F66">
        <v>77</v>
      </c>
      <c r="H66" s="16"/>
      <c r="I66" s="13">
        <f t="shared" si="71"/>
        <v>77</v>
      </c>
      <c r="J66">
        <f t="shared" si="64"/>
        <v>0</v>
      </c>
      <c r="K66">
        <f t="shared" si="65"/>
        <v>0</v>
      </c>
      <c r="L66" s="6">
        <f t="shared" si="66"/>
        <v>0</v>
      </c>
      <c r="N66" s="2">
        <f>'rockfish harvests'!O65</f>
        <v>161.99495459132186</v>
      </c>
      <c r="O66">
        <f>'rockfish harvests'!P65</f>
        <v>13094.402331197241</v>
      </c>
      <c r="R66" s="38">
        <v>0.11145942888803913</v>
      </c>
      <c r="S66" s="39">
        <v>1.8625729336481456E-3</v>
      </c>
      <c r="T66" s="13">
        <f t="shared" si="37"/>
        <v>18.055865121492566</v>
      </c>
      <c r="U66" s="14">
        <f t="shared" si="7"/>
        <v>187.16347517294969</v>
      </c>
      <c r="V66">
        <f t="shared" si="67"/>
        <v>13.680770269723475</v>
      </c>
      <c r="W66" s="6">
        <f t="shared" si="68"/>
        <v>26.81430972865801</v>
      </c>
      <c r="Y66" s="13">
        <f t="shared" si="62"/>
        <v>95.055865121492559</v>
      </c>
      <c r="Z66">
        <f t="shared" si="63"/>
        <v>187.16347517294969</v>
      </c>
      <c r="AA66">
        <f t="shared" si="69"/>
        <v>13.680770269723475</v>
      </c>
      <c r="AB66" s="6">
        <f t="shared" si="70"/>
        <v>26.81430972865801</v>
      </c>
      <c r="AC66" s="14">
        <f t="shared" si="12"/>
        <v>0.14392347334104891</v>
      </c>
    </row>
    <row r="67" spans="1:29" hidden="1" x14ac:dyDescent="0.25">
      <c r="A67" t="str">
        <f>'rockfish harvests'!A66</f>
        <v>SC</v>
      </c>
      <c r="B67">
        <f>'rockfish harvests'!B66</f>
        <v>2012</v>
      </c>
      <c r="C67" t="str">
        <f>'rockfish harvests'!C66</f>
        <v>SKMA</v>
      </c>
      <c r="D67">
        <f>'rockfish harvests'!D66</f>
        <v>918</v>
      </c>
      <c r="E67">
        <v>350</v>
      </c>
      <c r="F67">
        <v>107</v>
      </c>
      <c r="H67" s="16"/>
      <c r="I67" s="13">
        <f t="shared" si="71"/>
        <v>107</v>
      </c>
      <c r="J67">
        <f t="shared" si="64"/>
        <v>0</v>
      </c>
      <c r="K67">
        <f t="shared" si="65"/>
        <v>0</v>
      </c>
      <c r="L67" s="6">
        <f t="shared" si="66"/>
        <v>0</v>
      </c>
      <c r="N67" s="2">
        <f>'rockfish harvests'!O66</f>
        <v>591</v>
      </c>
      <c r="O67">
        <f>'rockfish harvests'!P66</f>
        <v>113950.9906442892</v>
      </c>
      <c r="R67" s="38">
        <v>0.11145942888803913</v>
      </c>
      <c r="S67" s="39">
        <v>1.8625729336481456E-3</v>
      </c>
      <c r="T67" s="13">
        <f t="shared" si="37"/>
        <v>65.872522472831122</v>
      </c>
      <c r="U67" s="14">
        <f t="shared" si="7"/>
        <v>1853.9557415005461</v>
      </c>
      <c r="V67">
        <f t="shared" si="67"/>
        <v>43.057586340859217</v>
      </c>
      <c r="W67" s="6">
        <f t="shared" si="68"/>
        <v>84.392869228084066</v>
      </c>
      <c r="Y67" s="13">
        <f t="shared" si="62"/>
        <v>172.87252247283112</v>
      </c>
      <c r="Z67">
        <f t="shared" si="63"/>
        <v>1853.9557415005461</v>
      </c>
      <c r="AA67">
        <f t="shared" si="69"/>
        <v>43.057586340859217</v>
      </c>
      <c r="AB67" s="6">
        <f t="shared" si="70"/>
        <v>84.392869228084066</v>
      </c>
      <c r="AC67" s="14">
        <f t="shared" si="12"/>
        <v>0.24907131408131217</v>
      </c>
    </row>
    <row r="68" spans="1:29" hidden="1" x14ac:dyDescent="0.25">
      <c r="A68" t="str">
        <f>'rockfish harvests'!A67</f>
        <v>SC</v>
      </c>
      <c r="B68">
        <f>'rockfish harvests'!B67</f>
        <v>2013</v>
      </c>
      <c r="C68" t="str">
        <f>'rockfish harvests'!C67</f>
        <v>SKMA</v>
      </c>
      <c r="D68">
        <f>'rockfish harvests'!D67</f>
        <v>1035</v>
      </c>
      <c r="E68">
        <v>167</v>
      </c>
      <c r="F68">
        <v>113</v>
      </c>
      <c r="H68" s="16"/>
      <c r="I68" s="13">
        <f t="shared" si="71"/>
        <v>113</v>
      </c>
      <c r="J68">
        <f t="shared" si="64"/>
        <v>0</v>
      </c>
      <c r="K68">
        <f t="shared" si="65"/>
        <v>0</v>
      </c>
      <c r="L68" s="6">
        <f t="shared" si="66"/>
        <v>0</v>
      </c>
      <c r="N68" s="2">
        <f>'rockfish harvests'!O67</f>
        <v>209.79729729729729</v>
      </c>
      <c r="O68">
        <f>'rockfish harvests'!P67</f>
        <v>18918.407507863983</v>
      </c>
      <c r="R68" s="38">
        <v>0.11145942888803913</v>
      </c>
      <c r="S68" s="39">
        <v>1.8625729336481456E-3</v>
      </c>
      <c r="T68" s="13">
        <f t="shared" si="37"/>
        <v>23.38388693901091</v>
      </c>
      <c r="U68" s="14">
        <f t="shared" si="7"/>
        <v>281.77130000845227</v>
      </c>
      <c r="V68">
        <f t="shared" si="67"/>
        <v>16.786044799429444</v>
      </c>
      <c r="W68" s="6">
        <f t="shared" si="68"/>
        <v>32.900647806881707</v>
      </c>
      <c r="Y68" s="13">
        <f t="shared" si="62"/>
        <v>136.38388693901092</v>
      </c>
      <c r="Z68">
        <f t="shared" si="63"/>
        <v>281.77130000845227</v>
      </c>
      <c r="AA68">
        <f t="shared" si="69"/>
        <v>16.786044799429444</v>
      </c>
      <c r="AB68" s="6">
        <f t="shared" si="70"/>
        <v>32.900647806881707</v>
      </c>
      <c r="AC68" s="14">
        <f t="shared" si="12"/>
        <v>0.12307938405462768</v>
      </c>
    </row>
    <row r="69" spans="1:29" hidden="1" x14ac:dyDescent="0.25">
      <c r="A69" t="str">
        <f>'rockfish harvests'!A68</f>
        <v>SC</v>
      </c>
      <c r="B69">
        <f>'rockfish harvests'!B68</f>
        <v>2014</v>
      </c>
      <c r="C69" t="str">
        <f>'rockfish harvests'!C68</f>
        <v>SKMA</v>
      </c>
      <c r="D69">
        <f>'rockfish harvests'!D68</f>
        <v>653</v>
      </c>
      <c r="E69">
        <v>96</v>
      </c>
      <c r="F69">
        <v>49</v>
      </c>
      <c r="H69" s="16"/>
      <c r="I69" s="13">
        <f t="shared" si="71"/>
        <v>49</v>
      </c>
      <c r="J69">
        <f t="shared" si="64"/>
        <v>0</v>
      </c>
      <c r="K69">
        <f t="shared" si="65"/>
        <v>0</v>
      </c>
      <c r="L69" s="6">
        <f t="shared" si="66"/>
        <v>0</v>
      </c>
      <c r="N69" s="2">
        <f>'rockfish harvests'!O68</f>
        <v>219.90263510495754</v>
      </c>
      <c r="O69">
        <f>'rockfish harvests'!P68</f>
        <v>18177.015037346606</v>
      </c>
      <c r="R69" s="38">
        <v>0.11145942888803913</v>
      </c>
      <c r="S69" s="39">
        <v>1.8625729336481456E-3</v>
      </c>
      <c r="T69" s="13">
        <f t="shared" si="37"/>
        <v>24.510222119773431</v>
      </c>
      <c r="U69" s="14">
        <f t="shared" si="7"/>
        <v>282.02950892241017</v>
      </c>
      <c r="V69">
        <f t="shared" si="67"/>
        <v>16.79373421614175</v>
      </c>
      <c r="W69" s="6">
        <f t="shared" si="68"/>
        <v>32.91571906363783</v>
      </c>
      <c r="Y69" s="13">
        <f t="shared" si="62"/>
        <v>73.510222119773431</v>
      </c>
      <c r="Z69">
        <f t="shared" si="63"/>
        <v>282.02950892241017</v>
      </c>
      <c r="AA69">
        <f t="shared" si="69"/>
        <v>16.79373421614175</v>
      </c>
      <c r="AB69" s="6">
        <f t="shared" si="70"/>
        <v>32.91571906363783</v>
      </c>
      <c r="AC69" s="14">
        <f t="shared" si="12"/>
        <v>0.22845440718134388</v>
      </c>
    </row>
    <row r="70" spans="1:29" hidden="1" x14ac:dyDescent="0.25">
      <c r="A70" t="str">
        <f>'rockfish harvests'!A69</f>
        <v>SC</v>
      </c>
      <c r="B70">
        <f>'rockfish harvests'!B69</f>
        <v>2015</v>
      </c>
      <c r="C70" t="str">
        <f>'rockfish harvests'!C69</f>
        <v>SKMA</v>
      </c>
      <c r="D70">
        <f>'rockfish harvests'!D69</f>
        <v>619</v>
      </c>
      <c r="E70">
        <v>72</v>
      </c>
      <c r="F70">
        <v>68</v>
      </c>
      <c r="H70" s="16"/>
      <c r="I70" s="13">
        <f t="shared" si="71"/>
        <v>68</v>
      </c>
      <c r="J70">
        <f t="shared" si="64"/>
        <v>0</v>
      </c>
      <c r="K70">
        <f t="shared" si="65"/>
        <v>0</v>
      </c>
      <c r="L70" s="6">
        <f t="shared" si="66"/>
        <v>0</v>
      </c>
      <c r="N70" s="2">
        <f>'rockfish harvests'!O69</f>
        <v>281.78094694808897</v>
      </c>
      <c r="O70">
        <f>'rockfish harvests'!P69</f>
        <v>62212.407283949418</v>
      </c>
      <c r="R70" s="38">
        <v>0.11145942888803913</v>
      </c>
      <c r="S70" s="39">
        <v>1.8625729336481456E-3</v>
      </c>
      <c r="T70" s="13">
        <f t="shared" si="37"/>
        <v>31.40714341836485</v>
      </c>
      <c r="U70" s="14">
        <f t="shared" si="7"/>
        <v>804.89152505610718</v>
      </c>
      <c r="V70">
        <f t="shared" si="67"/>
        <v>28.370610234115642</v>
      </c>
      <c r="W70" s="6">
        <f t="shared" si="68"/>
        <v>55.606396058866657</v>
      </c>
      <c r="Y70" s="13">
        <f t="shared" si="62"/>
        <v>99.407143418364853</v>
      </c>
      <c r="Z70">
        <f t="shared" si="63"/>
        <v>804.89152505610718</v>
      </c>
      <c r="AA70">
        <f t="shared" si="69"/>
        <v>28.370610234115642</v>
      </c>
      <c r="AB70" s="6">
        <f t="shared" si="70"/>
        <v>55.606396058866657</v>
      </c>
      <c r="AC70" s="14">
        <f t="shared" si="12"/>
        <v>0.28539810378329761</v>
      </c>
    </row>
    <row r="71" spans="1:29" hidden="1" x14ac:dyDescent="0.25">
      <c r="A71" t="str">
        <f>'rockfish harvests'!A70</f>
        <v>SC</v>
      </c>
      <c r="B71">
        <f>'rockfish harvests'!B70</f>
        <v>2016</v>
      </c>
      <c r="C71" t="str">
        <f>'rockfish harvests'!C70</f>
        <v>SKMA</v>
      </c>
      <c r="D71">
        <f>'rockfish harvests'!D70</f>
        <v>804</v>
      </c>
      <c r="E71">
        <v>91</v>
      </c>
      <c r="F71">
        <v>88</v>
      </c>
      <c r="H71" s="16"/>
      <c r="I71" s="13">
        <f t="shared" si="71"/>
        <v>88</v>
      </c>
      <c r="J71">
        <f t="shared" si="64"/>
        <v>0</v>
      </c>
      <c r="K71">
        <f t="shared" si="65"/>
        <v>0</v>
      </c>
      <c r="L71" s="6">
        <f t="shared" si="66"/>
        <v>0</v>
      </c>
      <c r="N71" s="2">
        <f>'rockfish harvests'!O70</f>
        <v>94.418789808917268</v>
      </c>
      <c r="O71">
        <f>'rockfish harvests'!P70</f>
        <v>4384.8563398414108</v>
      </c>
      <c r="R71" s="38">
        <v>0.11145942888803913</v>
      </c>
      <c r="S71" s="39">
        <v>1.8625729336481456E-3</v>
      </c>
      <c r="T71" s="13">
        <f t="shared" si="37"/>
        <v>10.523864388401728</v>
      </c>
      <c r="U71" s="14">
        <f t="shared" si="7"/>
        <v>62.911517449797486</v>
      </c>
      <c r="V71">
        <f t="shared" si="67"/>
        <v>7.9316780979687698</v>
      </c>
      <c r="W71" s="6">
        <f t="shared" si="68"/>
        <v>15.546089072018788</v>
      </c>
      <c r="Y71" s="13">
        <f t="shared" si="62"/>
        <v>98.523864388401734</v>
      </c>
      <c r="Z71">
        <f t="shared" si="63"/>
        <v>62.911517449797486</v>
      </c>
      <c r="AA71">
        <f t="shared" si="69"/>
        <v>7.9316780979687698</v>
      </c>
      <c r="AB71" s="6">
        <f t="shared" si="70"/>
        <v>15.546089072018788</v>
      </c>
      <c r="AC71" s="14">
        <f t="shared" si="12"/>
        <v>8.0505146110595407E-2</v>
      </c>
    </row>
    <row r="72" spans="1:29" hidden="1" x14ac:dyDescent="0.25">
      <c r="A72" t="str">
        <f>'rockfish harvests'!A71</f>
        <v>SC</v>
      </c>
      <c r="B72">
        <f>'rockfish harvests'!B71</f>
        <v>2017</v>
      </c>
      <c r="C72" t="str">
        <f>'rockfish harvests'!C71</f>
        <v>SKMA</v>
      </c>
      <c r="D72">
        <f>'rockfish harvests'!D71</f>
        <v>666</v>
      </c>
      <c r="E72">
        <v>59</v>
      </c>
      <c r="F72">
        <v>51</v>
      </c>
      <c r="H72" s="16"/>
      <c r="I72" s="13">
        <f t="shared" si="71"/>
        <v>51</v>
      </c>
      <c r="J72">
        <f t="shared" si="64"/>
        <v>0</v>
      </c>
      <c r="K72">
        <f t="shared" si="65"/>
        <v>0</v>
      </c>
      <c r="L72" s="6">
        <f t="shared" si="66"/>
        <v>0</v>
      </c>
      <c r="N72" s="2">
        <f>'rockfish harvests'!O71</f>
        <v>229.24813432835822</v>
      </c>
      <c r="O72">
        <f>'rockfish harvests'!P71</f>
        <v>18017.117128178837</v>
      </c>
      <c r="R72" s="38">
        <v>0.11145942888803913</v>
      </c>
      <c r="S72" s="39">
        <v>1.8625729336481456E-3</v>
      </c>
      <c r="T72" s="13">
        <f t="shared" si="37"/>
        <v>25.551866125887283</v>
      </c>
      <c r="U72" s="14">
        <f t="shared" si="7"/>
        <v>288.15910702702689</v>
      </c>
      <c r="V72">
        <f t="shared" si="67"/>
        <v>16.975249836954593</v>
      </c>
      <c r="W72" s="6">
        <f t="shared" si="68"/>
        <v>33.271489680431003</v>
      </c>
      <c r="Y72" s="13">
        <f t="shared" si="62"/>
        <v>76.551866125887287</v>
      </c>
      <c r="Z72">
        <f t="shared" si="63"/>
        <v>288.15910702702689</v>
      </c>
      <c r="AA72">
        <f t="shared" si="69"/>
        <v>16.975249836954593</v>
      </c>
      <c r="AB72" s="6">
        <f t="shared" si="70"/>
        <v>33.271489680431003</v>
      </c>
      <c r="AC72" s="14">
        <f t="shared" si="12"/>
        <v>0.22174834783307953</v>
      </c>
    </row>
    <row r="73" spans="1:29" hidden="1" x14ac:dyDescent="0.25">
      <c r="A73" t="str">
        <f>'rockfish harvests'!A72</f>
        <v>SC</v>
      </c>
      <c r="B73">
        <f>'rockfish harvests'!B72</f>
        <v>2018</v>
      </c>
      <c r="C73" t="str">
        <f>'rockfish harvests'!C72</f>
        <v>SKMA</v>
      </c>
      <c r="D73">
        <f>'rockfish harvests'!D72</f>
        <v>671</v>
      </c>
      <c r="E73">
        <v>72</v>
      </c>
      <c r="F73">
        <v>71</v>
      </c>
      <c r="H73" s="16"/>
      <c r="I73" s="13">
        <f t="shared" si="71"/>
        <v>71</v>
      </c>
      <c r="J73">
        <f t="shared" si="64"/>
        <v>0</v>
      </c>
      <c r="K73">
        <f t="shared" si="65"/>
        <v>0</v>
      </c>
      <c r="L73" s="6">
        <f t="shared" si="66"/>
        <v>0</v>
      </c>
      <c r="N73" s="2">
        <f>'rockfish harvests'!O72</f>
        <v>107.64245379876797</v>
      </c>
      <c r="O73">
        <f>'rockfish harvests'!P72</f>
        <v>4325.8254808581805</v>
      </c>
      <c r="R73" s="38">
        <v>0.11145942888803913</v>
      </c>
      <c r="S73" s="39">
        <v>1.8625729336481456E-3</v>
      </c>
      <c r="T73" s="13">
        <f t="shared" si="37"/>
        <v>11.997766424517817</v>
      </c>
      <c r="U73" s="14">
        <f t="shared" si="7"/>
        <v>67.264890545458258</v>
      </c>
      <c r="V73">
        <f t="shared" si="67"/>
        <v>8.2015175757574443</v>
      </c>
      <c r="W73" s="6">
        <f t="shared" si="68"/>
        <v>16.074974448484589</v>
      </c>
      <c r="Y73" s="13">
        <f t="shared" si="62"/>
        <v>82.99776642451782</v>
      </c>
      <c r="Z73">
        <f t="shared" si="63"/>
        <v>67.264890545458258</v>
      </c>
      <c r="AA73">
        <f t="shared" si="69"/>
        <v>8.2015175757574443</v>
      </c>
      <c r="AB73" s="6">
        <f t="shared" si="70"/>
        <v>16.074974448484589</v>
      </c>
      <c r="AC73" s="14">
        <f t="shared" si="12"/>
        <v>9.8816123964206928E-2</v>
      </c>
    </row>
    <row r="74" spans="1:29" hidden="1" x14ac:dyDescent="0.25">
      <c r="A74" t="str">
        <f>'rockfish harvests'!A73</f>
        <v>SC</v>
      </c>
      <c r="B74">
        <f>'rockfish harvests'!B73</f>
        <v>2019</v>
      </c>
      <c r="C74" t="str">
        <f>'rockfish harvests'!C73</f>
        <v>SKMA</v>
      </c>
      <c r="D74">
        <f>'rockfish harvests'!D73</f>
        <v>716</v>
      </c>
      <c r="E74">
        <v>128</v>
      </c>
      <c r="F74">
        <v>120</v>
      </c>
      <c r="H74" s="16"/>
      <c r="I74" s="63">
        <f>F74</f>
        <v>120</v>
      </c>
      <c r="J74">
        <f>(E74^2)*H74</f>
        <v>0</v>
      </c>
      <c r="K74">
        <f>SQRT(J74)</f>
        <v>0</v>
      </c>
      <c r="L74" s="6">
        <f>(1.96*K74)</f>
        <v>0</v>
      </c>
      <c r="N74" s="2">
        <f>'rockfish harvests'!O73</f>
        <v>230.32441288913162</v>
      </c>
      <c r="O74">
        <f>'rockfish harvests'!P73</f>
        <v>30814.691102249373</v>
      </c>
      <c r="R74" s="38">
        <v>0.11546931006483122</v>
      </c>
      <c r="S74" s="38">
        <v>1.9517133693342942E-3</v>
      </c>
      <c r="T74" s="63">
        <f>R74*N74</f>
        <v>26.595401047395345</v>
      </c>
      <c r="U74" s="14">
        <f>(N74^2)*S74+(R74^2)*O74-(S74*O74)</f>
        <v>454.25290719354166</v>
      </c>
      <c r="V74">
        <f>SQRT(U74)</f>
        <v>21.313209687739239</v>
      </c>
      <c r="W74" s="6">
        <f>(1.96*V74)</f>
        <v>41.773890987968905</v>
      </c>
      <c r="Y74" s="63">
        <f>T74+I74</f>
        <v>146.59540104739534</v>
      </c>
      <c r="Z74">
        <f>U74+J74</f>
        <v>454.25290719354166</v>
      </c>
      <c r="AA74">
        <f>SQRT(Z74)</f>
        <v>21.313209687739239</v>
      </c>
      <c r="AB74" s="6">
        <f>(1.96*AA74)</f>
        <v>41.773890987968905</v>
      </c>
      <c r="AC74" s="14">
        <f>AA74/Y74</f>
        <v>0.1453879830844661</v>
      </c>
    </row>
    <row r="75" spans="1:29" hidden="1" x14ac:dyDescent="0.25">
      <c r="A75" t="str">
        <f>'rockfish harvests'!A74</f>
        <v>SC</v>
      </c>
      <c r="B75">
        <f>'rockfish harvests'!B74</f>
        <v>2020</v>
      </c>
      <c r="C75" t="str">
        <f>'rockfish harvests'!C74</f>
        <v>SKMA</v>
      </c>
      <c r="D75">
        <f>'rockfish harvests'!D74</f>
        <v>302</v>
      </c>
      <c r="E75">
        <v>47</v>
      </c>
      <c r="F75">
        <v>46</v>
      </c>
      <c r="H75" s="16"/>
      <c r="I75" s="13">
        <f t="shared" ref="I75:I77" si="72">F75</f>
        <v>46</v>
      </c>
      <c r="J75">
        <f t="shared" ref="J75:J77" si="73">(E75^2)*H75</f>
        <v>0</v>
      </c>
      <c r="K75">
        <f t="shared" ref="K75:K77" si="74">SQRT(J75)</f>
        <v>0</v>
      </c>
      <c r="L75" s="6">
        <f t="shared" ref="L75:L77" si="75">(1.96*K75)</f>
        <v>0</v>
      </c>
      <c r="N75" s="2">
        <f>'rockfish harvests'!O74</f>
        <v>57.128003494975985</v>
      </c>
      <c r="O75">
        <f>'rockfish harvests'!P74</f>
        <v>816.94472651239755</v>
      </c>
      <c r="R75" s="38">
        <v>0.11792588144682262</v>
      </c>
      <c r="S75" s="38">
        <v>1.9008064687061378E-3</v>
      </c>
      <c r="T75" s="13">
        <f t="shared" ref="T75:T76" si="76">R75*N75</f>
        <v>6.7368701674422065</v>
      </c>
      <c r="U75" s="14">
        <f t="shared" ref="U75:U76" si="77">(N75^2)*S75+(R75^2)*O75-(S75*O75)</f>
        <v>16.011487746195328</v>
      </c>
      <c r="V75">
        <f t="shared" ref="V75:V76" si="78">SQRT(U75)</f>
        <v>4.0014357106162945</v>
      </c>
      <c r="W75" s="6">
        <f t="shared" ref="W75:W76" si="79">(1.96*V75)</f>
        <v>7.8428139928079368</v>
      </c>
      <c r="Y75" s="13">
        <f t="shared" ref="Y75:Y76" si="80">T75+I75</f>
        <v>52.736870167442206</v>
      </c>
      <c r="Z75">
        <f t="shared" ref="Z75:Z76" si="81">U75+J75</f>
        <v>16.011487746195328</v>
      </c>
      <c r="AA75">
        <f t="shared" ref="AA75:AA76" si="82">SQRT(Z75)</f>
        <v>4.0014357106162945</v>
      </c>
      <c r="AB75" s="6">
        <f t="shared" ref="AB75:AB76" si="83">(1.96*AA75)</f>
        <v>7.8428139928079368</v>
      </c>
      <c r="AC75" s="14">
        <f t="shared" ref="AC75:AC76" si="84">AA75/Y75</f>
        <v>7.5875487072166695E-2</v>
      </c>
    </row>
    <row r="76" spans="1:29" hidden="1" x14ac:dyDescent="0.25">
      <c r="A76" t="str">
        <f>'rockfish harvests'!A75</f>
        <v>SC</v>
      </c>
      <c r="B76">
        <f>'rockfish harvests'!B75</f>
        <v>2021</v>
      </c>
      <c r="C76" t="str">
        <f>'rockfish harvests'!C75</f>
        <v>SKMA</v>
      </c>
      <c r="D76">
        <f>'rockfish harvests'!D75</f>
        <v>1622</v>
      </c>
      <c r="E76">
        <v>194</v>
      </c>
      <c r="F76">
        <v>162</v>
      </c>
      <c r="H76" s="16"/>
      <c r="I76" s="13">
        <f t="shared" si="72"/>
        <v>162</v>
      </c>
      <c r="J76">
        <f t="shared" si="73"/>
        <v>0</v>
      </c>
      <c r="K76">
        <f t="shared" si="74"/>
        <v>0</v>
      </c>
      <c r="L76" s="6">
        <f t="shared" si="75"/>
        <v>0</v>
      </c>
      <c r="N76" s="2">
        <f>'rockfish harvests'!O75</f>
        <v>253.31845937059643</v>
      </c>
      <c r="O76">
        <f>'rockfish harvests'!P75</f>
        <v>10922.563990757333</v>
      </c>
      <c r="R76" s="38">
        <v>0.1167978073212544</v>
      </c>
      <c r="S76" s="38">
        <v>1.7887893848324383E-3</v>
      </c>
      <c r="T76" s="13">
        <f t="shared" si="76"/>
        <v>29.587040608483932</v>
      </c>
      <c r="U76" s="14">
        <f t="shared" si="77"/>
        <v>244.25152572166647</v>
      </c>
      <c r="V76">
        <f t="shared" si="78"/>
        <v>15.628548420172184</v>
      </c>
      <c r="W76" s="6">
        <f t="shared" si="79"/>
        <v>30.63195490353748</v>
      </c>
      <c r="Y76" s="13">
        <f t="shared" si="80"/>
        <v>191.58704060848393</v>
      </c>
      <c r="Z76">
        <f t="shared" si="81"/>
        <v>244.25152572166647</v>
      </c>
      <c r="AA76">
        <f t="shared" si="82"/>
        <v>15.628548420172184</v>
      </c>
      <c r="AB76" s="6">
        <f t="shared" si="83"/>
        <v>30.63195490353748</v>
      </c>
      <c r="AC76" s="14">
        <f t="shared" si="84"/>
        <v>8.1574141813223006E-2</v>
      </c>
    </row>
    <row r="77" spans="1:29" s="51" customFormat="1" hidden="1" x14ac:dyDescent="0.25">
      <c r="A77" s="51" t="s">
        <v>81</v>
      </c>
      <c r="B77" s="51">
        <v>2022</v>
      </c>
      <c r="C77" s="51" t="s">
        <v>82</v>
      </c>
      <c r="D77" s="51">
        <v>1321</v>
      </c>
      <c r="E77" s="51">
        <v>209</v>
      </c>
      <c r="F77" s="51">
        <v>190</v>
      </c>
      <c r="H77" s="82"/>
      <c r="I77" s="71">
        <f t="shared" si="72"/>
        <v>190</v>
      </c>
      <c r="J77" s="51">
        <f t="shared" si="73"/>
        <v>0</v>
      </c>
      <c r="K77" s="51">
        <f t="shared" si="74"/>
        <v>0</v>
      </c>
      <c r="L77" s="78">
        <f t="shared" si="75"/>
        <v>0</v>
      </c>
      <c r="N77" s="2">
        <f>'rockfish harvests'!O76</f>
        <v>504.30982804858809</v>
      </c>
      <c r="O77">
        <f>'rockfish harvests'!P76</f>
        <v>41475.667798459108</v>
      </c>
      <c r="R77" s="38">
        <v>0.1167978073212544</v>
      </c>
      <c r="S77" s="38">
        <v>1.7887893848324383E-3</v>
      </c>
      <c r="T77" s="13">
        <f t="shared" ref="T77" si="85">R77*N77</f>
        <v>58.902282126633928</v>
      </c>
      <c r="U77" s="14">
        <f t="shared" ref="U77" si="86">(N77^2)*S77+(R77^2)*O77-(S77*O77)</f>
        <v>946.54848288893857</v>
      </c>
      <c r="V77">
        <f t="shared" ref="V77" si="87">SQRT(U77)</f>
        <v>30.766028064879265</v>
      </c>
      <c r="W77" s="6">
        <f t="shared" ref="W77" si="88">(1.96*V77)</f>
        <v>60.301415007163357</v>
      </c>
      <c r="X77"/>
      <c r="Y77" s="13">
        <f t="shared" ref="Y77" si="89">T77+I77</f>
        <v>248.90228212663393</v>
      </c>
      <c r="Z77">
        <f t="shared" ref="Z77" si="90">U77+J77</f>
        <v>946.54848288893857</v>
      </c>
      <c r="AA77">
        <f t="shared" ref="AA77" si="91">SQRT(Z77)</f>
        <v>30.766028064879265</v>
      </c>
      <c r="AB77" s="6">
        <f t="shared" ref="AB77" si="92">(1.96*AA77)</f>
        <v>60.301415007163357</v>
      </c>
      <c r="AC77" s="14">
        <f t="shared" ref="AC77" si="93">AA77/Y77</f>
        <v>0.12360685407145622</v>
      </c>
    </row>
    <row r="78" spans="1:29" hidden="1" x14ac:dyDescent="0.25">
      <c r="A78" t="str">
        <f>'rockfish harvests'!A77</f>
        <v>SC</v>
      </c>
      <c r="B78">
        <f>'rockfish harvests'!B77</f>
        <v>1998</v>
      </c>
      <c r="C78" t="str">
        <f>'rockfish harvests'!C77</f>
        <v>CI</v>
      </c>
      <c r="D78">
        <f>'rockfish harvests'!D77</f>
        <v>994</v>
      </c>
      <c r="E78">
        <v>271</v>
      </c>
      <c r="F78" t="s">
        <v>159</v>
      </c>
      <c r="G78" s="38">
        <v>0.38039261820948833</v>
      </c>
      <c r="H78" s="39">
        <v>1.7607290722732767E-2</v>
      </c>
      <c r="I78" s="13">
        <f>E78*G78</f>
        <v>103.08639953477133</v>
      </c>
      <c r="J78">
        <f t="shared" si="64"/>
        <v>1293.0970379682171</v>
      </c>
      <c r="K78">
        <f t="shared" si="65"/>
        <v>35.959658479582608</v>
      </c>
      <c r="L78" s="6">
        <f t="shared" si="66"/>
        <v>70.480930619981905</v>
      </c>
      <c r="N78" s="2">
        <f>'rockfish harvests'!O77</f>
        <v>692.47589516408812</v>
      </c>
      <c r="O78">
        <f>'rockfish harvests'!P77</f>
        <v>44240.136597187789</v>
      </c>
      <c r="P78" s="32">
        <v>1.6675855999999999E-2</v>
      </c>
      <c r="Q78" s="32">
        <v>3.3094100000000002E-4</v>
      </c>
      <c r="T78" s="13">
        <f>N78*P78</f>
        <v>11.547628311227429</v>
      </c>
      <c r="U78" s="14">
        <f>(N78^2)*Q78+(P78^2)*O78-(Q78*O78)</f>
        <v>156.35538336096278</v>
      </c>
      <c r="V78">
        <f t="shared" si="67"/>
        <v>12.504214623916321</v>
      </c>
      <c r="W78" s="6">
        <f t="shared" si="68"/>
        <v>24.508260662875987</v>
      </c>
      <c r="Y78" s="13">
        <f t="shared" si="62"/>
        <v>114.63402784599876</v>
      </c>
      <c r="Z78" s="14">
        <f>U78+J78</f>
        <v>1449.45242132918</v>
      </c>
      <c r="AA78">
        <f t="shared" si="69"/>
        <v>38.071674790179379</v>
      </c>
      <c r="AB78" s="6">
        <f t="shared" si="70"/>
        <v>74.620482588751585</v>
      </c>
      <c r="AC78" s="14">
        <f>AA78/Y78</f>
        <v>0.33211495317363787</v>
      </c>
    </row>
    <row r="79" spans="1:29" hidden="1" x14ac:dyDescent="0.25">
      <c r="A79" t="str">
        <f>'rockfish harvests'!A78</f>
        <v>SC</v>
      </c>
      <c r="B79">
        <f>'rockfish harvests'!B78</f>
        <v>1999</v>
      </c>
      <c r="C79" t="str">
        <f>'rockfish harvests'!C78</f>
        <v>CI</v>
      </c>
      <c r="D79">
        <f>'rockfish harvests'!D78</f>
        <v>911</v>
      </c>
      <c r="E79">
        <v>102</v>
      </c>
      <c r="F79" t="s">
        <v>159</v>
      </c>
      <c r="G79" s="38">
        <v>0.38039261820948833</v>
      </c>
      <c r="H79" s="39">
        <v>1.7607290722732767E-2</v>
      </c>
      <c r="I79" s="13">
        <f t="shared" ref="I79:I85" si="94">E79*G79</f>
        <v>38.800047057367813</v>
      </c>
      <c r="J79">
        <f t="shared" si="64"/>
        <v>183.18625267931171</v>
      </c>
      <c r="K79">
        <f t="shared" si="65"/>
        <v>13.53463160486135</v>
      </c>
      <c r="L79" s="6">
        <f t="shared" si="66"/>
        <v>26.527877945528246</v>
      </c>
      <c r="N79" s="2">
        <f>'rockfish harvests'!O78</f>
        <v>634.65346126205668</v>
      </c>
      <c r="O79">
        <f>'rockfish harvests'!P78</f>
        <v>37160.4054962316</v>
      </c>
      <c r="P79">
        <f>IF([1]species_comp_Region2_forR!$D89&gt;49,[1]species_comp_Region2_forR!$J89,[1]species_comp_Region2_forR!$L89)</f>
        <v>0</v>
      </c>
      <c r="Q79">
        <f>IF([1]species_comp_Region2_forR!$D89&gt;49,[1]species_comp_Region2_forR!$K89,[1]species_comp_Region2_forR!$M89)</f>
        <v>0</v>
      </c>
      <c r="T79" s="13">
        <f t="shared" ref="T79:T98" si="95">N79*P79</f>
        <v>0</v>
      </c>
      <c r="U79" s="14">
        <f t="shared" ref="U79:U98" si="96">(N79^2)*Q79+(P79^2)*O79-(Q79*O79)</f>
        <v>0</v>
      </c>
      <c r="V79">
        <f t="shared" si="67"/>
        <v>0</v>
      </c>
      <c r="W79" s="6">
        <f t="shared" si="68"/>
        <v>0</v>
      </c>
      <c r="Y79" s="13">
        <f t="shared" si="62"/>
        <v>38.800047057367813</v>
      </c>
      <c r="Z79">
        <f t="shared" si="63"/>
        <v>183.18625267931171</v>
      </c>
      <c r="AA79">
        <f t="shared" si="69"/>
        <v>13.53463160486135</v>
      </c>
      <c r="AB79" s="6">
        <f t="shared" si="70"/>
        <v>26.527877945528246</v>
      </c>
      <c r="AC79" s="14">
        <f t="shared" ref="AC79:AC99" si="97">AA79/Y79</f>
        <v>0.34883028839758157</v>
      </c>
    </row>
    <row r="80" spans="1:29" hidden="1" x14ac:dyDescent="0.25">
      <c r="A80" t="str">
        <f>'rockfish harvests'!A79</f>
        <v>SC</v>
      </c>
      <c r="B80">
        <f>'rockfish harvests'!B79</f>
        <v>2000</v>
      </c>
      <c r="C80" t="str">
        <f>'rockfish harvests'!C79</f>
        <v>CI</v>
      </c>
      <c r="D80">
        <f>'rockfish harvests'!D79</f>
        <v>1400</v>
      </c>
      <c r="E80">
        <v>175</v>
      </c>
      <c r="F80" t="s">
        <v>159</v>
      </c>
      <c r="G80" s="38">
        <v>0.38039261820948833</v>
      </c>
      <c r="H80" s="39">
        <v>1.7607290722732767E-2</v>
      </c>
      <c r="I80" s="13">
        <f t="shared" si="94"/>
        <v>66.568708186660459</v>
      </c>
      <c r="J80">
        <f t="shared" si="64"/>
        <v>539.22327838369097</v>
      </c>
      <c r="K80">
        <f t="shared" si="65"/>
        <v>23.221181675007216</v>
      </c>
      <c r="L80" s="6">
        <f t="shared" si="66"/>
        <v>45.513516083014146</v>
      </c>
      <c r="N80" s="2">
        <f>'rockfish harvests'!O79</f>
        <v>975.31816220294104</v>
      </c>
      <c r="O80">
        <f>'rockfish harvests'!P79</f>
        <v>87760.635979344952</v>
      </c>
      <c r="P80" s="32">
        <v>1.6675855999999999E-2</v>
      </c>
      <c r="Q80" s="32">
        <v>3.3094100000000002E-4</v>
      </c>
      <c r="T80" s="13">
        <f t="shared" si="95"/>
        <v>16.264265227080887</v>
      </c>
      <c r="U80" s="14">
        <f t="shared" si="96"/>
        <v>310.16739409038439</v>
      </c>
      <c r="V80">
        <f t="shared" si="67"/>
        <v>17.611569892839888</v>
      </c>
      <c r="W80" s="6">
        <f t="shared" si="68"/>
        <v>34.518676989966181</v>
      </c>
      <c r="Y80" s="13">
        <f t="shared" si="62"/>
        <v>82.832973413741342</v>
      </c>
      <c r="Z80">
        <f t="shared" si="63"/>
        <v>849.39067247407536</v>
      </c>
      <c r="AA80">
        <f t="shared" si="69"/>
        <v>29.144307719931785</v>
      </c>
      <c r="AB80" s="6">
        <f t="shared" si="70"/>
        <v>57.122843131066297</v>
      </c>
      <c r="AC80" s="14">
        <f t="shared" si="97"/>
        <v>0.3518442779345764</v>
      </c>
    </row>
    <row r="81" spans="1:29" hidden="1" x14ac:dyDescent="0.25">
      <c r="A81" t="str">
        <f>'rockfish harvests'!A80</f>
        <v>SC</v>
      </c>
      <c r="B81">
        <f>'rockfish harvests'!B80</f>
        <v>2001</v>
      </c>
      <c r="C81" t="str">
        <f>'rockfish harvests'!C80</f>
        <v>CI</v>
      </c>
      <c r="D81">
        <f>'rockfish harvests'!D80</f>
        <v>763</v>
      </c>
      <c r="E81">
        <v>69</v>
      </c>
      <c r="F81" t="s">
        <v>159</v>
      </c>
      <c r="G81" s="38">
        <v>0.38039261820948833</v>
      </c>
      <c r="H81" s="39">
        <v>1.7607290722732767E-2</v>
      </c>
      <c r="I81" s="13">
        <f t="shared" si="94"/>
        <v>26.247090656454695</v>
      </c>
      <c r="J81">
        <f t="shared" si="64"/>
        <v>83.8283111309307</v>
      </c>
      <c r="K81">
        <f t="shared" si="65"/>
        <v>9.1557802032885593</v>
      </c>
      <c r="L81" s="6">
        <f t="shared" si="66"/>
        <v>17.945329198445577</v>
      </c>
      <c r="N81" s="2">
        <f>'rockfish harvests'!O80</f>
        <v>531.54839840060276</v>
      </c>
      <c r="O81">
        <f>'rockfish harvests'!P80</f>
        <v>26067.102901764931</v>
      </c>
      <c r="P81">
        <f>IF([1]species_comp_Region2_forR!$D91&gt;49,[1]species_comp_Region2_forR!$J91,[1]species_comp_Region2_forR!$L91)</f>
        <v>0</v>
      </c>
      <c r="Q81">
        <f>IF([1]species_comp_Region2_forR!$D91&gt;49,[1]species_comp_Region2_forR!$K91,[1]species_comp_Region2_forR!$M91)</f>
        <v>0</v>
      </c>
      <c r="T81" s="13">
        <f t="shared" si="95"/>
        <v>0</v>
      </c>
      <c r="U81" s="14">
        <f t="shared" si="96"/>
        <v>0</v>
      </c>
      <c r="V81">
        <f t="shared" si="67"/>
        <v>0</v>
      </c>
      <c r="W81" s="6">
        <f t="shared" si="68"/>
        <v>0</v>
      </c>
      <c r="Y81" s="13">
        <f t="shared" si="62"/>
        <v>26.247090656454695</v>
      </c>
      <c r="Z81">
        <f t="shared" si="63"/>
        <v>83.8283111309307</v>
      </c>
      <c r="AA81">
        <f t="shared" si="69"/>
        <v>9.1557802032885593</v>
      </c>
      <c r="AB81" s="6">
        <f t="shared" si="70"/>
        <v>17.945329198445577</v>
      </c>
      <c r="AC81" s="14">
        <f t="shared" si="97"/>
        <v>0.34883028839758157</v>
      </c>
    </row>
    <row r="82" spans="1:29" hidden="1" x14ac:dyDescent="0.25">
      <c r="A82" t="str">
        <f>'rockfish harvests'!A81</f>
        <v>SC</v>
      </c>
      <c r="B82">
        <f>'rockfish harvests'!B81</f>
        <v>2002</v>
      </c>
      <c r="C82" t="str">
        <f>'rockfish harvests'!C81</f>
        <v>CI</v>
      </c>
      <c r="D82">
        <f>'rockfish harvests'!D81</f>
        <v>2378</v>
      </c>
      <c r="E82">
        <v>271</v>
      </c>
      <c r="F82" t="s">
        <v>159</v>
      </c>
      <c r="G82" s="38">
        <v>0.38039261820948833</v>
      </c>
      <c r="H82" s="39">
        <v>1.7607290722732767E-2</v>
      </c>
      <c r="I82" s="13">
        <f t="shared" si="94"/>
        <v>103.08639953477133</v>
      </c>
      <c r="J82">
        <f t="shared" si="64"/>
        <v>1293.0970379682171</v>
      </c>
      <c r="K82">
        <f t="shared" si="65"/>
        <v>35.959658479582608</v>
      </c>
      <c r="L82" s="6">
        <f t="shared" si="66"/>
        <v>70.480930619981905</v>
      </c>
      <c r="N82" s="2">
        <f>'rockfish harvests'!O81</f>
        <v>1656.6475640847098</v>
      </c>
      <c r="O82">
        <f>'rockfish harvests'!P81</f>
        <v>253202.15113746023</v>
      </c>
      <c r="P82" s="32">
        <v>1.6675855999999999E-2</v>
      </c>
      <c r="Q82" s="32">
        <v>3.3094100000000002E-4</v>
      </c>
      <c r="T82" s="13">
        <f t="shared" si="95"/>
        <v>27.626016221427392</v>
      </c>
      <c r="U82" s="14">
        <f t="shared" si="96"/>
        <v>894.87787457316779</v>
      </c>
      <c r="V82">
        <f t="shared" si="67"/>
        <v>29.914509432266605</v>
      </c>
      <c r="W82" s="6">
        <f t="shared" si="68"/>
        <v>58.632438487242545</v>
      </c>
      <c r="Y82" s="13">
        <f t="shared" si="62"/>
        <v>130.71241575619871</v>
      </c>
      <c r="Z82">
        <f t="shared" si="63"/>
        <v>2187.974912541385</v>
      </c>
      <c r="AA82">
        <f t="shared" si="69"/>
        <v>46.775794087769214</v>
      </c>
      <c r="AB82" s="6">
        <f t="shared" si="70"/>
        <v>91.680556412027656</v>
      </c>
      <c r="AC82" s="14">
        <f t="shared" si="97"/>
        <v>0.35785272437328502</v>
      </c>
    </row>
    <row r="83" spans="1:29" hidden="1" x14ac:dyDescent="0.25">
      <c r="A83" t="str">
        <f>'rockfish harvests'!A82</f>
        <v>SC</v>
      </c>
      <c r="B83">
        <f>'rockfish harvests'!B82</f>
        <v>2003</v>
      </c>
      <c r="C83" t="str">
        <f>'rockfish harvests'!C82</f>
        <v>CI</v>
      </c>
      <c r="D83">
        <f>'rockfish harvests'!D82</f>
        <v>4623</v>
      </c>
      <c r="E83">
        <v>376</v>
      </c>
      <c r="F83" t="s">
        <v>159</v>
      </c>
      <c r="G83" s="38">
        <v>0.38039261820948833</v>
      </c>
      <c r="H83" s="39">
        <v>1.7607290722732767E-2</v>
      </c>
      <c r="I83" s="13">
        <f t="shared" si="94"/>
        <v>143.02762444676762</v>
      </c>
      <c r="J83">
        <f t="shared" si="64"/>
        <v>2489.2483332170677</v>
      </c>
      <c r="K83">
        <f t="shared" si="65"/>
        <v>49.892367484586934</v>
      </c>
      <c r="L83" s="6">
        <f t="shared" si="66"/>
        <v>97.789040269790391</v>
      </c>
      <c r="N83" s="2">
        <f>'rockfish harvests'!O82</f>
        <v>3220.6399027601401</v>
      </c>
      <c r="O83">
        <f>'rockfish harvests'!P82</f>
        <v>956954.91493500082</v>
      </c>
      <c r="P83" s="32">
        <v>1.6675855999999999E-2</v>
      </c>
      <c r="Q83" s="32">
        <v>3.3094100000000002E-4</v>
      </c>
      <c r="T83" s="13">
        <f t="shared" si="95"/>
        <v>53.706927246282099</v>
      </c>
      <c r="U83" s="14">
        <f t="shared" si="96"/>
        <v>3382.1109990273126</v>
      </c>
      <c r="V83">
        <f t="shared" si="67"/>
        <v>58.155919724713428</v>
      </c>
      <c r="W83" s="6">
        <f t="shared" si="68"/>
        <v>113.98560266043832</v>
      </c>
      <c r="Y83" s="13">
        <f t="shared" si="62"/>
        <v>196.73455169304972</v>
      </c>
      <c r="Z83">
        <f t="shared" si="63"/>
        <v>5871.3593322443803</v>
      </c>
      <c r="AA83">
        <f t="shared" si="69"/>
        <v>76.62479580556402</v>
      </c>
      <c r="AB83" s="6">
        <f t="shared" si="70"/>
        <v>150.18459977890546</v>
      </c>
      <c r="AC83" s="14">
        <f t="shared" si="97"/>
        <v>0.3894831647321208</v>
      </c>
    </row>
    <row r="84" spans="1:29" hidden="1" x14ac:dyDescent="0.25">
      <c r="A84" t="str">
        <f>'rockfish harvests'!A83</f>
        <v>SC</v>
      </c>
      <c r="B84">
        <f>'rockfish harvests'!B83</f>
        <v>2004</v>
      </c>
      <c r="C84" t="str">
        <f>'rockfish harvests'!C83</f>
        <v>CI</v>
      </c>
      <c r="D84">
        <f>'rockfish harvests'!D83</f>
        <v>4736</v>
      </c>
      <c r="E84">
        <v>266</v>
      </c>
      <c r="F84" t="s">
        <v>159</v>
      </c>
      <c r="G84" s="38">
        <v>0.38039261820948833</v>
      </c>
      <c r="H84" s="39">
        <v>1.7607290722732767E-2</v>
      </c>
      <c r="I84" s="13">
        <f t="shared" si="94"/>
        <v>101.1844364437239</v>
      </c>
      <c r="J84">
        <f t="shared" si="64"/>
        <v>1245.8214623776796</v>
      </c>
      <c r="K84">
        <f t="shared" si="65"/>
        <v>35.296196146010971</v>
      </c>
      <c r="L84" s="6">
        <f t="shared" si="66"/>
        <v>69.1805444461815</v>
      </c>
      <c r="N84" s="2">
        <f>'rockfish harvests'!O83</f>
        <v>3299.3620115665199</v>
      </c>
      <c r="O84">
        <f>'rockfish harvests'!P83</f>
        <v>1004308.3600935558</v>
      </c>
      <c r="P84" s="32">
        <v>1.6675855999999999E-2</v>
      </c>
      <c r="Q84" s="32">
        <v>3.3094100000000002E-4</v>
      </c>
      <c r="T84" s="13">
        <f t="shared" si="95"/>
        <v>55.01968579675362</v>
      </c>
      <c r="U84" s="14">
        <f t="shared" si="96"/>
        <v>3549.4695706936304</v>
      </c>
      <c r="V84">
        <f t="shared" si="67"/>
        <v>59.57742500892121</v>
      </c>
      <c r="W84" s="6">
        <f t="shared" si="68"/>
        <v>116.77175301748557</v>
      </c>
      <c r="Y84" s="13">
        <f t="shared" si="62"/>
        <v>156.20412224047752</v>
      </c>
      <c r="Z84">
        <f t="shared" si="63"/>
        <v>4795.2910330713103</v>
      </c>
      <c r="AA84">
        <f t="shared" si="69"/>
        <v>69.248039922233971</v>
      </c>
      <c r="AB84" s="6">
        <f t="shared" si="70"/>
        <v>135.72615824757858</v>
      </c>
      <c r="AC84" s="14">
        <f t="shared" si="97"/>
        <v>0.44331762138534381</v>
      </c>
    </row>
    <row r="85" spans="1:29" hidden="1" x14ac:dyDescent="0.25">
      <c r="A85" t="str">
        <f>'rockfish harvests'!A84</f>
        <v>SC</v>
      </c>
      <c r="B85">
        <f>'rockfish harvests'!B84</f>
        <v>2005</v>
      </c>
      <c r="C85" t="str">
        <f>'rockfish harvests'!C84</f>
        <v>CI</v>
      </c>
      <c r="D85">
        <f>'rockfish harvests'!D84</f>
        <v>3615</v>
      </c>
      <c r="E85">
        <v>155</v>
      </c>
      <c r="F85" t="s">
        <v>159</v>
      </c>
      <c r="G85" s="38">
        <v>0.38039261820948833</v>
      </c>
      <c r="H85" s="39">
        <v>1.7607290722732767E-2</v>
      </c>
      <c r="I85" s="13">
        <f t="shared" si="94"/>
        <v>58.960855822470691</v>
      </c>
      <c r="J85">
        <f t="shared" si="64"/>
        <v>423.0151596136547</v>
      </c>
      <c r="K85">
        <f t="shared" si="65"/>
        <v>20.567332340720679</v>
      </c>
      <c r="L85" s="6">
        <f t="shared" si="66"/>
        <v>40.311971387812527</v>
      </c>
      <c r="N85" s="2">
        <f>'rockfish harvests'!O84</f>
        <v>2518.4108259740224</v>
      </c>
      <c r="O85">
        <f>'rockfish harvests'!P84</f>
        <v>585140.68220468122</v>
      </c>
      <c r="P85" s="32">
        <v>1.6675855999999999E-2</v>
      </c>
      <c r="Q85" s="32">
        <v>3.3094100000000002E-4</v>
      </c>
      <c r="T85" s="13">
        <f t="shared" si="95"/>
        <v>41.996656282783853</v>
      </c>
      <c r="U85" s="14">
        <f t="shared" si="96"/>
        <v>2068.0292314473531</v>
      </c>
      <c r="V85">
        <f t="shared" si="67"/>
        <v>45.475589401868703</v>
      </c>
      <c r="W85" s="6">
        <f t="shared" si="68"/>
        <v>89.132155227662651</v>
      </c>
      <c r="Y85" s="13">
        <f t="shared" si="62"/>
        <v>100.95751210525455</v>
      </c>
      <c r="Z85">
        <f t="shared" si="63"/>
        <v>2491.0443910610079</v>
      </c>
      <c r="AA85">
        <f t="shared" si="69"/>
        <v>49.910363563702958</v>
      </c>
      <c r="AB85" s="6">
        <f t="shared" si="70"/>
        <v>97.824312584857793</v>
      </c>
      <c r="AC85" s="14">
        <f t="shared" si="97"/>
        <v>0.49436998320311487</v>
      </c>
    </row>
    <row r="86" spans="1:29" hidden="1" x14ac:dyDescent="0.25">
      <c r="A86" t="str">
        <f>'rockfish harvests'!A85</f>
        <v>SC</v>
      </c>
      <c r="B86">
        <f>'rockfish harvests'!B85</f>
        <v>2006</v>
      </c>
      <c r="C86" t="str">
        <f>'rockfish harvests'!C85</f>
        <v>CI</v>
      </c>
      <c r="D86">
        <f>'rockfish harvests'!D85</f>
        <v>2463</v>
      </c>
      <c r="E86">
        <v>213</v>
      </c>
      <c r="F86">
        <v>98</v>
      </c>
      <c r="I86" s="13">
        <f>F86</f>
        <v>98</v>
      </c>
      <c r="J86">
        <f t="shared" si="64"/>
        <v>0</v>
      </c>
      <c r="K86">
        <f t="shared" si="65"/>
        <v>0</v>
      </c>
      <c r="L86" s="6">
        <f t="shared" si="66"/>
        <v>0</v>
      </c>
      <c r="N86" s="2">
        <f>'rockfish harvests'!O85</f>
        <v>1715.8633096470312</v>
      </c>
      <c r="O86">
        <f>'rockfish harvests'!P85</f>
        <v>271626.73547213408</v>
      </c>
      <c r="P86" s="32">
        <v>1.6675855999999999E-2</v>
      </c>
      <c r="Q86" s="32">
        <v>3.3094100000000002E-4</v>
      </c>
      <c r="T86" s="13">
        <f t="shared" si="95"/>
        <v>28.613489467357301</v>
      </c>
      <c r="U86" s="14">
        <f t="shared" si="96"/>
        <v>959.99482873504633</v>
      </c>
      <c r="V86">
        <f t="shared" si="67"/>
        <v>30.983783318617601</v>
      </c>
      <c r="W86" s="6">
        <f t="shared" si="68"/>
        <v>60.728215304490497</v>
      </c>
      <c r="Y86" s="13">
        <f t="shared" si="62"/>
        <v>126.6134894673573</v>
      </c>
      <c r="Z86">
        <f t="shared" si="63"/>
        <v>959.99482873504633</v>
      </c>
      <c r="AA86">
        <f t="shared" si="69"/>
        <v>30.983783318617601</v>
      </c>
      <c r="AB86" s="6">
        <f t="shared" si="70"/>
        <v>60.728215304490497</v>
      </c>
      <c r="AC86" s="14">
        <f t="shared" si="97"/>
        <v>0.24471155047508306</v>
      </c>
    </row>
    <row r="87" spans="1:29" hidden="1" x14ac:dyDescent="0.25">
      <c r="A87" t="str">
        <f>'rockfish harvests'!A86</f>
        <v>SC</v>
      </c>
      <c r="B87">
        <f>'rockfish harvests'!B86</f>
        <v>2007</v>
      </c>
      <c r="C87" t="str">
        <f>'rockfish harvests'!C86</f>
        <v>CI</v>
      </c>
      <c r="D87">
        <f>'rockfish harvests'!D86</f>
        <v>2559</v>
      </c>
      <c r="E87">
        <v>194</v>
      </c>
      <c r="F87">
        <v>94</v>
      </c>
      <c r="I87" s="13">
        <f t="shared" ref="I87:I98" si="98">F87</f>
        <v>94</v>
      </c>
      <c r="J87">
        <f t="shared" si="64"/>
        <v>0</v>
      </c>
      <c r="K87">
        <f t="shared" si="65"/>
        <v>0</v>
      </c>
      <c r="L87" s="6">
        <f t="shared" si="66"/>
        <v>0</v>
      </c>
      <c r="N87" s="2">
        <f>'rockfish harvests'!O86</f>
        <v>1782.7422693409471</v>
      </c>
      <c r="O87">
        <f>'rockfish harvests'!P86</f>
        <v>293213.70268298819</v>
      </c>
      <c r="P87" s="32">
        <v>1.6675855999999999E-2</v>
      </c>
      <c r="Q87" s="32">
        <v>3.3094100000000002E-4</v>
      </c>
      <c r="T87" s="13">
        <f t="shared" si="95"/>
        <v>29.728753368642849</v>
      </c>
      <c r="U87" s="14">
        <f t="shared" si="96"/>
        <v>1036.288411745099</v>
      </c>
      <c r="V87">
        <f t="shared" si="67"/>
        <v>32.191433825555194</v>
      </c>
      <c r="W87" s="6">
        <f t="shared" si="68"/>
        <v>63.095210298088176</v>
      </c>
      <c r="Y87" s="13">
        <f t="shared" si="62"/>
        <v>123.72875336864286</v>
      </c>
      <c r="Z87">
        <f t="shared" si="63"/>
        <v>1036.288411745099</v>
      </c>
      <c r="AA87">
        <f t="shared" si="69"/>
        <v>32.191433825555194</v>
      </c>
      <c r="AB87" s="6">
        <f t="shared" si="70"/>
        <v>63.095210298088176</v>
      </c>
      <c r="AC87" s="14">
        <f t="shared" si="97"/>
        <v>0.26017746844698764</v>
      </c>
    </row>
    <row r="88" spans="1:29" hidden="1" x14ac:dyDescent="0.25">
      <c r="A88" t="str">
        <f>'rockfish harvests'!A87</f>
        <v>SC</v>
      </c>
      <c r="B88">
        <f>'rockfish harvests'!B87</f>
        <v>2008</v>
      </c>
      <c r="C88" t="str">
        <f>'rockfish harvests'!C87</f>
        <v>CI</v>
      </c>
      <c r="D88">
        <f>'rockfish harvests'!D87</f>
        <v>2163</v>
      </c>
      <c r="E88">
        <v>157</v>
      </c>
      <c r="F88">
        <v>96</v>
      </c>
      <c r="I88" s="13">
        <f t="shared" si="98"/>
        <v>96</v>
      </c>
      <c r="J88">
        <f t="shared" si="64"/>
        <v>0</v>
      </c>
      <c r="K88">
        <f t="shared" si="65"/>
        <v>0</v>
      </c>
      <c r="L88" s="6">
        <f t="shared" si="66"/>
        <v>0</v>
      </c>
      <c r="N88" s="2">
        <f>'rockfish harvests'!O87</f>
        <v>1506.8665606035438</v>
      </c>
      <c r="O88">
        <f>'rockfish harvests'!P87</f>
        <v>209486.83209859589</v>
      </c>
      <c r="P88" s="32">
        <v>1.6675855999999999E-2</v>
      </c>
      <c r="Q88" s="32">
        <v>3.3094100000000002E-4</v>
      </c>
      <c r="T88" s="13">
        <f t="shared" si="95"/>
        <v>25.128289775839967</v>
      </c>
      <c r="U88" s="14">
        <f t="shared" si="96"/>
        <v>740.37732387859967</v>
      </c>
      <c r="V88">
        <f t="shared" si="67"/>
        <v>27.209875484437624</v>
      </c>
      <c r="W88" s="6">
        <f t="shared" si="68"/>
        <v>53.331355949497741</v>
      </c>
      <c r="Y88" s="13">
        <f t="shared" si="62"/>
        <v>121.12828977583996</v>
      </c>
      <c r="Z88">
        <f t="shared" si="63"/>
        <v>740.37732387859967</v>
      </c>
      <c r="AA88">
        <f t="shared" si="69"/>
        <v>27.209875484437624</v>
      </c>
      <c r="AB88" s="6">
        <f t="shared" si="70"/>
        <v>53.331355949497741</v>
      </c>
      <c r="AC88" s="14">
        <f t="shared" si="97"/>
        <v>0.22463683368098589</v>
      </c>
    </row>
    <row r="89" spans="1:29" hidden="1" x14ac:dyDescent="0.25">
      <c r="A89" t="str">
        <f>'rockfish harvests'!A88</f>
        <v>SC</v>
      </c>
      <c r="B89">
        <f>'rockfish harvests'!B88</f>
        <v>2009</v>
      </c>
      <c r="C89" t="str">
        <f>'rockfish harvests'!C88</f>
        <v>CI</v>
      </c>
      <c r="D89">
        <f>'rockfish harvests'!D88</f>
        <v>2918</v>
      </c>
      <c r="E89">
        <v>256</v>
      </c>
      <c r="F89">
        <v>142</v>
      </c>
      <c r="I89" s="13">
        <f t="shared" si="98"/>
        <v>142</v>
      </c>
      <c r="J89">
        <f t="shared" si="64"/>
        <v>0</v>
      </c>
      <c r="K89">
        <f t="shared" si="65"/>
        <v>0</v>
      </c>
      <c r="L89" s="6">
        <f t="shared" si="66"/>
        <v>0</v>
      </c>
      <c r="N89" s="2">
        <f>'rockfish harvests'!O88</f>
        <v>2032.841712362987</v>
      </c>
      <c r="O89">
        <f>'rockfish harvests'!P88</f>
        <v>381253.87419826118</v>
      </c>
      <c r="P89">
        <f>IF([1]species_comp_Region2_forR!$D99&gt;49,[1]species_comp_Region2_forR!$J99,[1]species_comp_Region2_forR!$L99)</f>
        <v>0</v>
      </c>
      <c r="Q89">
        <f>IF([1]species_comp_Region2_forR!$D99&gt;49,[1]species_comp_Region2_forR!$K99,[1]species_comp_Region2_forR!$M99)</f>
        <v>0</v>
      </c>
      <c r="T89" s="13">
        <f t="shared" si="95"/>
        <v>0</v>
      </c>
      <c r="U89" s="14">
        <f t="shared" si="96"/>
        <v>0</v>
      </c>
      <c r="V89">
        <f t="shared" si="67"/>
        <v>0</v>
      </c>
      <c r="W89" s="6">
        <f t="shared" si="68"/>
        <v>0</v>
      </c>
      <c r="Y89" s="13">
        <f t="shared" si="62"/>
        <v>142</v>
      </c>
      <c r="Z89">
        <f t="shared" si="63"/>
        <v>0</v>
      </c>
      <c r="AA89">
        <f t="shared" si="69"/>
        <v>0</v>
      </c>
      <c r="AB89" s="6">
        <f t="shared" si="70"/>
        <v>0</v>
      </c>
      <c r="AC89" s="14">
        <f t="shared" si="97"/>
        <v>0</v>
      </c>
    </row>
    <row r="90" spans="1:29" hidden="1" x14ac:dyDescent="0.25">
      <c r="A90" t="str">
        <f>'rockfish harvests'!A89</f>
        <v>SC</v>
      </c>
      <c r="B90">
        <f>'rockfish harvests'!B89</f>
        <v>2010</v>
      </c>
      <c r="C90" t="str">
        <f>'rockfish harvests'!C89</f>
        <v>CI</v>
      </c>
      <c r="D90">
        <f>'rockfish harvests'!D89</f>
        <v>4422</v>
      </c>
      <c r="E90">
        <v>1173</v>
      </c>
      <c r="F90">
        <v>185</v>
      </c>
      <c r="I90" s="13">
        <f t="shared" si="98"/>
        <v>185</v>
      </c>
      <c r="J90">
        <f t="shared" si="64"/>
        <v>0</v>
      </c>
      <c r="K90">
        <f t="shared" si="65"/>
        <v>0</v>
      </c>
      <c r="L90" s="6">
        <f t="shared" si="66"/>
        <v>0</v>
      </c>
      <c r="N90" s="2">
        <f>'rockfish harvests'!O89</f>
        <v>3080.6120809010035</v>
      </c>
      <c r="O90">
        <f>'rockfish harvests'!P89</f>
        <v>875550.43256812927</v>
      </c>
      <c r="P90">
        <f>IF([1]species_comp_Region2_forR!$D100&gt;49,[1]species_comp_Region2_forR!$J100,[1]species_comp_Region2_forR!$L100)</f>
        <v>0</v>
      </c>
      <c r="Q90">
        <f>IF([1]species_comp_Region2_forR!$D100&gt;49,[1]species_comp_Region2_forR!$K100,[1]species_comp_Region2_forR!$M100)</f>
        <v>0</v>
      </c>
      <c r="T90" s="13">
        <f t="shared" si="95"/>
        <v>0</v>
      </c>
      <c r="U90" s="14">
        <f t="shared" si="96"/>
        <v>0</v>
      </c>
      <c r="V90">
        <f t="shared" si="67"/>
        <v>0</v>
      </c>
      <c r="W90" s="6">
        <f t="shared" si="68"/>
        <v>0</v>
      </c>
      <c r="Y90" s="13">
        <f t="shared" si="62"/>
        <v>185</v>
      </c>
      <c r="Z90">
        <f t="shared" si="63"/>
        <v>0</v>
      </c>
      <c r="AA90">
        <f t="shared" si="69"/>
        <v>0</v>
      </c>
      <c r="AB90" s="6">
        <f t="shared" si="70"/>
        <v>0</v>
      </c>
      <c r="AC90" s="14">
        <f t="shared" si="97"/>
        <v>0</v>
      </c>
    </row>
    <row r="91" spans="1:29" hidden="1" x14ac:dyDescent="0.25">
      <c r="A91" t="str">
        <f>'rockfish harvests'!A90</f>
        <v>SC</v>
      </c>
      <c r="B91">
        <f>'rockfish harvests'!B90</f>
        <v>2011</v>
      </c>
      <c r="C91" t="str">
        <f>'rockfish harvests'!C90</f>
        <v>CI</v>
      </c>
      <c r="D91">
        <f>'rockfish harvests'!D90</f>
        <v>3046</v>
      </c>
      <c r="E91">
        <v>476</v>
      </c>
      <c r="F91">
        <v>174</v>
      </c>
      <c r="I91" s="13">
        <f t="shared" si="98"/>
        <v>174</v>
      </c>
      <c r="J91">
        <f t="shared" si="64"/>
        <v>0</v>
      </c>
      <c r="K91">
        <f t="shared" si="65"/>
        <v>0</v>
      </c>
      <c r="L91" s="6">
        <f t="shared" si="66"/>
        <v>0</v>
      </c>
      <c r="N91" s="2">
        <f>'rockfish harvests'!O90</f>
        <v>2195.2886731391591</v>
      </c>
      <c r="O91">
        <f>'rockfish harvests'!P90</f>
        <v>347241.00971171423</v>
      </c>
      <c r="P91">
        <f>IF([1]species_comp_Region2_forR!$D101&gt;49,[1]species_comp_Region2_forR!$J101,[1]species_comp_Region2_forR!$L101)</f>
        <v>0.02</v>
      </c>
      <c r="Q91">
        <f>IF([1]species_comp_Region2_forR!$D101&gt;49,[1]species_comp_Region2_forR!$K101,[1]species_comp_Region2_forR!$M101)</f>
        <v>1.3154400000000001E-4</v>
      </c>
      <c r="T91" s="13">
        <f t="shared" si="95"/>
        <v>43.905773462783181</v>
      </c>
      <c r="U91" s="14">
        <f t="shared" si="96"/>
        <v>727.16792649825948</v>
      </c>
      <c r="V91">
        <f t="shared" si="67"/>
        <v>26.966051370162809</v>
      </c>
      <c r="W91" s="6">
        <f t="shared" si="68"/>
        <v>52.853460685519103</v>
      </c>
      <c r="Y91" s="13">
        <f t="shared" si="62"/>
        <v>217.90577346278317</v>
      </c>
      <c r="Z91">
        <f t="shared" si="63"/>
        <v>727.16792649825948</v>
      </c>
      <c r="AA91">
        <f t="shared" si="69"/>
        <v>26.966051370162809</v>
      </c>
      <c r="AB91" s="6">
        <f t="shared" si="70"/>
        <v>52.853460685519103</v>
      </c>
      <c r="AC91" s="14">
        <f t="shared" si="97"/>
        <v>0.12375097245768216</v>
      </c>
    </row>
    <row r="92" spans="1:29" hidden="1" x14ac:dyDescent="0.25">
      <c r="A92" t="str">
        <f>'rockfish harvests'!A91</f>
        <v>SC</v>
      </c>
      <c r="B92">
        <f>'rockfish harvests'!B91</f>
        <v>2012</v>
      </c>
      <c r="C92" t="str">
        <f>'rockfish harvests'!C91</f>
        <v>CI</v>
      </c>
      <c r="D92">
        <f>'rockfish harvests'!D91</f>
        <v>4677</v>
      </c>
      <c r="E92">
        <v>568</v>
      </c>
      <c r="F92">
        <v>201</v>
      </c>
      <c r="I92" s="13">
        <f t="shared" si="98"/>
        <v>201</v>
      </c>
      <c r="J92">
        <f t="shared" si="64"/>
        <v>0</v>
      </c>
      <c r="K92">
        <f t="shared" si="65"/>
        <v>0</v>
      </c>
      <c r="L92" s="6">
        <f t="shared" si="66"/>
        <v>0</v>
      </c>
      <c r="N92" s="2">
        <f>'rockfish harvests'!O91</f>
        <v>5339.9412080536913</v>
      </c>
      <c r="O92">
        <f>'rockfish harvests'!P91</f>
        <v>1729256.1604569755</v>
      </c>
      <c r="P92">
        <f>IF([1]species_comp_Region2_forR!$D102&gt;49,[1]species_comp_Region2_forR!$J102,[1]species_comp_Region2_forR!$L102)</f>
        <v>1.5873016E-2</v>
      </c>
      <c r="Q92">
        <f>IF([1]species_comp_Region2_forR!$D102&gt;49,[1]species_comp_Region2_forR!$K102,[1]species_comp_Region2_forR!$M102)</f>
        <v>2.5195300000000002E-4</v>
      </c>
      <c r="T92" s="13">
        <f t="shared" si="95"/>
        <v>84.760972234495569</v>
      </c>
      <c r="U92" s="14">
        <f t="shared" si="96"/>
        <v>7184.4321390592459</v>
      </c>
      <c r="V92">
        <f t="shared" si="67"/>
        <v>84.761029601222077</v>
      </c>
      <c r="W92" s="6">
        <f t="shared" si="68"/>
        <v>166.13161801839527</v>
      </c>
      <c r="Y92" s="13">
        <f t="shared" si="62"/>
        <v>285.76097223449557</v>
      </c>
      <c r="Z92">
        <f t="shared" si="63"/>
        <v>7184.4321390592459</v>
      </c>
      <c r="AA92">
        <f t="shared" si="69"/>
        <v>84.761029601222077</v>
      </c>
      <c r="AB92" s="6">
        <f t="shared" si="70"/>
        <v>166.13161801839527</v>
      </c>
      <c r="AC92" s="14">
        <f t="shared" si="97"/>
        <v>0.29661513585440613</v>
      </c>
    </row>
    <row r="93" spans="1:29" hidden="1" x14ac:dyDescent="0.25">
      <c r="A93" t="str">
        <f>'rockfish harvests'!A92</f>
        <v>SC</v>
      </c>
      <c r="B93">
        <f>'rockfish harvests'!B92</f>
        <v>2013</v>
      </c>
      <c r="C93" t="str">
        <f>'rockfish harvests'!C92</f>
        <v>CI</v>
      </c>
      <c r="D93">
        <f>'rockfish harvests'!D92</f>
        <v>4808</v>
      </c>
      <c r="E93">
        <v>428</v>
      </c>
      <c r="F93">
        <v>162</v>
      </c>
      <c r="I93" s="13">
        <f t="shared" si="98"/>
        <v>162</v>
      </c>
      <c r="J93">
        <f t="shared" si="64"/>
        <v>0</v>
      </c>
      <c r="K93">
        <f t="shared" si="65"/>
        <v>0</v>
      </c>
      <c r="L93" s="6">
        <f t="shared" si="66"/>
        <v>0</v>
      </c>
      <c r="N93" s="2">
        <f>'rockfish harvests'!O92</f>
        <v>3482.4354718850645</v>
      </c>
      <c r="O93">
        <f>'rockfish harvests'!P92</f>
        <v>863231.70507392555</v>
      </c>
      <c r="P93">
        <f>IF([1]species_comp_Region2_forR!$D103&gt;49,[1]species_comp_Region2_forR!$J103,[1]species_comp_Region2_forR!$L103)</f>
        <v>5.1282051000000002E-2</v>
      </c>
      <c r="Q93">
        <f>IF([1]species_comp_Region2_forR!$D103&gt;49,[1]species_comp_Region2_forR!$K103,[1]species_comp_Region2_forR!$M103)</f>
        <v>6.3184700000000005E-4</v>
      </c>
      <c r="T93" s="13">
        <f t="shared" si="95"/>
        <v>178.58643347341896</v>
      </c>
      <c r="U93" s="14">
        <f t="shared" si="96"/>
        <v>9387.3724835280427</v>
      </c>
      <c r="V93">
        <f t="shared" si="67"/>
        <v>96.888453819472431</v>
      </c>
      <c r="W93" s="6">
        <f t="shared" si="68"/>
        <v>189.90136948616598</v>
      </c>
      <c r="Y93" s="13">
        <f t="shared" si="62"/>
        <v>340.58643347341899</v>
      </c>
      <c r="Z93">
        <f t="shared" si="63"/>
        <v>9387.3724835280427</v>
      </c>
      <c r="AA93">
        <f t="shared" si="69"/>
        <v>96.888453819472431</v>
      </c>
      <c r="AB93" s="6">
        <f t="shared" si="70"/>
        <v>189.90136948616598</v>
      </c>
      <c r="AC93" s="14">
        <f t="shared" si="97"/>
        <v>0.28447537628369474</v>
      </c>
    </row>
    <row r="94" spans="1:29" hidden="1" x14ac:dyDescent="0.25">
      <c r="A94" t="str">
        <f>'rockfish harvests'!A93</f>
        <v>SC</v>
      </c>
      <c r="B94">
        <f>'rockfish harvests'!B93</f>
        <v>2014</v>
      </c>
      <c r="C94" t="str">
        <f>'rockfish harvests'!C93</f>
        <v>CI</v>
      </c>
      <c r="D94">
        <f>'rockfish harvests'!D93</f>
        <v>4731</v>
      </c>
      <c r="E94">
        <v>362</v>
      </c>
      <c r="F94">
        <v>94</v>
      </c>
      <c r="I94" s="13">
        <f t="shared" si="98"/>
        <v>94</v>
      </c>
      <c r="J94">
        <f t="shared" si="64"/>
        <v>0</v>
      </c>
      <c r="K94">
        <f t="shared" si="65"/>
        <v>0</v>
      </c>
      <c r="L94" s="6">
        <f t="shared" si="66"/>
        <v>0</v>
      </c>
      <c r="N94" s="2">
        <f>'rockfish harvests'!O93</f>
        <v>3444.6502099319532</v>
      </c>
      <c r="O94">
        <f>'rockfish harvests'!P93</f>
        <v>609818.57296968682</v>
      </c>
      <c r="P94">
        <f>IF([1]species_comp_Region2_forR!$D104&gt;49,[1]species_comp_Region2_forR!$J104,[1]species_comp_Region2_forR!$L104)</f>
        <v>3.3057850999999999E-2</v>
      </c>
      <c r="Q94">
        <f>IF([1]species_comp_Region2_forR!$D104&gt;49,[1]species_comp_Region2_forR!$K104,[1]species_comp_Region2_forR!$M104)</f>
        <v>2.6637500000000001E-4</v>
      </c>
      <c r="T94" s="13">
        <f t="shared" si="95"/>
        <v>113.87273338704922</v>
      </c>
      <c r="U94" s="14">
        <f t="shared" si="96"/>
        <v>3664.6856469811887</v>
      </c>
      <c r="V94">
        <f t="shared" si="67"/>
        <v>60.536647140233896</v>
      </c>
      <c r="W94" s="6">
        <f t="shared" si="68"/>
        <v>118.65182839485843</v>
      </c>
      <c r="Y94" s="13">
        <f t="shared" si="62"/>
        <v>207.87273338704921</v>
      </c>
      <c r="Z94">
        <f t="shared" si="63"/>
        <v>3664.6856469811887</v>
      </c>
      <c r="AA94">
        <f t="shared" si="69"/>
        <v>60.536647140233896</v>
      </c>
      <c r="AB94" s="6">
        <f t="shared" si="70"/>
        <v>118.65182839485843</v>
      </c>
      <c r="AC94" s="14">
        <f t="shared" si="97"/>
        <v>0.29121975813690543</v>
      </c>
    </row>
    <row r="95" spans="1:29" hidden="1" x14ac:dyDescent="0.25">
      <c r="A95" t="str">
        <f>'rockfish harvests'!A94</f>
        <v>SC</v>
      </c>
      <c r="B95">
        <f>'rockfish harvests'!B94</f>
        <v>2015</v>
      </c>
      <c r="C95" t="str">
        <f>'rockfish harvests'!C94</f>
        <v>CI</v>
      </c>
      <c r="D95">
        <f>'rockfish harvests'!D94</f>
        <v>6321</v>
      </c>
      <c r="E95">
        <v>457</v>
      </c>
      <c r="F95">
        <v>134</v>
      </c>
      <c r="I95" s="13">
        <f t="shared" si="98"/>
        <v>134</v>
      </c>
      <c r="J95">
        <f t="shared" si="64"/>
        <v>0</v>
      </c>
      <c r="K95">
        <f t="shared" si="65"/>
        <v>0</v>
      </c>
      <c r="L95" s="6">
        <f t="shared" si="66"/>
        <v>0</v>
      </c>
      <c r="N95" s="2">
        <f>'rockfish harvests'!O94</f>
        <v>4002.3757374073521</v>
      </c>
      <c r="O95">
        <f>'rockfish harvests'!P94</f>
        <v>811336.58070905623</v>
      </c>
      <c r="P95">
        <f>IF([1]species_comp_Region2_forR!$D105&gt;49,[1]species_comp_Region2_forR!$J105,[1]species_comp_Region2_forR!$L105)</f>
        <v>2.5316456000000001E-2</v>
      </c>
      <c r="Q95">
        <f>IF([1]species_comp_Region2_forR!$D105&gt;49,[1]species_comp_Region2_forR!$K105,[1]species_comp_Region2_forR!$M105)</f>
        <v>1.57169E-4</v>
      </c>
      <c r="T95" s="13">
        <f t="shared" si="95"/>
        <v>101.32596925154078</v>
      </c>
      <c r="U95" s="14">
        <f t="shared" si="96"/>
        <v>2910.1792964165616</v>
      </c>
      <c r="V95">
        <f t="shared" si="67"/>
        <v>53.946077674067851</v>
      </c>
      <c r="W95" s="6">
        <f t="shared" si="68"/>
        <v>105.73431224117299</v>
      </c>
      <c r="Y95" s="13">
        <f t="shared" si="62"/>
        <v>235.32596925154078</v>
      </c>
      <c r="Z95">
        <f t="shared" si="63"/>
        <v>2910.1792964165616</v>
      </c>
      <c r="AA95">
        <f t="shared" si="69"/>
        <v>53.946077674067851</v>
      </c>
      <c r="AB95" s="6">
        <f t="shared" si="70"/>
        <v>105.73431224117299</v>
      </c>
      <c r="AC95" s="14">
        <f t="shared" si="97"/>
        <v>0.22923979807942357</v>
      </c>
    </row>
    <row r="96" spans="1:29" hidden="1" x14ac:dyDescent="0.25">
      <c r="A96" t="str">
        <f>'rockfish harvests'!A95</f>
        <v>SC</v>
      </c>
      <c r="B96">
        <f>'rockfish harvests'!B95</f>
        <v>2016</v>
      </c>
      <c r="C96" t="str">
        <f>'rockfish harvests'!C95</f>
        <v>CI</v>
      </c>
      <c r="D96">
        <f>'rockfish harvests'!D95</f>
        <v>10123</v>
      </c>
      <c r="E96">
        <v>779</v>
      </c>
      <c r="F96">
        <v>185</v>
      </c>
      <c r="I96" s="13">
        <f t="shared" si="98"/>
        <v>185</v>
      </c>
      <c r="J96">
        <f t="shared" si="64"/>
        <v>0</v>
      </c>
      <c r="K96">
        <f t="shared" si="65"/>
        <v>0</v>
      </c>
      <c r="L96" s="6">
        <f t="shared" si="66"/>
        <v>0</v>
      </c>
      <c r="N96" s="2">
        <f>'rockfish harvests'!O95</f>
        <v>6323.0304871660555</v>
      </c>
      <c r="O96">
        <f>'rockfish harvests'!P95</f>
        <v>1298638.7245062976</v>
      </c>
      <c r="P96">
        <f>IF([1]species_comp_Region2_forR!$D106&gt;49,[1]species_comp_Region2_forR!$J106,[1]species_comp_Region2_forR!$L106)</f>
        <v>0</v>
      </c>
      <c r="Q96">
        <f>IF([1]species_comp_Region2_forR!$D106&gt;49,[1]species_comp_Region2_forR!$K106,[1]species_comp_Region2_forR!$M106)</f>
        <v>0</v>
      </c>
      <c r="T96" s="13">
        <f t="shared" si="95"/>
        <v>0</v>
      </c>
      <c r="U96" s="14">
        <f t="shared" si="96"/>
        <v>0</v>
      </c>
      <c r="V96">
        <f t="shared" si="67"/>
        <v>0</v>
      </c>
      <c r="W96" s="6">
        <f t="shared" si="68"/>
        <v>0</v>
      </c>
      <c r="Y96" s="13">
        <f t="shared" si="62"/>
        <v>185</v>
      </c>
      <c r="Z96">
        <f t="shared" si="63"/>
        <v>0</v>
      </c>
      <c r="AA96">
        <f t="shared" si="69"/>
        <v>0</v>
      </c>
      <c r="AB96" s="6">
        <f t="shared" si="70"/>
        <v>0</v>
      </c>
      <c r="AC96" s="14">
        <f t="shared" si="97"/>
        <v>0</v>
      </c>
    </row>
    <row r="97" spans="1:29" hidden="1" x14ac:dyDescent="0.25">
      <c r="A97" t="str">
        <f>'rockfish harvests'!A96</f>
        <v>SC</v>
      </c>
      <c r="B97">
        <f>'rockfish harvests'!B96</f>
        <v>2017</v>
      </c>
      <c r="C97" t="str">
        <f>'rockfish harvests'!C96</f>
        <v>CI</v>
      </c>
      <c r="D97">
        <f>'rockfish harvests'!D96</f>
        <v>8376</v>
      </c>
      <c r="E97">
        <v>923</v>
      </c>
      <c r="F97">
        <v>391</v>
      </c>
      <c r="I97" s="13">
        <f t="shared" si="98"/>
        <v>391</v>
      </c>
      <c r="J97">
        <f t="shared" si="64"/>
        <v>0</v>
      </c>
      <c r="K97">
        <f t="shared" si="65"/>
        <v>0</v>
      </c>
      <c r="L97" s="6">
        <f t="shared" si="66"/>
        <v>0</v>
      </c>
      <c r="N97" s="2">
        <f>'rockfish harvests'!O96</f>
        <v>3322.4902609334804</v>
      </c>
      <c r="O97">
        <f>'rockfish harvests'!P96</f>
        <v>525119.78521776723</v>
      </c>
      <c r="P97">
        <f>IF([1]species_comp_Region2_forR!$D107&gt;49,[1]species_comp_Region2_forR!$J107,[1]species_comp_Region2_forR!$L107)</f>
        <v>3.7037037000000002E-2</v>
      </c>
      <c r="Q97">
        <f>IF([1]species_comp_Region2_forR!$D107&gt;49,[1]species_comp_Region2_forR!$K107,[1]species_comp_Region2_forR!$M107)</f>
        <v>4.4581599999999997E-4</v>
      </c>
      <c r="T97" s="13">
        <f t="shared" si="95"/>
        <v>123.05519472633297</v>
      </c>
      <c r="U97" s="14">
        <f t="shared" si="96"/>
        <v>5407.5588787946344</v>
      </c>
      <c r="V97">
        <f t="shared" si="67"/>
        <v>73.536105953433747</v>
      </c>
      <c r="W97" s="6">
        <f t="shared" si="68"/>
        <v>144.13076766873013</v>
      </c>
      <c r="Y97" s="13">
        <f t="shared" si="62"/>
        <v>514.05519472633296</v>
      </c>
      <c r="Z97">
        <f t="shared" si="63"/>
        <v>5407.5588787946344</v>
      </c>
      <c r="AA97">
        <f t="shared" si="69"/>
        <v>73.536105953433747</v>
      </c>
      <c r="AB97" s="6">
        <f t="shared" si="70"/>
        <v>144.13076766873013</v>
      </c>
      <c r="AC97" s="14">
        <f t="shared" si="97"/>
        <v>0.14305099278800615</v>
      </c>
    </row>
    <row r="98" spans="1:29" hidden="1" x14ac:dyDescent="0.25">
      <c r="A98" t="str">
        <f>'rockfish harvests'!A97</f>
        <v>SC</v>
      </c>
      <c r="B98">
        <f>'rockfish harvests'!B97</f>
        <v>2018</v>
      </c>
      <c r="C98" t="str">
        <f>'rockfish harvests'!C97</f>
        <v>CI</v>
      </c>
      <c r="D98">
        <f>'rockfish harvests'!D97</f>
        <v>13009</v>
      </c>
      <c r="E98">
        <v>1031</v>
      </c>
      <c r="F98">
        <v>376</v>
      </c>
      <c r="I98" s="13">
        <f t="shared" si="98"/>
        <v>376</v>
      </c>
      <c r="J98">
        <f t="shared" si="64"/>
        <v>0</v>
      </c>
      <c r="K98">
        <f t="shared" si="65"/>
        <v>0</v>
      </c>
      <c r="L98" s="6">
        <f t="shared" si="66"/>
        <v>0</v>
      </c>
      <c r="N98" s="2">
        <f>'rockfish harvests'!O97</f>
        <v>10029.600289296046</v>
      </c>
      <c r="O98">
        <f>'rockfish harvests'!P97</f>
        <v>5460886.0967642423</v>
      </c>
      <c r="P98">
        <f>IF([1]species_comp_Region2_forR!$D108&gt;49,[1]species_comp_Region2_forR!$J108,[1]species_comp_Region2_forR!$L108)</f>
        <v>1.7543860000000001E-2</v>
      </c>
      <c r="Q98">
        <f>IF([1]species_comp_Region2_forR!$D108&gt;49,[1]species_comp_Region2_forR!$K108,[1]species_comp_Region2_forR!$M108)</f>
        <v>1.01389E-4</v>
      </c>
      <c r="T98" s="13">
        <f t="shared" si="95"/>
        <v>175.95790333136935</v>
      </c>
      <c r="U98" s="14">
        <f t="shared" si="96"/>
        <v>11326.12780737217</v>
      </c>
      <c r="V98">
        <f t="shared" si="67"/>
        <v>106.42428203832135</v>
      </c>
      <c r="W98" s="6">
        <f t="shared" si="68"/>
        <v>208.59159279510985</v>
      </c>
      <c r="Y98" s="13">
        <f t="shared" si="62"/>
        <v>551.95790333136938</v>
      </c>
      <c r="Z98">
        <f t="shared" si="63"/>
        <v>11326.12780737217</v>
      </c>
      <c r="AA98">
        <f t="shared" si="69"/>
        <v>106.42428203832135</v>
      </c>
      <c r="AB98" s="6">
        <f t="shared" si="70"/>
        <v>208.59159279510985</v>
      </c>
      <c r="AC98" s="14">
        <f t="shared" si="97"/>
        <v>0.19281231665674556</v>
      </c>
    </row>
    <row r="99" spans="1:29" hidden="1" x14ac:dyDescent="0.25">
      <c r="A99" t="str">
        <f>'rockfish harvests'!A98</f>
        <v>SC</v>
      </c>
      <c r="B99">
        <f>'rockfish harvests'!B98</f>
        <v>2019</v>
      </c>
      <c r="C99" t="str">
        <f>'rockfish harvests'!C98</f>
        <v>CI</v>
      </c>
      <c r="D99">
        <f>'rockfish harvests'!D98</f>
        <v>16061</v>
      </c>
      <c r="E99">
        <v>985</v>
      </c>
      <c r="F99">
        <v>445</v>
      </c>
      <c r="I99" s="13">
        <f>F99</f>
        <v>445</v>
      </c>
      <c r="J99">
        <f>(E99^2)*H99</f>
        <v>0</v>
      </c>
      <c r="K99">
        <f>SQRT(J99)</f>
        <v>0</v>
      </c>
      <c r="L99" s="6">
        <f>(1.96*K99)</f>
        <v>0</v>
      </c>
      <c r="N99" s="2">
        <f>'rockfish harvests'!O98</f>
        <v>11565.493536535585</v>
      </c>
      <c r="O99">
        <f>'rockfish harvests'!P98</f>
        <v>7400162.779370754</v>
      </c>
      <c r="P99">
        <f>IF([1]species_comp_Region2_forR!$D109&gt;49,[1]species_comp_Region2_forR!$J109,[1]species_comp_Region2_forR!$L109)</f>
        <v>8.7719300000000007E-3</v>
      </c>
      <c r="Q99">
        <f>IF([1]species_comp_Region2_forR!$D109&gt;49,[1]species_comp_Region2_forR!$K109,[1]species_comp_Region2_forR!$M109)</f>
        <v>3.8303899999999998E-5</v>
      </c>
      <c r="T99" s="13">
        <f>N99*P99</f>
        <v>101.4516997179426</v>
      </c>
      <c r="U99" s="14">
        <f>(N99^2)*Q99+(P99^2)*O99-(Q99*O99)</f>
        <v>5409.5176310845882</v>
      </c>
      <c r="V99">
        <f>SQRT(U99)</f>
        <v>73.549423050657495</v>
      </c>
      <c r="W99" s="6">
        <f>(1.96*V99)</f>
        <v>144.15686917928869</v>
      </c>
      <c r="Y99" s="13">
        <f>T99+I99</f>
        <v>546.45169971794257</v>
      </c>
      <c r="Z99">
        <f>U99+J99</f>
        <v>5409.5176310845882</v>
      </c>
      <c r="AA99">
        <f>SQRT(Z99)</f>
        <v>73.549423050657495</v>
      </c>
      <c r="AB99" s="6">
        <f>(1.96*AA99)</f>
        <v>144.15686917928869</v>
      </c>
      <c r="AC99" s="14">
        <f t="shared" si="97"/>
        <v>0.13459455444757679</v>
      </c>
    </row>
    <row r="100" spans="1:29" hidden="1" x14ac:dyDescent="0.25">
      <c r="A100" t="str">
        <f>'rockfish harvests'!A99</f>
        <v>SC</v>
      </c>
      <c r="B100">
        <f>'rockfish harvests'!B99</f>
        <v>2020</v>
      </c>
      <c r="C100" t="str">
        <f>'rockfish harvests'!C99</f>
        <v>CI</v>
      </c>
      <c r="D100">
        <f>'rockfish harvests'!D99</f>
        <v>9784</v>
      </c>
      <c r="E100">
        <v>650</v>
      </c>
      <c r="F100">
        <v>250</v>
      </c>
      <c r="I100" s="13">
        <f t="shared" ref="I100:I102" si="99">F100</f>
        <v>250</v>
      </c>
      <c r="J100">
        <f t="shared" ref="J100:J102" si="100">(E100^2)*H100</f>
        <v>0</v>
      </c>
      <c r="K100">
        <f t="shared" ref="K100:K102" si="101">SQRT(J100)</f>
        <v>0</v>
      </c>
      <c r="L100" s="6">
        <f t="shared" ref="L100:L102" si="102">(1.96*K100)</f>
        <v>0</v>
      </c>
      <c r="N100" s="2">
        <f>'rockfish harvests'!O99</f>
        <v>10340.813008130081</v>
      </c>
      <c r="O100">
        <f>'rockfish harvests'!P99</f>
        <v>6856537.925024569</v>
      </c>
      <c r="P100" s="59">
        <v>5.2631578947368418E-2</v>
      </c>
      <c r="Q100" s="59">
        <v>6.64819944598338E-4</v>
      </c>
      <c r="T100" s="13">
        <f>N100*P100</f>
        <v>544.25331621737269</v>
      </c>
      <c r="U100" s="14">
        <f>(N100^2)*Q100+(P100^2)*O100-(Q100*O100)</f>
        <v>85525.618015528031</v>
      </c>
      <c r="V100">
        <f t="shared" ref="V100:V101" si="103">SQRT(U100)</f>
        <v>292.44763294567463</v>
      </c>
      <c r="W100" s="6">
        <f t="shared" ref="W100:W101" si="104">(1.96*V100)</f>
        <v>573.19736057352225</v>
      </c>
      <c r="Y100" s="13">
        <f t="shared" ref="Y100:Y101" si="105">T100+I100</f>
        <v>794.25331621737269</v>
      </c>
      <c r="Z100">
        <f t="shared" ref="Z100:Z101" si="106">U100+J100</f>
        <v>85525.618015528031</v>
      </c>
      <c r="AA100">
        <f t="shared" ref="AA100:AA101" si="107">SQRT(Z100)</f>
        <v>292.44763294567463</v>
      </c>
      <c r="AB100" s="6">
        <f t="shared" ref="AB100:AB101" si="108">(1.96*AA100)</f>
        <v>573.19736057352225</v>
      </c>
      <c r="AC100" s="14">
        <f t="shared" ref="AC100:AC101" si="109">AA100/Y100</f>
        <v>0.36820448460757454</v>
      </c>
    </row>
    <row r="101" spans="1:29" hidden="1" x14ac:dyDescent="0.25">
      <c r="A101" t="str">
        <f>'rockfish harvests'!A100</f>
        <v>SC</v>
      </c>
      <c r="B101">
        <f>'rockfish harvests'!B100</f>
        <v>2021</v>
      </c>
      <c r="C101" t="str">
        <f>'rockfish harvests'!C100</f>
        <v>CI</v>
      </c>
      <c r="D101">
        <f>'rockfish harvests'!D100</f>
        <v>14326</v>
      </c>
      <c r="E101">
        <v>1101</v>
      </c>
      <c r="F101">
        <v>396</v>
      </c>
      <c r="I101" s="13">
        <f t="shared" si="99"/>
        <v>396</v>
      </c>
      <c r="J101">
        <f t="shared" si="100"/>
        <v>0</v>
      </c>
      <c r="K101">
        <f t="shared" si="101"/>
        <v>0</v>
      </c>
      <c r="L101" s="6">
        <f t="shared" si="102"/>
        <v>0</v>
      </c>
      <c r="N101" s="2">
        <f>'rockfish harvests'!O100</f>
        <v>7068.2694391332043</v>
      </c>
      <c r="O101">
        <f>'rockfish harvests'!P100</f>
        <v>3061133.8312190818</v>
      </c>
      <c r="P101" s="59">
        <v>2.4390243902439025E-2</v>
      </c>
      <c r="Q101" s="59">
        <v>2.937698753681304E-4</v>
      </c>
      <c r="T101" s="13">
        <f t="shared" ref="T101" si="110">N101*P101</f>
        <v>172.39681558861474</v>
      </c>
      <c r="U101" s="14">
        <f t="shared" ref="U101" si="111">(N101^2)*Q101+(P101^2)*O101-(Q101*O101)</f>
        <v>15598.620762533759</v>
      </c>
      <c r="V101">
        <f t="shared" si="103"/>
        <v>124.89443847719465</v>
      </c>
      <c r="W101" s="6">
        <f t="shared" si="104"/>
        <v>244.79309941530153</v>
      </c>
      <c r="Y101" s="13">
        <f t="shared" si="105"/>
        <v>568.3968155886148</v>
      </c>
      <c r="Z101">
        <f t="shared" si="106"/>
        <v>15598.620762533759</v>
      </c>
      <c r="AA101">
        <f t="shared" si="107"/>
        <v>124.89443847719465</v>
      </c>
      <c r="AB101" s="6">
        <f t="shared" si="108"/>
        <v>244.79309941530153</v>
      </c>
      <c r="AC101" s="14">
        <f t="shared" si="109"/>
        <v>0.21973106648716478</v>
      </c>
    </row>
    <row r="102" spans="1:29" s="51" customFormat="1" hidden="1" x14ac:dyDescent="0.25">
      <c r="A102" s="51" t="s">
        <v>81</v>
      </c>
      <c r="B102" s="51">
        <v>2022</v>
      </c>
      <c r="C102" s="51" t="s">
        <v>47</v>
      </c>
      <c r="D102">
        <f>'rockfish harvests'!D101</f>
        <v>13586</v>
      </c>
      <c r="E102" s="51">
        <v>1122</v>
      </c>
      <c r="F102" s="51">
        <v>313</v>
      </c>
      <c r="I102" s="71">
        <f t="shared" si="99"/>
        <v>313</v>
      </c>
      <c r="J102" s="51">
        <f t="shared" si="100"/>
        <v>0</v>
      </c>
      <c r="K102" s="51">
        <f t="shared" si="101"/>
        <v>0</v>
      </c>
      <c r="L102" s="78">
        <f t="shared" si="102"/>
        <v>0</v>
      </c>
      <c r="N102" s="2">
        <f>'rockfish harvests'!O101</f>
        <v>9088.4127991764581</v>
      </c>
      <c r="O102">
        <f>'rockfish harvests'!P101</f>
        <v>3966049.882434688</v>
      </c>
      <c r="P102" s="90">
        <v>7.9365080000000001E-3</v>
      </c>
      <c r="Q102" s="86" t="s">
        <v>161</v>
      </c>
      <c r="T102" s="13">
        <f t="shared" ref="T102" si="112">N102*P102</f>
        <v>72.130260887966358</v>
      </c>
      <c r="U102" s="14">
        <f t="shared" ref="U102" si="113">(N102^2)*Q102+(P102^2)*O102-(Q102*O102)</f>
        <v>5202.7744565187268</v>
      </c>
      <c r="V102">
        <f t="shared" ref="V102" si="114">SQRT(U102)</f>
        <v>72.130260338631288</v>
      </c>
      <c r="W102" s="6">
        <f t="shared" ref="W102" si="115">(1.96*V102)</f>
        <v>141.37531026371732</v>
      </c>
      <c r="X102"/>
      <c r="Y102" s="13">
        <f t="shared" ref="Y102" si="116">T102+I102</f>
        <v>385.13026088796636</v>
      </c>
      <c r="Z102">
        <f t="shared" ref="Z102" si="117">U102+J102</f>
        <v>5202.7744565187268</v>
      </c>
      <c r="AA102">
        <f t="shared" ref="AA102" si="118">SQRT(Z102)</f>
        <v>72.130260338631288</v>
      </c>
      <c r="AB102" s="6">
        <f t="shared" ref="AB102" si="119">(1.96*AA102)</f>
        <v>141.37531026371732</v>
      </c>
      <c r="AC102" s="14">
        <f t="shared" ref="AC102" si="120">AA102/Y102</f>
        <v>0.18728795855284361</v>
      </c>
    </row>
    <row r="103" spans="1:29" hidden="1" x14ac:dyDescent="0.25">
      <c r="A103" t="str">
        <f>'rockfish harvests'!A102</f>
        <v>SC</v>
      </c>
      <c r="B103">
        <f>'rockfish harvests'!B102</f>
        <v>1998</v>
      </c>
      <c r="C103" t="str">
        <f>'rockfish harvests'!C102</f>
        <v>EASTSIDE</v>
      </c>
      <c r="D103">
        <f>'rockfish harvests'!D102</f>
        <v>157</v>
      </c>
      <c r="E103">
        <v>82</v>
      </c>
      <c r="F103" t="s">
        <v>159</v>
      </c>
      <c r="G103" s="38">
        <v>0.57747916268368715</v>
      </c>
      <c r="H103" s="39">
        <v>5.3821903983799504E-2</v>
      </c>
      <c r="I103" s="13">
        <f t="shared" ref="I103:I110" si="121">E103*G103</f>
        <v>47.353291340062349</v>
      </c>
      <c r="J103">
        <f t="shared" si="64"/>
        <v>361.89848238706787</v>
      </c>
      <c r="K103">
        <f t="shared" si="65"/>
        <v>19.023629579737612</v>
      </c>
      <c r="L103" s="6">
        <f t="shared" si="66"/>
        <v>37.286313976285719</v>
      </c>
      <c r="N103" s="2">
        <f>'rockfish harvests'!O102</f>
        <v>22.108315533666314</v>
      </c>
      <c r="O103">
        <f>'rockfish harvests'!P102</f>
        <v>350.7410435791694</v>
      </c>
      <c r="R103" s="38">
        <v>3.3428140107828103E-2</v>
      </c>
      <c r="S103" s="39">
        <v>4.3518755610624723E-4</v>
      </c>
      <c r="T103" s="13">
        <f>N103*R103</f>
        <v>0.73903986920747</v>
      </c>
      <c r="U103" s="14">
        <f>(N103^2)*S103+(R103^2)*O103-(S103*O103)</f>
        <v>0.45200406350975852</v>
      </c>
      <c r="V103">
        <f t="shared" si="67"/>
        <v>0.67231247460519317</v>
      </c>
      <c r="W103" s="6">
        <f t="shared" si="68"/>
        <v>1.3177324502261787</v>
      </c>
      <c r="Y103" s="13">
        <f t="shared" si="62"/>
        <v>48.092331209269815</v>
      </c>
      <c r="Z103">
        <f t="shared" si="63"/>
        <v>362.35048645057765</v>
      </c>
      <c r="AA103">
        <f t="shared" si="69"/>
        <v>19.035505941544546</v>
      </c>
      <c r="AB103" s="6">
        <f t="shared" si="70"/>
        <v>37.309591645427311</v>
      </c>
      <c r="AC103" s="14">
        <f>AA103/Y103</f>
        <v>0.39581167023725905</v>
      </c>
    </row>
    <row r="104" spans="1:29" hidden="1" x14ac:dyDescent="0.25">
      <c r="A104" t="str">
        <f>'rockfish harvests'!A103</f>
        <v>SC</v>
      </c>
      <c r="B104">
        <f>'rockfish harvests'!B103</f>
        <v>1999</v>
      </c>
      <c r="C104" t="str">
        <f>'rockfish harvests'!C103</f>
        <v>EASTSIDE</v>
      </c>
      <c r="D104">
        <f>'rockfish harvests'!D103</f>
        <v>121</v>
      </c>
      <c r="E104">
        <v>21</v>
      </c>
      <c r="F104" t="s">
        <v>159</v>
      </c>
      <c r="G104" s="38">
        <v>0.57747916268368715</v>
      </c>
      <c r="H104" s="39">
        <v>5.3821903983799504E-2</v>
      </c>
      <c r="I104" s="13">
        <f t="shared" si="121"/>
        <v>12.127062416357431</v>
      </c>
      <c r="J104">
        <f t="shared" si="64"/>
        <v>23.735459656855582</v>
      </c>
      <c r="K104">
        <f t="shared" si="65"/>
        <v>4.8719051362742665</v>
      </c>
      <c r="L104" s="6">
        <f t="shared" si="66"/>
        <v>9.5489340670975622</v>
      </c>
      <c r="N104" s="2">
        <f>'rockfish harvests'!O103</f>
        <v>16.687051745013036</v>
      </c>
      <c r="O104">
        <f>'rockfish harvests'!P103</f>
        <v>206.21704461477333</v>
      </c>
      <c r="R104" s="38">
        <v>3.3428140107828103E-2</v>
      </c>
      <c r="S104" s="39">
        <v>4.3518755610624723E-4</v>
      </c>
      <c r="T104" s="13">
        <f t="shared" ref="T104:T123" si="122">N104*R104</f>
        <v>0.55781710371887316</v>
      </c>
      <c r="U104" s="14">
        <f t="shared" ref="U104:U123" si="123">(N104^2)*S104+(R104^2)*O104-(S104*O104)</f>
        <v>0.26187352047613954</v>
      </c>
      <c r="V104">
        <f t="shared" si="67"/>
        <v>0.51173579167001748</v>
      </c>
      <c r="W104" s="6">
        <f t="shared" si="68"/>
        <v>1.0030021516732341</v>
      </c>
      <c r="Y104" s="13">
        <f t="shared" si="62"/>
        <v>12.684879520076304</v>
      </c>
      <c r="Z104">
        <f t="shared" si="63"/>
        <v>23.997333177331722</v>
      </c>
      <c r="AA104">
        <f t="shared" si="69"/>
        <v>4.8987072965560747</v>
      </c>
      <c r="AB104" s="6">
        <f t="shared" si="70"/>
        <v>9.6014663012499071</v>
      </c>
      <c r="AC104" s="14">
        <f t="shared" ref="AC104:AC124" si="124">AA104/Y104</f>
        <v>0.38618477131003975</v>
      </c>
    </row>
    <row r="105" spans="1:29" hidden="1" x14ac:dyDescent="0.25">
      <c r="A105" t="str">
        <f>'rockfish harvests'!A104</f>
        <v>SC</v>
      </c>
      <c r="B105">
        <f>'rockfish harvests'!B104</f>
        <v>2000</v>
      </c>
      <c r="C105" t="str">
        <f>'rockfish harvests'!C104</f>
        <v>EASTSIDE</v>
      </c>
      <c r="D105">
        <f>'rockfish harvests'!D104</f>
        <v>423</v>
      </c>
      <c r="E105">
        <v>43</v>
      </c>
      <c r="F105" t="s">
        <v>159</v>
      </c>
      <c r="G105" s="38">
        <v>0.57747916268368715</v>
      </c>
      <c r="H105" s="39">
        <v>5.3821903983799504E-2</v>
      </c>
      <c r="I105" s="13">
        <f t="shared" si="121"/>
        <v>24.831603995398549</v>
      </c>
      <c r="J105">
        <f t="shared" si="64"/>
        <v>99.516700466045279</v>
      </c>
      <c r="K105">
        <f t="shared" si="65"/>
        <v>9.9758057552282597</v>
      </c>
      <c r="L105" s="6">
        <f t="shared" si="66"/>
        <v>19.552579280247389</v>
      </c>
      <c r="N105" s="2">
        <f>'rockfish harvests'!O104</f>
        <v>58.335726348268736</v>
      </c>
      <c r="O105">
        <f>'rockfish harvests'!P104</f>
        <v>2520.1973619204136</v>
      </c>
      <c r="R105" s="38">
        <v>3.3428140107828103E-2</v>
      </c>
      <c r="S105" s="39">
        <v>4.3518755610624723E-4</v>
      </c>
      <c r="T105" s="13">
        <f t="shared" si="122"/>
        <v>1.9500548336618468</v>
      </c>
      <c r="U105" s="14">
        <f t="shared" si="123"/>
        <v>3.2003802435130928</v>
      </c>
      <c r="V105">
        <f t="shared" si="67"/>
        <v>1.7889606601356813</v>
      </c>
      <c r="W105" s="6">
        <f t="shared" si="68"/>
        <v>3.5063628938659352</v>
      </c>
      <c r="Y105" s="13">
        <f t="shared" si="62"/>
        <v>26.781658829060397</v>
      </c>
      <c r="Z105">
        <f t="shared" si="63"/>
        <v>102.71708070955837</v>
      </c>
      <c r="AA105">
        <f t="shared" si="69"/>
        <v>10.134943547428293</v>
      </c>
      <c r="AB105" s="6">
        <f t="shared" si="70"/>
        <v>19.864489352959453</v>
      </c>
      <c r="AC105" s="14">
        <f t="shared" si="124"/>
        <v>0.37842852125466586</v>
      </c>
    </row>
    <row r="106" spans="1:29" hidden="1" x14ac:dyDescent="0.25">
      <c r="A106" t="str">
        <f>'rockfish harvests'!A105</f>
        <v>SC</v>
      </c>
      <c r="B106">
        <f>'rockfish harvests'!B105</f>
        <v>2001</v>
      </c>
      <c r="C106" t="str">
        <f>'rockfish harvests'!C105</f>
        <v>EASTSIDE</v>
      </c>
      <c r="D106">
        <f>'rockfish harvests'!D105</f>
        <v>298</v>
      </c>
      <c r="E106">
        <v>67</v>
      </c>
      <c r="F106" t="s">
        <v>159</v>
      </c>
      <c r="G106" s="38">
        <v>0.57747916268368715</v>
      </c>
      <c r="H106" s="39">
        <v>5.3821903983799504E-2</v>
      </c>
      <c r="I106" s="13">
        <f t="shared" si="121"/>
        <v>38.69110389980704</v>
      </c>
      <c r="J106">
        <f t="shared" si="64"/>
        <v>241.60652698327598</v>
      </c>
      <c r="K106">
        <f t="shared" si="65"/>
        <v>15.543697339541708</v>
      </c>
      <c r="L106" s="6">
        <f t="shared" si="66"/>
        <v>30.465646785501747</v>
      </c>
      <c r="N106" s="2">
        <f>'rockfish harvests'!O105</f>
        <v>41.097036529040395</v>
      </c>
      <c r="O106">
        <f>'rockfish harvests'!P105</f>
        <v>1250.7956034403612</v>
      </c>
      <c r="R106" s="38">
        <v>3.3428140107828103E-2</v>
      </c>
      <c r="S106" s="39">
        <v>4.3518755610624723E-4</v>
      </c>
      <c r="T106" s="13">
        <f t="shared" si="122"/>
        <v>1.3737974951092919</v>
      </c>
      <c r="U106" s="14">
        <f t="shared" si="123"/>
        <v>1.5883762114857665</v>
      </c>
      <c r="V106">
        <f t="shared" si="67"/>
        <v>1.2603079827906218</v>
      </c>
      <c r="W106" s="6">
        <f t="shared" si="68"/>
        <v>2.4702036462696189</v>
      </c>
      <c r="Y106" s="13">
        <f t="shared" si="62"/>
        <v>40.064901394916333</v>
      </c>
      <c r="Z106">
        <f t="shared" si="63"/>
        <v>243.19490319476176</v>
      </c>
      <c r="AA106">
        <f t="shared" si="69"/>
        <v>15.594707537968185</v>
      </c>
      <c r="AB106" s="6">
        <f t="shared" si="70"/>
        <v>30.565626774417641</v>
      </c>
      <c r="AC106" s="14">
        <f t="shared" si="124"/>
        <v>0.38923613923949235</v>
      </c>
    </row>
    <row r="107" spans="1:29" hidden="1" x14ac:dyDescent="0.25">
      <c r="A107" t="str">
        <f>'rockfish harvests'!A106</f>
        <v>SC</v>
      </c>
      <c r="B107">
        <f>'rockfish harvests'!B106</f>
        <v>2002</v>
      </c>
      <c r="C107" t="str">
        <f>'rockfish harvests'!C106</f>
        <v>EASTSIDE</v>
      </c>
      <c r="D107">
        <f>'rockfish harvests'!D106</f>
        <v>319</v>
      </c>
      <c r="E107">
        <v>50</v>
      </c>
      <c r="F107" t="s">
        <v>159</v>
      </c>
      <c r="G107" s="38">
        <v>0.57747916268368715</v>
      </c>
      <c r="H107" s="39">
        <v>5.3821903983799504E-2</v>
      </c>
      <c r="I107" s="13">
        <f t="shared" si="121"/>
        <v>28.873958134184356</v>
      </c>
      <c r="J107">
        <f t="shared" si="64"/>
        <v>134.55475995949877</v>
      </c>
      <c r="K107">
        <f t="shared" si="65"/>
        <v>11.599774133986349</v>
      </c>
      <c r="L107" s="6">
        <f t="shared" si="66"/>
        <v>22.735557302613245</v>
      </c>
      <c r="N107" s="2">
        <f>'rockfish harvests'!O106</f>
        <v>43.993136418670758</v>
      </c>
      <c r="O107">
        <f>'rockfish harvests'!P106</f>
        <v>1433.2936737274742</v>
      </c>
      <c r="R107" s="38">
        <v>3.3428140107828103E-2</v>
      </c>
      <c r="S107" s="39">
        <v>4.3518755610624723E-4</v>
      </c>
      <c r="T107" s="13">
        <f t="shared" si="122"/>
        <v>1.4706087279861211</v>
      </c>
      <c r="U107" s="14">
        <f t="shared" si="123"/>
        <v>1.820129179507715</v>
      </c>
      <c r="V107">
        <f t="shared" si="67"/>
        <v>1.3491216325845921</v>
      </c>
      <c r="W107" s="6">
        <f t="shared" si="68"/>
        <v>2.6442783998658004</v>
      </c>
      <c r="Y107" s="13">
        <f t="shared" si="62"/>
        <v>30.344566862170478</v>
      </c>
      <c r="Z107">
        <f t="shared" si="63"/>
        <v>136.37488913900648</v>
      </c>
      <c r="AA107">
        <f t="shared" si="69"/>
        <v>11.677965967539317</v>
      </c>
      <c r="AB107" s="6">
        <f t="shared" si="70"/>
        <v>22.888813296377059</v>
      </c>
      <c r="AC107" s="14">
        <f t="shared" si="124"/>
        <v>0.38484536690150728</v>
      </c>
    </row>
    <row r="108" spans="1:29" hidden="1" x14ac:dyDescent="0.25">
      <c r="A108" t="str">
        <f>'rockfish harvests'!A107</f>
        <v>SC</v>
      </c>
      <c r="B108">
        <f>'rockfish harvests'!B107</f>
        <v>2003</v>
      </c>
      <c r="C108" t="str">
        <f>'rockfish harvests'!C107</f>
        <v>EASTSIDE</v>
      </c>
      <c r="D108">
        <f>'rockfish harvests'!D107</f>
        <v>1012</v>
      </c>
      <c r="E108">
        <v>48</v>
      </c>
      <c r="F108" t="s">
        <v>159</v>
      </c>
      <c r="G108" s="38">
        <v>0.57747916268368715</v>
      </c>
      <c r="H108" s="39">
        <v>5.3821903983799504E-2</v>
      </c>
      <c r="I108" s="13">
        <f t="shared" si="121"/>
        <v>27.718999808816982</v>
      </c>
      <c r="J108">
        <f t="shared" si="64"/>
        <v>124.00566677867405</v>
      </c>
      <c r="K108">
        <f t="shared" si="65"/>
        <v>11.135783168626896</v>
      </c>
      <c r="L108" s="6">
        <f t="shared" si="66"/>
        <v>21.826135010508715</v>
      </c>
      <c r="N108" s="2">
        <f>'rockfish harvests'!O107</f>
        <v>139.56443277647281</v>
      </c>
      <c r="O108">
        <f>'rockfish harvests'!P107</f>
        <v>14424.967484458195</v>
      </c>
      <c r="R108" s="38">
        <v>3.3428140107828103E-2</v>
      </c>
      <c r="S108" s="39">
        <v>4.3518755610624723E-4</v>
      </c>
      <c r="T108" s="13">
        <f t="shared" si="122"/>
        <v>4.6653794129214896</v>
      </c>
      <c r="U108" s="14">
        <f t="shared" si="123"/>
        <v>18.318160969504525</v>
      </c>
      <c r="V108">
        <f t="shared" si="67"/>
        <v>4.2799720757856035</v>
      </c>
      <c r="W108" s="6">
        <f t="shared" si="68"/>
        <v>8.3887452685397825</v>
      </c>
      <c r="Y108" s="13">
        <f t="shared" si="62"/>
        <v>32.38437922173847</v>
      </c>
      <c r="Z108">
        <f t="shared" si="63"/>
        <v>142.32382774817859</v>
      </c>
      <c r="AA108">
        <f t="shared" si="69"/>
        <v>11.929955060610187</v>
      </c>
      <c r="AB108" s="6">
        <f t="shared" si="70"/>
        <v>23.382711918795966</v>
      </c>
      <c r="AC108" s="14">
        <f t="shared" si="124"/>
        <v>0.36838609685629042</v>
      </c>
    </row>
    <row r="109" spans="1:29" hidden="1" x14ac:dyDescent="0.25">
      <c r="A109" t="str">
        <f>'rockfish harvests'!A108</f>
        <v>SC</v>
      </c>
      <c r="B109">
        <f>'rockfish harvests'!B108</f>
        <v>2004</v>
      </c>
      <c r="C109" t="str">
        <f>'rockfish harvests'!C108</f>
        <v>EASTSIDE</v>
      </c>
      <c r="D109">
        <f>'rockfish harvests'!D108</f>
        <v>730</v>
      </c>
      <c r="E109">
        <v>58</v>
      </c>
      <c r="F109" t="s">
        <v>159</v>
      </c>
      <c r="G109" s="38">
        <v>0.57747916268368715</v>
      </c>
      <c r="H109" s="39">
        <v>5.3821903983799504E-2</v>
      </c>
      <c r="I109" s="13">
        <f t="shared" si="121"/>
        <v>33.493791435653854</v>
      </c>
      <c r="J109">
        <f t="shared" si="64"/>
        <v>181.05688500150154</v>
      </c>
      <c r="K109">
        <f t="shared" si="65"/>
        <v>13.455737995424165</v>
      </c>
      <c r="L109" s="6">
        <f t="shared" si="66"/>
        <v>26.373246471031365</v>
      </c>
      <c r="N109" s="2">
        <f>'rockfish harvests'!O108</f>
        <v>100.67394854429358</v>
      </c>
      <c r="O109">
        <f>'rockfish harvests'!P108</f>
        <v>7505.8440731652699</v>
      </c>
      <c r="R109" s="38">
        <v>3.3428140107828103E-2</v>
      </c>
      <c r="S109" s="39">
        <v>4.3518755610624723E-4</v>
      </c>
      <c r="T109" s="13">
        <f t="shared" si="122"/>
        <v>3.3653428571469228</v>
      </c>
      <c r="U109" s="14">
        <f t="shared" si="123"/>
        <v>9.5316166287640769</v>
      </c>
      <c r="V109">
        <f t="shared" si="67"/>
        <v>3.0873316356951479</v>
      </c>
      <c r="W109" s="6">
        <f t="shared" si="68"/>
        <v>6.05117000596249</v>
      </c>
      <c r="Y109" s="13">
        <f t="shared" si="62"/>
        <v>36.859134292800775</v>
      </c>
      <c r="Z109">
        <f t="shared" si="63"/>
        <v>190.58850163026563</v>
      </c>
      <c r="AA109">
        <f t="shared" si="69"/>
        <v>13.805379445356278</v>
      </c>
      <c r="AB109" s="6">
        <f t="shared" si="70"/>
        <v>27.058543712898306</v>
      </c>
      <c r="AC109" s="14">
        <f t="shared" si="124"/>
        <v>0.37454432151578521</v>
      </c>
    </row>
    <row r="110" spans="1:29" hidden="1" x14ac:dyDescent="0.25">
      <c r="A110" t="str">
        <f>'rockfish harvests'!A109</f>
        <v>SC</v>
      </c>
      <c r="B110">
        <f>'rockfish harvests'!B109</f>
        <v>2005</v>
      </c>
      <c r="C110" t="str">
        <f>'rockfish harvests'!C109</f>
        <v>EASTSIDE</v>
      </c>
      <c r="D110">
        <f>'rockfish harvests'!D109</f>
        <v>1242</v>
      </c>
      <c r="E110">
        <v>168</v>
      </c>
      <c r="F110" t="s">
        <v>159</v>
      </c>
      <c r="G110" s="38">
        <v>0.57747916268368715</v>
      </c>
      <c r="H110" s="39">
        <v>5.3821903983799504E-2</v>
      </c>
      <c r="I110" s="13">
        <f t="shared" si="121"/>
        <v>97.016499330859446</v>
      </c>
      <c r="J110">
        <f t="shared" si="64"/>
        <v>1519.0694180387572</v>
      </c>
      <c r="K110">
        <f t="shared" si="65"/>
        <v>38.975241090194132</v>
      </c>
      <c r="L110" s="6">
        <f t="shared" si="66"/>
        <v>76.391472536780498</v>
      </c>
      <c r="N110" s="2">
        <f>'rockfish harvests'!O109</f>
        <v>171.28362204385303</v>
      </c>
      <c r="O110">
        <f>'rockfish harvests'!P109</f>
        <v>21726.862182169472</v>
      </c>
      <c r="R110" s="38">
        <v>3.3428140107828103E-2</v>
      </c>
      <c r="S110" s="39">
        <v>4.3518755610624723E-4</v>
      </c>
      <c r="T110" s="13">
        <f t="shared" si="122"/>
        <v>5.7256929158581933</v>
      </c>
      <c r="U110" s="14">
        <f t="shared" si="123"/>
        <v>27.59078377431571</v>
      </c>
      <c r="V110">
        <f t="shared" si="67"/>
        <v>5.2526930021005143</v>
      </c>
      <c r="W110" s="6">
        <f t="shared" si="68"/>
        <v>10.295278284117007</v>
      </c>
      <c r="Y110" s="13">
        <f t="shared" si="62"/>
        <v>102.74219224671764</v>
      </c>
      <c r="Z110">
        <f t="shared" si="63"/>
        <v>1546.6602018130729</v>
      </c>
      <c r="AA110">
        <f t="shared" si="69"/>
        <v>39.327601017772146</v>
      </c>
      <c r="AB110" s="6">
        <f t="shared" si="70"/>
        <v>77.082097994833404</v>
      </c>
      <c r="AC110" s="14">
        <f t="shared" si="124"/>
        <v>0.38277946146344338</v>
      </c>
    </row>
    <row r="111" spans="1:29" hidden="1" x14ac:dyDescent="0.25">
      <c r="A111" t="str">
        <f>'rockfish harvests'!A110</f>
        <v>SC</v>
      </c>
      <c r="B111">
        <f>'rockfish harvests'!B110</f>
        <v>2006</v>
      </c>
      <c r="C111" t="str">
        <f>'rockfish harvests'!C110</f>
        <v>EASTSIDE</v>
      </c>
      <c r="D111">
        <f>'rockfish harvests'!D110</f>
        <v>1516</v>
      </c>
      <c r="E111">
        <v>160</v>
      </c>
      <c r="F111">
        <v>122</v>
      </c>
      <c r="I111" s="13">
        <f>F111</f>
        <v>122</v>
      </c>
      <c r="J111">
        <f t="shared" si="64"/>
        <v>0</v>
      </c>
      <c r="K111">
        <f t="shared" si="65"/>
        <v>0</v>
      </c>
      <c r="L111" s="6">
        <f t="shared" si="66"/>
        <v>0</v>
      </c>
      <c r="N111" s="2">
        <f>'rockfish harvests'!O110</f>
        <v>209.07083012760154</v>
      </c>
      <c r="O111">
        <f>'rockfish harvests'!P110</f>
        <v>32370.709657002288</v>
      </c>
      <c r="R111" s="38">
        <v>3.3428140107828103E-2</v>
      </c>
      <c r="S111" s="39">
        <v>4.3518755610624723E-4</v>
      </c>
      <c r="T111" s="13">
        <f t="shared" si="122"/>
        <v>6.9888490019653933</v>
      </c>
      <c r="U111" s="14">
        <f t="shared" si="123"/>
        <v>41.107328029192757</v>
      </c>
      <c r="V111">
        <f t="shared" si="67"/>
        <v>6.4114996708408833</v>
      </c>
      <c r="W111" s="6">
        <f t="shared" si="68"/>
        <v>12.566539354848132</v>
      </c>
      <c r="Y111" s="13">
        <f t="shared" si="62"/>
        <v>128.98884900196541</v>
      </c>
      <c r="Z111">
        <f t="shared" si="63"/>
        <v>41.107328029192757</v>
      </c>
      <c r="AA111">
        <f t="shared" si="69"/>
        <v>6.4114996708408833</v>
      </c>
      <c r="AB111" s="6">
        <f t="shared" si="70"/>
        <v>12.566539354848132</v>
      </c>
      <c r="AC111" s="14">
        <f t="shared" si="124"/>
        <v>4.970584450089318E-2</v>
      </c>
    </row>
    <row r="112" spans="1:29" hidden="1" x14ac:dyDescent="0.25">
      <c r="A112" t="str">
        <f>'rockfish harvests'!A111</f>
        <v>SC</v>
      </c>
      <c r="B112">
        <f>'rockfish harvests'!B111</f>
        <v>2007</v>
      </c>
      <c r="C112" t="str">
        <f>'rockfish harvests'!C111</f>
        <v>EASTSIDE</v>
      </c>
      <c r="D112">
        <f>'rockfish harvests'!D111</f>
        <v>3481</v>
      </c>
      <c r="E112">
        <v>171</v>
      </c>
      <c r="F112">
        <v>108</v>
      </c>
      <c r="I112" s="13">
        <f t="shared" ref="I112:I123" si="125">F112</f>
        <v>108</v>
      </c>
      <c r="J112">
        <f t="shared" si="64"/>
        <v>0</v>
      </c>
      <c r="K112">
        <f t="shared" si="65"/>
        <v>0</v>
      </c>
      <c r="L112" s="6">
        <f t="shared" si="66"/>
        <v>0</v>
      </c>
      <c r="N112" s="2">
        <f>'rockfish harvests'!O111</f>
        <v>480.0630340858711</v>
      </c>
      <c r="O112">
        <f>'rockfish harvests'!P111</f>
        <v>170671.83757600674</v>
      </c>
      <c r="R112" s="38">
        <v>3.3428140107828103E-2</v>
      </c>
      <c r="S112" s="39">
        <v>4.3518755610624723E-4</v>
      </c>
      <c r="T112" s="13">
        <f t="shared" si="122"/>
        <v>16.047614364011558</v>
      </c>
      <c r="U112" s="14">
        <f t="shared" si="123"/>
        <v>216.7349213817551</v>
      </c>
      <c r="V112">
        <f t="shared" si="67"/>
        <v>14.721919758705218</v>
      </c>
      <c r="W112" s="6">
        <f t="shared" si="68"/>
        <v>28.854962727062226</v>
      </c>
      <c r="Y112" s="13">
        <f t="shared" si="62"/>
        <v>124.04761436401157</v>
      </c>
      <c r="Z112">
        <f t="shared" si="63"/>
        <v>216.7349213817551</v>
      </c>
      <c r="AA112">
        <f t="shared" si="69"/>
        <v>14.721919758705218</v>
      </c>
      <c r="AB112" s="6">
        <f t="shared" si="70"/>
        <v>28.854962727062226</v>
      </c>
      <c r="AC112" s="14">
        <f t="shared" si="124"/>
        <v>0.11867958794841854</v>
      </c>
    </row>
    <row r="113" spans="1:29" hidden="1" x14ac:dyDescent="0.25">
      <c r="A113" t="str">
        <f>'rockfish harvests'!A112</f>
        <v>SC</v>
      </c>
      <c r="B113">
        <f>'rockfish harvests'!B112</f>
        <v>2008</v>
      </c>
      <c r="C113" t="str">
        <f>'rockfish harvests'!C112</f>
        <v>EASTSIDE</v>
      </c>
      <c r="D113">
        <f>'rockfish harvests'!D112</f>
        <v>2311</v>
      </c>
      <c r="E113">
        <v>213</v>
      </c>
      <c r="F113">
        <v>140</v>
      </c>
      <c r="I113" s="13">
        <f t="shared" si="125"/>
        <v>140</v>
      </c>
      <c r="J113">
        <f t="shared" si="64"/>
        <v>0</v>
      </c>
      <c r="K113">
        <f t="shared" si="65"/>
        <v>0</v>
      </c>
      <c r="L113" s="6">
        <f t="shared" si="66"/>
        <v>0</v>
      </c>
      <c r="N113" s="2">
        <f>'rockfish harvests'!O112</f>
        <v>318.70889737789366</v>
      </c>
      <c r="O113">
        <f>'rockfish harvests'!P112</f>
        <v>75223.529863537799</v>
      </c>
      <c r="R113" s="38">
        <v>3.3428140107828103E-2</v>
      </c>
      <c r="S113" s="39">
        <v>4.3518755610624723E-4</v>
      </c>
      <c r="T113" s="13">
        <f t="shared" si="122"/>
        <v>10.653845675159637</v>
      </c>
      <c r="U113" s="14">
        <f t="shared" si="123"/>
        <v>95.525811771794892</v>
      </c>
      <c r="V113">
        <f t="shared" si="67"/>
        <v>9.7737306987554593</v>
      </c>
      <c r="W113" s="6">
        <f t="shared" si="68"/>
        <v>19.156512169560699</v>
      </c>
      <c r="Y113" s="13">
        <f t="shared" si="62"/>
        <v>150.65384567515963</v>
      </c>
      <c r="Z113">
        <f t="shared" si="63"/>
        <v>95.525811771794892</v>
      </c>
      <c r="AA113">
        <f t="shared" si="69"/>
        <v>9.7737306987554593</v>
      </c>
      <c r="AB113" s="6">
        <f t="shared" si="70"/>
        <v>19.156512169560699</v>
      </c>
      <c r="AC113" s="14">
        <f t="shared" si="124"/>
        <v>6.4875414596648348E-2</v>
      </c>
    </row>
    <row r="114" spans="1:29" hidden="1" x14ac:dyDescent="0.25">
      <c r="A114" t="str">
        <f>'rockfish harvests'!A113</f>
        <v>SC</v>
      </c>
      <c r="B114">
        <f>'rockfish harvests'!B113</f>
        <v>2009</v>
      </c>
      <c r="C114" t="str">
        <f>'rockfish harvests'!C113</f>
        <v>EASTSIDE</v>
      </c>
      <c r="D114">
        <f>'rockfish harvests'!D113</f>
        <v>2296</v>
      </c>
      <c r="E114">
        <v>49</v>
      </c>
      <c r="F114">
        <v>30</v>
      </c>
      <c r="I114" s="13">
        <f t="shared" si="125"/>
        <v>30</v>
      </c>
      <c r="J114">
        <f t="shared" si="64"/>
        <v>0</v>
      </c>
      <c r="K114">
        <f t="shared" si="65"/>
        <v>0</v>
      </c>
      <c r="L114" s="6">
        <f t="shared" si="66"/>
        <v>0</v>
      </c>
      <c r="N114" s="2">
        <f>'rockfish harvests'!O113</f>
        <v>316.64025459958657</v>
      </c>
      <c r="O114">
        <f>'rockfish harvests'!P113</f>
        <v>74250.19273710491</v>
      </c>
      <c r="R114" s="38">
        <v>3.3428140107828103E-2</v>
      </c>
      <c r="S114" s="39">
        <v>4.3518755610624723E-4</v>
      </c>
      <c r="T114" s="13">
        <f t="shared" si="122"/>
        <v>10.584694794533341</v>
      </c>
      <c r="U114" s="14">
        <f t="shared" si="123"/>
        <v>94.289778056030769</v>
      </c>
      <c r="V114">
        <f t="shared" si="67"/>
        <v>9.7102923774740564</v>
      </c>
      <c r="W114" s="6">
        <f t="shared" si="68"/>
        <v>19.03217305984915</v>
      </c>
      <c r="Y114" s="13">
        <f t="shared" si="62"/>
        <v>40.584694794533341</v>
      </c>
      <c r="Z114">
        <f t="shared" si="63"/>
        <v>94.289778056030769</v>
      </c>
      <c r="AA114">
        <f t="shared" si="69"/>
        <v>9.7102923774740564</v>
      </c>
      <c r="AB114" s="6">
        <f t="shared" si="70"/>
        <v>19.03217305984915</v>
      </c>
      <c r="AC114" s="14">
        <f t="shared" si="124"/>
        <v>0.23925995813530201</v>
      </c>
    </row>
    <row r="115" spans="1:29" hidden="1" x14ac:dyDescent="0.25">
      <c r="A115" t="str">
        <f>'rockfish harvests'!A114</f>
        <v>SC</v>
      </c>
      <c r="B115">
        <f>'rockfish harvests'!B114</f>
        <v>2010</v>
      </c>
      <c r="C115" t="str">
        <f>'rockfish harvests'!C114</f>
        <v>EASTSIDE</v>
      </c>
      <c r="D115">
        <f>'rockfish harvests'!D114</f>
        <v>2555</v>
      </c>
      <c r="E115">
        <v>892</v>
      </c>
      <c r="F115">
        <v>74</v>
      </c>
      <c r="I115" s="13">
        <f t="shared" si="125"/>
        <v>74</v>
      </c>
      <c r="J115">
        <f t="shared" si="64"/>
        <v>0</v>
      </c>
      <c r="K115">
        <f t="shared" si="65"/>
        <v>0</v>
      </c>
      <c r="L115" s="6">
        <f t="shared" si="66"/>
        <v>0</v>
      </c>
      <c r="N115" s="2">
        <f>'rockfish harvests'!O114</f>
        <v>352.35881990502776</v>
      </c>
      <c r="O115">
        <f>'rockfish harvests'!P114</f>
        <v>91946.589896274556</v>
      </c>
      <c r="R115" s="38">
        <v>3.3428140107828103E-2</v>
      </c>
      <c r="S115" s="39">
        <v>4.3518755610624723E-4</v>
      </c>
      <c r="T115" s="13">
        <f t="shared" si="122"/>
        <v>11.778700000014238</v>
      </c>
      <c r="U115" s="14">
        <f t="shared" si="123"/>
        <v>116.76230370236001</v>
      </c>
      <c r="V115">
        <f t="shared" si="67"/>
        <v>10.80566072493302</v>
      </c>
      <c r="W115" s="6">
        <f t="shared" si="68"/>
        <v>21.179095020868719</v>
      </c>
      <c r="Y115" s="13">
        <f t="shared" si="62"/>
        <v>85.77870000001424</v>
      </c>
      <c r="Z115">
        <f t="shared" si="63"/>
        <v>116.76230370236001</v>
      </c>
      <c r="AA115">
        <f t="shared" si="69"/>
        <v>10.80566072493302</v>
      </c>
      <c r="AB115" s="6">
        <f t="shared" si="70"/>
        <v>21.179095020868719</v>
      </c>
      <c r="AC115" s="14">
        <f t="shared" si="124"/>
        <v>0.12597137430307553</v>
      </c>
    </row>
    <row r="116" spans="1:29" hidden="1" x14ac:dyDescent="0.25">
      <c r="A116" t="str">
        <f>'rockfish harvests'!A115</f>
        <v>SC</v>
      </c>
      <c r="B116">
        <f>'rockfish harvests'!B115</f>
        <v>2011</v>
      </c>
      <c r="C116" t="str">
        <f>'rockfish harvests'!C115</f>
        <v>EASTSIDE</v>
      </c>
      <c r="D116">
        <f>'rockfish harvests'!D115</f>
        <v>1928</v>
      </c>
      <c r="E116">
        <v>75</v>
      </c>
      <c r="F116">
        <v>39</v>
      </c>
      <c r="I116" s="13">
        <f t="shared" si="125"/>
        <v>39</v>
      </c>
      <c r="J116">
        <f t="shared" si="64"/>
        <v>0</v>
      </c>
      <c r="K116">
        <f t="shared" si="65"/>
        <v>0</v>
      </c>
      <c r="L116" s="6">
        <f t="shared" si="66"/>
        <v>0</v>
      </c>
      <c r="N116" s="2">
        <f>'rockfish harvests'!O115</f>
        <v>51.46120422098079</v>
      </c>
      <c r="O116">
        <f>'rockfish harvests'!P115</f>
        <v>1649.9620849615694</v>
      </c>
      <c r="R116" s="38">
        <v>3.3428140107828103E-2</v>
      </c>
      <c r="S116" s="39">
        <v>4.3518755610624723E-4</v>
      </c>
      <c r="T116" s="13">
        <f t="shared" si="122"/>
        <v>1.7202523448165008</v>
      </c>
      <c r="U116" s="14">
        <f t="shared" si="123"/>
        <v>2.2781794303817104</v>
      </c>
      <c r="V116">
        <f t="shared" si="67"/>
        <v>1.5093639158207375</v>
      </c>
      <c r="W116" s="6">
        <f t="shared" si="68"/>
        <v>2.9583532750086454</v>
      </c>
      <c r="Y116" s="13">
        <f t="shared" si="62"/>
        <v>40.720252344816501</v>
      </c>
      <c r="Z116">
        <f t="shared" si="63"/>
        <v>2.2781794303817104</v>
      </c>
      <c r="AA116">
        <f t="shared" si="69"/>
        <v>1.5093639158207375</v>
      </c>
      <c r="AB116" s="6">
        <f t="shared" si="70"/>
        <v>2.9583532750086454</v>
      </c>
      <c r="AC116" s="14">
        <f t="shared" si="124"/>
        <v>3.7066664102165678E-2</v>
      </c>
    </row>
    <row r="117" spans="1:29" hidden="1" x14ac:dyDescent="0.25">
      <c r="A117" t="str">
        <f>'rockfish harvests'!A116</f>
        <v>SC</v>
      </c>
      <c r="B117">
        <f>'rockfish harvests'!B116</f>
        <v>2012</v>
      </c>
      <c r="C117" t="str">
        <f>'rockfish harvests'!C116</f>
        <v>EASTSIDE</v>
      </c>
      <c r="D117">
        <f>'rockfish harvests'!D116</f>
        <v>3433</v>
      </c>
      <c r="E117">
        <v>223</v>
      </c>
      <c r="F117">
        <v>76</v>
      </c>
      <c r="I117" s="13">
        <f t="shared" si="125"/>
        <v>76</v>
      </c>
      <c r="J117">
        <f t="shared" si="64"/>
        <v>0</v>
      </c>
      <c r="K117">
        <f t="shared" si="65"/>
        <v>0</v>
      </c>
      <c r="L117" s="6">
        <f t="shared" si="66"/>
        <v>0</v>
      </c>
      <c r="N117" s="2">
        <f>'rockfish harvests'!O116</f>
        <v>276.3989021043003</v>
      </c>
      <c r="O117">
        <f>'rockfish harvests'!P116</f>
        <v>25117.984568882985</v>
      </c>
      <c r="R117" s="38">
        <v>3.3428140107828103E-2</v>
      </c>
      <c r="S117" s="39">
        <v>4.3518755610624723E-4</v>
      </c>
      <c r="T117" s="13">
        <f t="shared" si="122"/>
        <v>9.2395012251924147</v>
      </c>
      <c r="U117" s="14">
        <f t="shared" si="123"/>
        <v>50.383562393795458</v>
      </c>
      <c r="V117">
        <f t="shared" si="67"/>
        <v>7.0981379525756934</v>
      </c>
      <c r="W117" s="6">
        <f t="shared" si="68"/>
        <v>13.91235038704836</v>
      </c>
      <c r="Y117" s="13">
        <f t="shared" si="62"/>
        <v>85.239501225192413</v>
      </c>
      <c r="Z117">
        <f t="shared" si="63"/>
        <v>50.383562393795458</v>
      </c>
      <c r="AA117">
        <f t="shared" si="69"/>
        <v>7.0981379525756934</v>
      </c>
      <c r="AB117" s="6">
        <f t="shared" si="70"/>
        <v>13.91235038704836</v>
      </c>
      <c r="AC117" s="14">
        <f t="shared" si="124"/>
        <v>8.327287056529431E-2</v>
      </c>
    </row>
    <row r="118" spans="1:29" hidden="1" x14ac:dyDescent="0.25">
      <c r="A118" t="str">
        <f>'rockfish harvests'!A117</f>
        <v>SC</v>
      </c>
      <c r="B118">
        <f>'rockfish harvests'!B117</f>
        <v>2013</v>
      </c>
      <c r="C118" t="str">
        <f>'rockfish harvests'!C117</f>
        <v>EASTSIDE</v>
      </c>
      <c r="D118">
        <f>'rockfish harvests'!D117</f>
        <v>2207</v>
      </c>
      <c r="E118">
        <v>126</v>
      </c>
      <c r="F118">
        <v>54</v>
      </c>
      <c r="I118" s="13">
        <f t="shared" si="125"/>
        <v>54</v>
      </c>
      <c r="J118">
        <f t="shared" si="64"/>
        <v>0</v>
      </c>
      <c r="K118">
        <f t="shared" si="65"/>
        <v>0</v>
      </c>
      <c r="L118" s="6">
        <f t="shared" si="66"/>
        <v>0</v>
      </c>
      <c r="N118" s="2">
        <f>'rockfish harvests'!O117</f>
        <v>351.77988614800779</v>
      </c>
      <c r="O118">
        <f>'rockfish harvests'!P117</f>
        <v>93936.264893907151</v>
      </c>
      <c r="R118" s="38">
        <v>3.3428140107828103E-2</v>
      </c>
      <c r="S118" s="39">
        <v>4.3518755610624723E-4</v>
      </c>
      <c r="T118" s="13">
        <f t="shared" si="122"/>
        <v>11.759347321271424</v>
      </c>
      <c r="U118" s="14">
        <f t="shared" si="123"/>
        <v>117.94236136635942</v>
      </c>
      <c r="V118">
        <f t="shared" si="67"/>
        <v>10.860127133986941</v>
      </c>
      <c r="W118" s="6">
        <f t="shared" si="68"/>
        <v>21.285849182614403</v>
      </c>
      <c r="Y118" s="13">
        <f t="shared" si="62"/>
        <v>65.75934732127142</v>
      </c>
      <c r="Z118">
        <f t="shared" si="63"/>
        <v>117.94236136635942</v>
      </c>
      <c r="AA118">
        <f t="shared" si="69"/>
        <v>10.860127133986941</v>
      </c>
      <c r="AB118" s="6">
        <f t="shared" si="70"/>
        <v>21.285849182614403</v>
      </c>
      <c r="AC118" s="14">
        <f t="shared" si="124"/>
        <v>0.16514955784048629</v>
      </c>
    </row>
    <row r="119" spans="1:29" hidden="1" x14ac:dyDescent="0.25">
      <c r="A119" t="str">
        <f>'rockfish harvests'!A118</f>
        <v>SC</v>
      </c>
      <c r="B119">
        <f>'rockfish harvests'!B118</f>
        <v>2014</v>
      </c>
      <c r="C119" t="str">
        <f>'rockfish harvests'!C118</f>
        <v>EASTSIDE</v>
      </c>
      <c r="D119">
        <f>'rockfish harvests'!D118</f>
        <v>3551</v>
      </c>
      <c r="E119">
        <v>166</v>
      </c>
      <c r="F119">
        <v>131</v>
      </c>
      <c r="I119" s="13">
        <f t="shared" si="125"/>
        <v>131</v>
      </c>
      <c r="J119">
        <f t="shared" si="64"/>
        <v>0</v>
      </c>
      <c r="K119">
        <f t="shared" si="65"/>
        <v>0</v>
      </c>
      <c r="L119" s="6">
        <f t="shared" si="66"/>
        <v>0</v>
      </c>
      <c r="N119" s="2">
        <f>'rockfish harvests'!O118</f>
        <v>250.87949818421885</v>
      </c>
      <c r="O119">
        <f>'rockfish harvests'!P118</f>
        <v>23714.551436006946</v>
      </c>
      <c r="R119" s="38">
        <v>3.3428140107828103E-2</v>
      </c>
      <c r="S119" s="39">
        <v>4.3518755610624723E-4</v>
      </c>
      <c r="T119" s="13">
        <f t="shared" si="122"/>
        <v>8.3864350154836735</v>
      </c>
      <c r="U119" s="14">
        <f t="shared" si="123"/>
        <v>43.570255955736883</v>
      </c>
      <c r="V119">
        <f t="shared" si="67"/>
        <v>6.6007769206160027</v>
      </c>
      <c r="W119" s="6">
        <f t="shared" si="68"/>
        <v>12.937522764407365</v>
      </c>
      <c r="Y119" s="13">
        <f t="shared" si="62"/>
        <v>139.38643501548367</v>
      </c>
      <c r="Z119">
        <f t="shared" si="63"/>
        <v>43.570255955736883</v>
      </c>
      <c r="AA119">
        <f t="shared" si="69"/>
        <v>6.6007769206160027</v>
      </c>
      <c r="AB119" s="6">
        <f t="shared" si="70"/>
        <v>12.937522764407365</v>
      </c>
      <c r="AC119" s="14">
        <f t="shared" si="124"/>
        <v>4.73559490913356E-2</v>
      </c>
    </row>
    <row r="120" spans="1:29" hidden="1" x14ac:dyDescent="0.25">
      <c r="A120" t="str">
        <f>'rockfish harvests'!A119</f>
        <v>SC</v>
      </c>
      <c r="B120">
        <f>'rockfish harvests'!B119</f>
        <v>2015</v>
      </c>
      <c r="C120" t="str">
        <f>'rockfish harvests'!C119</f>
        <v>EASTSIDE</v>
      </c>
      <c r="D120">
        <f>'rockfish harvests'!D119</f>
        <v>2787</v>
      </c>
      <c r="E120">
        <v>152</v>
      </c>
      <c r="F120">
        <v>149</v>
      </c>
      <c r="I120" s="13">
        <f t="shared" si="125"/>
        <v>149</v>
      </c>
      <c r="J120">
        <f t="shared" si="64"/>
        <v>0</v>
      </c>
      <c r="K120">
        <f t="shared" si="65"/>
        <v>0</v>
      </c>
      <c r="L120" s="6">
        <f t="shared" si="66"/>
        <v>0</v>
      </c>
      <c r="N120" s="2">
        <f>'rockfish harvests'!O119</f>
        <v>932.19872110181996</v>
      </c>
      <c r="O120">
        <f>'rockfish harvests'!P119</f>
        <v>360398.18316320516</v>
      </c>
      <c r="R120" s="38">
        <v>3.3428140107828103E-2</v>
      </c>
      <c r="S120" s="39">
        <v>4.3518755610624723E-4</v>
      </c>
      <c r="T120" s="13">
        <f t="shared" si="122"/>
        <v>31.161669457329811</v>
      </c>
      <c r="U120" s="14">
        <f t="shared" si="123"/>
        <v>624.05831325491226</v>
      </c>
      <c r="V120">
        <f t="shared" si="67"/>
        <v>24.981159165557397</v>
      </c>
      <c r="W120" s="6">
        <f t="shared" si="68"/>
        <v>48.963071964492499</v>
      </c>
      <c r="Y120" s="13">
        <f t="shared" si="62"/>
        <v>180.16166945732982</v>
      </c>
      <c r="Z120">
        <f t="shared" si="63"/>
        <v>624.05831325491226</v>
      </c>
      <c r="AA120">
        <f t="shared" si="69"/>
        <v>24.981159165557397</v>
      </c>
      <c r="AB120" s="6">
        <f t="shared" si="70"/>
        <v>48.963071964492499</v>
      </c>
      <c r="AC120" s="14">
        <f t="shared" si="124"/>
        <v>0.13865967850322364</v>
      </c>
    </row>
    <row r="121" spans="1:29" hidden="1" x14ac:dyDescent="0.25">
      <c r="A121" t="str">
        <f>'rockfish harvests'!A120</f>
        <v>SC</v>
      </c>
      <c r="B121">
        <f>'rockfish harvests'!B120</f>
        <v>2016</v>
      </c>
      <c r="C121" t="str">
        <f>'rockfish harvests'!C120</f>
        <v>EASTSIDE</v>
      </c>
      <c r="D121">
        <f>'rockfish harvests'!D120</f>
        <v>3561</v>
      </c>
      <c r="E121">
        <v>169</v>
      </c>
      <c r="F121">
        <v>99</v>
      </c>
      <c r="I121" s="13">
        <f t="shared" si="125"/>
        <v>99</v>
      </c>
      <c r="J121">
        <f t="shared" si="64"/>
        <v>0</v>
      </c>
      <c r="K121">
        <f t="shared" si="65"/>
        <v>0</v>
      </c>
      <c r="L121" s="6">
        <f t="shared" si="66"/>
        <v>0</v>
      </c>
      <c r="N121" s="2">
        <f>'rockfish harvests'!O120</f>
        <v>418.19068471337596</v>
      </c>
      <c r="O121">
        <f>'rockfish harvests'!P120</f>
        <v>86017.579810230731</v>
      </c>
      <c r="R121" s="38">
        <v>3.3428140107828103E-2</v>
      </c>
      <c r="S121" s="39">
        <v>4.3518755610624723E-4</v>
      </c>
      <c r="T121" s="13">
        <f t="shared" si="122"/>
        <v>13.9793368003873</v>
      </c>
      <c r="U121" s="14">
        <f t="shared" si="123"/>
        <v>134.79285212339573</v>
      </c>
      <c r="V121">
        <f t="shared" si="67"/>
        <v>11.610032391143262</v>
      </c>
      <c r="W121" s="6">
        <f t="shared" si="68"/>
        <v>22.755663486640792</v>
      </c>
      <c r="Y121" s="13">
        <f t="shared" si="62"/>
        <v>112.9793368003873</v>
      </c>
      <c r="Z121">
        <f t="shared" si="63"/>
        <v>134.79285212339573</v>
      </c>
      <c r="AA121">
        <f t="shared" si="69"/>
        <v>11.610032391143262</v>
      </c>
      <c r="AB121" s="6">
        <f t="shared" si="70"/>
        <v>22.755663486640792</v>
      </c>
      <c r="AC121" s="14">
        <f t="shared" si="124"/>
        <v>0.10276244063687461</v>
      </c>
    </row>
    <row r="122" spans="1:29" hidden="1" x14ac:dyDescent="0.25">
      <c r="A122" t="str">
        <f>'rockfish harvests'!A121</f>
        <v>SC</v>
      </c>
      <c r="B122">
        <f>'rockfish harvests'!B121</f>
        <v>2017</v>
      </c>
      <c r="C122" t="str">
        <f>'rockfish harvests'!C121</f>
        <v>EASTSIDE</v>
      </c>
      <c r="D122">
        <f>'rockfish harvests'!D121</f>
        <v>3933</v>
      </c>
      <c r="E122">
        <v>56</v>
      </c>
      <c r="F122">
        <v>37</v>
      </c>
      <c r="I122" s="13">
        <f t="shared" si="125"/>
        <v>37</v>
      </c>
      <c r="J122">
        <f t="shared" si="64"/>
        <v>0</v>
      </c>
      <c r="K122">
        <f t="shared" si="65"/>
        <v>0</v>
      </c>
      <c r="L122" s="6">
        <f t="shared" si="66"/>
        <v>0</v>
      </c>
      <c r="N122" s="2">
        <f>'rockfish harvests'!O121</f>
        <v>1353.8031716417918</v>
      </c>
      <c r="O122">
        <f>'rockfish harvests'!P121</f>
        <v>628325.57356668822</v>
      </c>
      <c r="R122" s="38">
        <v>3.3428140107828103E-2</v>
      </c>
      <c r="S122" s="39">
        <v>4.3518755610624723E-4</v>
      </c>
      <c r="T122" s="13">
        <f t="shared" si="122"/>
        <v>45.255122100063872</v>
      </c>
      <c r="U122" s="14">
        <f t="shared" si="123"/>
        <v>1226.281371008653</v>
      </c>
      <c r="V122">
        <f t="shared" si="67"/>
        <v>35.018300515711111</v>
      </c>
      <c r="W122" s="6">
        <f t="shared" si="68"/>
        <v>68.635869010793783</v>
      </c>
      <c r="Y122" s="13">
        <f t="shared" si="62"/>
        <v>82.255122100063872</v>
      </c>
      <c r="Z122">
        <f t="shared" si="63"/>
        <v>1226.281371008653</v>
      </c>
      <c r="AA122">
        <f t="shared" si="69"/>
        <v>35.018300515711111</v>
      </c>
      <c r="AB122" s="6">
        <f t="shared" si="70"/>
        <v>68.635869010793783</v>
      </c>
      <c r="AC122" s="14">
        <f t="shared" si="124"/>
        <v>0.42572790145653333</v>
      </c>
    </row>
    <row r="123" spans="1:29" hidden="1" x14ac:dyDescent="0.25">
      <c r="A123" t="str">
        <f>'rockfish harvests'!A122</f>
        <v>SC</v>
      </c>
      <c r="B123">
        <f>'rockfish harvests'!B122</f>
        <v>2018</v>
      </c>
      <c r="C123" t="str">
        <f>'rockfish harvests'!C122</f>
        <v>EASTSIDE</v>
      </c>
      <c r="D123">
        <f>'rockfish harvests'!D122</f>
        <v>3914</v>
      </c>
      <c r="E123">
        <v>224</v>
      </c>
      <c r="F123">
        <v>102</v>
      </c>
      <c r="I123" s="13">
        <f t="shared" si="125"/>
        <v>102</v>
      </c>
      <c r="J123">
        <f t="shared" si="64"/>
        <v>0</v>
      </c>
      <c r="K123">
        <f t="shared" si="65"/>
        <v>0</v>
      </c>
      <c r="L123" s="6">
        <f t="shared" si="66"/>
        <v>0</v>
      </c>
      <c r="N123" s="2">
        <f>'rockfish harvests'!O122</f>
        <v>302.2796271637817</v>
      </c>
      <c r="O123">
        <f>'rockfish harvests'!P122</f>
        <v>37596.448991886558</v>
      </c>
      <c r="R123" s="38">
        <v>3.3428140107828103E-2</v>
      </c>
      <c r="S123" s="39">
        <v>4.3518755610624723E-4</v>
      </c>
      <c r="T123" s="13">
        <f t="shared" si="122"/>
        <v>10.104645728572937</v>
      </c>
      <c r="U123" s="14">
        <f t="shared" si="123"/>
        <v>65.414670737944761</v>
      </c>
      <c r="V123">
        <f t="shared" si="67"/>
        <v>8.0879336506888304</v>
      </c>
      <c r="W123" s="6">
        <f t="shared" si="68"/>
        <v>15.852349955350107</v>
      </c>
      <c r="Y123" s="13">
        <f t="shared" si="62"/>
        <v>112.10464572857293</v>
      </c>
      <c r="Z123">
        <f t="shared" si="63"/>
        <v>65.414670737944761</v>
      </c>
      <c r="AA123">
        <f t="shared" si="69"/>
        <v>8.0879336506888304</v>
      </c>
      <c r="AB123" s="6">
        <f t="shared" si="70"/>
        <v>15.852349955350107</v>
      </c>
      <c r="AC123" s="14">
        <f t="shared" si="124"/>
        <v>7.2146284376753522E-2</v>
      </c>
    </row>
    <row r="124" spans="1:29" hidden="1" x14ac:dyDescent="0.25">
      <c r="A124" t="str">
        <f>'rockfish harvests'!A123</f>
        <v>SC</v>
      </c>
      <c r="B124">
        <f>'rockfish harvests'!B123</f>
        <v>2019</v>
      </c>
      <c r="C124" t="str">
        <f>'rockfish harvests'!C123</f>
        <v>EASTSIDE</v>
      </c>
      <c r="D124">
        <f>'rockfish harvests'!D123</f>
        <v>5680</v>
      </c>
      <c r="E124">
        <v>116</v>
      </c>
      <c r="F124">
        <v>110</v>
      </c>
      <c r="I124" s="13">
        <f>F124</f>
        <v>110</v>
      </c>
      <c r="J124">
        <f>(E124^2)*H124</f>
        <v>0</v>
      </c>
      <c r="K124">
        <f>SQRT(J124)</f>
        <v>0</v>
      </c>
      <c r="L124" s="6">
        <f>(1.96*K124)</f>
        <v>0</v>
      </c>
      <c r="N124" s="2">
        <f>'rockfish harvests'!O123</f>
        <v>1827.1545603495351</v>
      </c>
      <c r="O124">
        <f>'rockfish harvests'!P123</f>
        <v>1939226.0896531206</v>
      </c>
      <c r="R124" s="38">
        <v>3.2423715613204562E-2</v>
      </c>
      <c r="S124" s="38">
        <v>4.1479506980306006E-4</v>
      </c>
      <c r="T124" s="13">
        <f>N124*R124</f>
        <v>59.243139846143137</v>
      </c>
      <c r="U124" s="14">
        <f>(N124^2)*S124+(R124^2)*O124-(S124*O124)</f>
        <v>2619.1125607600306</v>
      </c>
      <c r="V124">
        <f>SQRT(U124)</f>
        <v>51.177266053981732</v>
      </c>
      <c r="W124" s="6">
        <f>(1.96*V124)</f>
        <v>100.30744146580419</v>
      </c>
      <c r="Y124" s="13">
        <f>T124+I124</f>
        <v>169.24313984614315</v>
      </c>
      <c r="Z124">
        <f>U124+J124</f>
        <v>2619.1125607600306</v>
      </c>
      <c r="AA124">
        <f>SQRT(Z124)</f>
        <v>51.177266053981732</v>
      </c>
      <c r="AB124" s="6">
        <f>(1.96*AA124)</f>
        <v>100.30744146580419</v>
      </c>
      <c r="AC124" s="14">
        <f t="shared" si="124"/>
        <v>0.30238901322976136</v>
      </c>
    </row>
    <row r="125" spans="1:29" hidden="1" x14ac:dyDescent="0.25">
      <c r="A125" t="str">
        <f>'rockfish harvests'!A124</f>
        <v>SC</v>
      </c>
      <c r="B125">
        <f>'rockfish harvests'!B124</f>
        <v>2020</v>
      </c>
      <c r="C125" t="str">
        <f>'rockfish harvests'!C124</f>
        <v>EASTSIDE</v>
      </c>
      <c r="D125">
        <f>'rockfish harvests'!D124</f>
        <v>1507</v>
      </c>
      <c r="E125">
        <v>71</v>
      </c>
      <c r="F125">
        <v>46</v>
      </c>
      <c r="I125" s="13">
        <f t="shared" ref="I125:I127" si="126">F125</f>
        <v>46</v>
      </c>
      <c r="J125">
        <f t="shared" ref="J125:J127" si="127">(E125^2)*H125</f>
        <v>0</v>
      </c>
      <c r="K125">
        <f t="shared" ref="K125:K127" si="128">SQRT(J125)</f>
        <v>0</v>
      </c>
      <c r="L125" s="6">
        <f t="shared" ref="L125:L127" si="129">(1.96*K125)</f>
        <v>0</v>
      </c>
      <c r="N125" s="2">
        <f>'rockfish harvests'!O124</f>
        <v>285.07252075141969</v>
      </c>
      <c r="O125">
        <f>'rockfish harvests'!P124</f>
        <v>20342.54532916598</v>
      </c>
      <c r="R125" s="38">
        <v>3.2297082592673741E-2</v>
      </c>
      <c r="S125" s="38">
        <v>3.8373956610765269E-4</v>
      </c>
      <c r="T125" s="13">
        <f t="shared" ref="T125:T126" si="130">N125*R125</f>
        <v>9.2070107476103011</v>
      </c>
      <c r="U125" s="14">
        <f t="shared" ref="U125:U126" si="131">(N125^2)*S125+(R125^2)*O125-(S125*O125)</f>
        <v>44.598211775402362</v>
      </c>
      <c r="V125">
        <f t="shared" ref="V125:V126" si="132">SQRT(U125)</f>
        <v>6.6781892587289233</v>
      </c>
      <c r="W125" s="6">
        <f t="shared" ref="W125:W126" si="133">(1.96*V125)</f>
        <v>13.08925094710869</v>
      </c>
      <c r="Y125" s="13">
        <f t="shared" ref="Y125:Y126" si="134">T125+I125</f>
        <v>55.207010747610298</v>
      </c>
      <c r="Z125">
        <f t="shared" ref="Z125:Z126" si="135">U125+J125</f>
        <v>44.598211775402362</v>
      </c>
      <c r="AA125">
        <f t="shared" ref="AA125:AA126" si="136">SQRT(Z125)</f>
        <v>6.6781892587289233</v>
      </c>
      <c r="AB125" s="6">
        <f t="shared" ref="AB125:AB126" si="137">(1.96*AA125)</f>
        <v>13.08925094710869</v>
      </c>
      <c r="AC125" s="14">
        <f t="shared" ref="AC125:AC126" si="138">AA125/Y125</f>
        <v>0.12096632598456704</v>
      </c>
    </row>
    <row r="126" spans="1:29" hidden="1" x14ac:dyDescent="0.25">
      <c r="A126" t="str">
        <f>'rockfish harvests'!A125</f>
        <v>SC</v>
      </c>
      <c r="B126">
        <f>'rockfish harvests'!B125</f>
        <v>2021</v>
      </c>
      <c r="C126" t="str">
        <f>'rockfish harvests'!C125</f>
        <v>EASTSIDE</v>
      </c>
      <c r="D126">
        <f>'rockfish harvests'!D125</f>
        <v>2885</v>
      </c>
      <c r="E126">
        <v>187</v>
      </c>
      <c r="F126">
        <v>165</v>
      </c>
      <c r="I126" s="13">
        <f t="shared" si="126"/>
        <v>165</v>
      </c>
      <c r="J126">
        <f t="shared" si="127"/>
        <v>0</v>
      </c>
      <c r="K126">
        <f t="shared" si="128"/>
        <v>0</v>
      </c>
      <c r="L126" s="6">
        <f t="shared" si="129"/>
        <v>0</v>
      </c>
      <c r="N126" s="2">
        <f>'rockfish harvests'!O125</f>
        <v>450.56951620479094</v>
      </c>
      <c r="O126">
        <f>'rockfish harvests'!P125</f>
        <v>34555.289276141099</v>
      </c>
      <c r="R126" s="38">
        <v>3.3853038327512047E-2</v>
      </c>
      <c r="S126" s="38">
        <v>3.9793710098369613E-4</v>
      </c>
      <c r="T126" s="13">
        <f t="shared" si="130"/>
        <v>15.253147101289349</v>
      </c>
      <c r="U126" s="14">
        <f t="shared" si="131"/>
        <v>106.63686495410487</v>
      </c>
      <c r="V126">
        <f t="shared" si="132"/>
        <v>10.326512719892659</v>
      </c>
      <c r="W126" s="6">
        <f t="shared" si="133"/>
        <v>20.239964930989611</v>
      </c>
      <c r="Y126" s="13">
        <f t="shared" si="134"/>
        <v>180.25314710128936</v>
      </c>
      <c r="Z126">
        <f t="shared" si="135"/>
        <v>106.63686495410487</v>
      </c>
      <c r="AA126">
        <f t="shared" si="136"/>
        <v>10.326512719892659</v>
      </c>
      <c r="AB126" s="6">
        <f t="shared" si="137"/>
        <v>20.239964930989611</v>
      </c>
      <c r="AC126" s="14">
        <f t="shared" si="138"/>
        <v>5.7288945496690266E-2</v>
      </c>
    </row>
    <row r="127" spans="1:29" s="51" customFormat="1" hidden="1" x14ac:dyDescent="0.25">
      <c r="A127" s="51" t="s">
        <v>81</v>
      </c>
      <c r="B127" s="51">
        <v>2022</v>
      </c>
      <c r="C127" s="51" t="s">
        <v>48</v>
      </c>
      <c r="D127">
        <f>'rockfish harvests'!D126</f>
        <v>1829</v>
      </c>
      <c r="E127" s="51">
        <v>127</v>
      </c>
      <c r="F127" s="51">
        <v>99</v>
      </c>
      <c r="I127" s="71">
        <f t="shared" si="126"/>
        <v>99</v>
      </c>
      <c r="J127" s="51">
        <f t="shared" si="127"/>
        <v>0</v>
      </c>
      <c r="K127" s="51">
        <f t="shared" si="128"/>
        <v>0</v>
      </c>
      <c r="L127" s="78">
        <f t="shared" si="129"/>
        <v>0</v>
      </c>
      <c r="N127" s="2">
        <f>'rockfish harvests'!O126</f>
        <v>698.24578009149718</v>
      </c>
      <c r="O127">
        <f>'rockfish harvests'!P126</f>
        <v>79508.793444844647</v>
      </c>
      <c r="R127" s="38">
        <v>3.3853038327512047E-2</v>
      </c>
      <c r="S127" s="38">
        <v>3.9793710098369613E-4</v>
      </c>
      <c r="T127" s="13">
        <f t="shared" ref="T127" si="139">N127*R127</f>
        <v>23.637741155461004</v>
      </c>
      <c r="U127" s="14">
        <f t="shared" ref="U127" si="140">(N127^2)*S127+(R127^2)*O127-(S127*O127)</f>
        <v>253.49292817801154</v>
      </c>
      <c r="V127">
        <f t="shared" ref="V127" si="141">SQRT(U127)</f>
        <v>15.921461245062011</v>
      </c>
      <c r="W127" s="6">
        <f t="shared" ref="W127" si="142">(1.96*V127)</f>
        <v>31.206064040321539</v>
      </c>
      <c r="X127"/>
      <c r="Y127" s="13">
        <f t="shared" ref="Y127" si="143">T127+I127</f>
        <v>122.637741155461</v>
      </c>
      <c r="Z127">
        <f t="shared" ref="Z127" si="144">U127+J127</f>
        <v>253.49292817801154</v>
      </c>
      <c r="AA127">
        <f t="shared" ref="AA127" si="145">SQRT(Z127)</f>
        <v>15.921461245062011</v>
      </c>
      <c r="AB127" s="6">
        <f t="shared" ref="AB127" si="146">(1.96*AA127)</f>
        <v>31.206064040321539</v>
      </c>
      <c r="AC127" s="14">
        <f t="shared" ref="AC127" si="147">AA127/Y127</f>
        <v>0.12982513453896111</v>
      </c>
    </row>
    <row r="128" spans="1:29" hidden="1" x14ac:dyDescent="0.25">
      <c r="A128" t="str">
        <f>'rockfish harvests'!A127</f>
        <v>SC</v>
      </c>
      <c r="B128">
        <f>'rockfish harvests'!B127</f>
        <v>1998</v>
      </c>
      <c r="C128" t="str">
        <f>'rockfish harvests'!C127</f>
        <v>NG</v>
      </c>
      <c r="D128">
        <f>'rockfish harvests'!D127</f>
        <v>5169</v>
      </c>
      <c r="E128">
        <v>1242</v>
      </c>
      <c r="F128" t="s">
        <v>159</v>
      </c>
      <c r="G128" s="32">
        <v>0.62644033099999996</v>
      </c>
      <c r="H128" s="32">
        <v>2.4606059E-2</v>
      </c>
      <c r="I128" s="13">
        <f t="shared" ref="I128:I135" si="148">E128*G128</f>
        <v>778.03889110199998</v>
      </c>
      <c r="J128">
        <f t="shared" ref="J128:J181" si="149">(E128^2)*H128</f>
        <v>37956.420795275997</v>
      </c>
      <c r="K128">
        <f t="shared" ref="K128:K181" si="150">SQRT(J128)</f>
        <v>194.82407652873911</v>
      </c>
      <c r="L128" s="6">
        <f t="shared" ref="L128:L181" si="151">(1.96*K128)</f>
        <v>381.85518999632865</v>
      </c>
      <c r="N128" s="2">
        <f>'rockfish harvests'!O127</f>
        <v>2556.220955913016</v>
      </c>
      <c r="O128">
        <f>'rockfish harvests'!P127</f>
        <v>380846.86521831615</v>
      </c>
      <c r="P128">
        <v>9.1075218999999999E-2</v>
      </c>
      <c r="Q128">
        <v>5.0475900000000002E-4</v>
      </c>
      <c r="T128" s="13">
        <f t="shared" ref="T128:T163" si="152">N128*P128</f>
        <v>232.80838337216727</v>
      </c>
      <c r="U128" s="14">
        <f>(N128^2)*Q128+(P128^2)*O128-(Q128*O128)</f>
        <v>6265.002259927418</v>
      </c>
      <c r="V128">
        <f t="shared" ref="V128:V181" si="153">SQRT(U128)</f>
        <v>79.151767257133415</v>
      </c>
      <c r="W128" s="6">
        <f t="shared" ref="W128:W181" si="154">(1.96*V128)</f>
        <v>155.13746382398148</v>
      </c>
      <c r="Y128" s="13">
        <f t="shared" ref="Y128:Y180" si="155">T128+I128</f>
        <v>1010.8472744741673</v>
      </c>
      <c r="Z128">
        <f t="shared" ref="Z128:Z180" si="156">U128+J128</f>
        <v>44221.423055203413</v>
      </c>
      <c r="AA128">
        <f t="shared" ref="AA128:AA181" si="157">SQRT(Z128)</f>
        <v>210.28890378525304</v>
      </c>
      <c r="AB128" s="6">
        <f t="shared" ref="AB128:AB181" si="158">(1.96*AA128)</f>
        <v>412.16625141909594</v>
      </c>
      <c r="AC128" s="14">
        <f>AA128/Y128</f>
        <v>0.20803232010952716</v>
      </c>
    </row>
    <row r="129" spans="1:29" hidden="1" x14ac:dyDescent="0.25">
      <c r="A129" t="str">
        <f>'rockfish harvests'!A128</f>
        <v>SC</v>
      </c>
      <c r="B129">
        <f>'rockfish harvests'!B128</f>
        <v>1999</v>
      </c>
      <c r="C129" t="str">
        <f>'rockfish harvests'!C128</f>
        <v>NG</v>
      </c>
      <c r="D129">
        <f>'rockfish harvests'!D128</f>
        <v>9276</v>
      </c>
      <c r="E129">
        <v>1138</v>
      </c>
      <c r="F129" t="s">
        <v>159</v>
      </c>
      <c r="G129">
        <v>0.86561731200000003</v>
      </c>
      <c r="H129">
        <v>8.3088599999999997E-4</v>
      </c>
      <c r="I129" s="13">
        <f t="shared" si="148"/>
        <v>985.07250105600008</v>
      </c>
      <c r="J129">
        <f t="shared" si="149"/>
        <v>1076.0339289839999</v>
      </c>
      <c r="K129">
        <f t="shared" si="150"/>
        <v>32.802956101302819</v>
      </c>
      <c r="L129" s="6">
        <f t="shared" si="151"/>
        <v>64.293793958553522</v>
      </c>
      <c r="N129" s="2">
        <f>'rockfish harvests'!O128</f>
        <v>4587.2519998160442</v>
      </c>
      <c r="O129">
        <f>'rockfish harvests'!P128</f>
        <v>1226475.2843498222</v>
      </c>
      <c r="P129">
        <v>0.21533812799999999</v>
      </c>
      <c r="Q129">
        <v>1.1264510000000001E-3</v>
      </c>
      <c r="T129" s="13">
        <f t="shared" si="152"/>
        <v>987.8102583046433</v>
      </c>
      <c r="U129" s="14">
        <f t="shared" ref="U129:U204" si="159">(N129^2)*Q129+(P129^2)*O129-(Q129*O129)</f>
        <v>79194.49359889685</v>
      </c>
      <c r="V129">
        <f t="shared" si="153"/>
        <v>281.41516234719273</v>
      </c>
      <c r="W129" s="6">
        <f t="shared" si="154"/>
        <v>551.57371820049775</v>
      </c>
      <c r="Y129" s="13">
        <f t="shared" si="155"/>
        <v>1972.8827593606434</v>
      </c>
      <c r="Z129">
        <f t="shared" si="156"/>
        <v>80270.527527880855</v>
      </c>
      <c r="AA129">
        <f t="shared" si="157"/>
        <v>283.320538485795</v>
      </c>
      <c r="AB129" s="6">
        <f t="shared" si="158"/>
        <v>555.30825543215815</v>
      </c>
      <c r="AC129" s="14">
        <f t="shared" ref="AC129:AC149" si="160">AA129/Y129</f>
        <v>0.14360738728215727</v>
      </c>
    </row>
    <row r="130" spans="1:29" hidden="1" x14ac:dyDescent="0.25">
      <c r="A130" t="str">
        <f>'rockfish harvests'!A129</f>
        <v>SC</v>
      </c>
      <c r="B130">
        <f>'rockfish harvests'!B129</f>
        <v>2000</v>
      </c>
      <c r="C130" t="str">
        <f>'rockfish harvests'!C129</f>
        <v>NG</v>
      </c>
      <c r="D130">
        <f>'rockfish harvests'!D129</f>
        <v>13107</v>
      </c>
      <c r="E130">
        <v>2404</v>
      </c>
      <c r="F130" t="s">
        <v>159</v>
      </c>
      <c r="G130">
        <v>0.73843334500000002</v>
      </c>
      <c r="H130">
        <v>1.214777E-3</v>
      </c>
      <c r="I130" s="13">
        <f t="shared" si="148"/>
        <v>1775.1937613800001</v>
      </c>
      <c r="J130">
        <f t="shared" si="149"/>
        <v>7020.4586748319998</v>
      </c>
      <c r="K130">
        <f t="shared" si="150"/>
        <v>83.788177416816978</v>
      </c>
      <c r="L130" s="6">
        <f t="shared" si="151"/>
        <v>164.22482773696129</v>
      </c>
      <c r="N130" s="2">
        <f>'rockfish harvests'!O129</f>
        <v>6481.7930100893609</v>
      </c>
      <c r="O130">
        <f>'rockfish harvests'!P129</f>
        <v>2448747.0158551079</v>
      </c>
      <c r="P130">
        <v>7.3529412000000002E-2</v>
      </c>
      <c r="Q130">
        <v>5.0461400000000002E-4</v>
      </c>
      <c r="T130" s="13">
        <f t="shared" si="152"/>
        <v>476.60242873758079</v>
      </c>
      <c r="U130" s="14">
        <f t="shared" si="159"/>
        <v>33204.332223182937</v>
      </c>
      <c r="V130">
        <f t="shared" si="153"/>
        <v>182.22055927689098</v>
      </c>
      <c r="W130" s="6">
        <f t="shared" si="154"/>
        <v>357.15229618270632</v>
      </c>
      <c r="Y130" s="13">
        <f t="shared" si="155"/>
        <v>2251.7961901175809</v>
      </c>
      <c r="Z130">
        <f t="shared" si="156"/>
        <v>40224.790898014937</v>
      </c>
      <c r="AA130">
        <f t="shared" si="157"/>
        <v>200.56118990975034</v>
      </c>
      <c r="AB130" s="6">
        <f t="shared" si="158"/>
        <v>393.09993222311067</v>
      </c>
      <c r="AC130" s="14">
        <f t="shared" si="160"/>
        <v>8.9067203679422571E-2</v>
      </c>
    </row>
    <row r="131" spans="1:29" hidden="1" x14ac:dyDescent="0.25">
      <c r="A131" t="str">
        <f>'rockfish harvests'!A130</f>
        <v>SC</v>
      </c>
      <c r="B131">
        <f>'rockfish harvests'!B130</f>
        <v>2001</v>
      </c>
      <c r="C131" t="str">
        <f>'rockfish harvests'!C130</f>
        <v>NG</v>
      </c>
      <c r="D131">
        <f>'rockfish harvests'!D130</f>
        <v>20907</v>
      </c>
      <c r="E131">
        <v>2450</v>
      </c>
      <c r="F131" t="s">
        <v>159</v>
      </c>
      <c r="G131">
        <v>0.66849230400000004</v>
      </c>
      <c r="H131">
        <v>2.0519480000000001E-3</v>
      </c>
      <c r="I131" s="13">
        <f t="shared" si="148"/>
        <v>1637.8061448000001</v>
      </c>
      <c r="J131">
        <f t="shared" si="149"/>
        <v>12316.817870000001</v>
      </c>
      <c r="K131">
        <f t="shared" si="150"/>
        <v>110.98115997771875</v>
      </c>
      <c r="L131" s="6">
        <f t="shared" si="151"/>
        <v>217.52307355632874</v>
      </c>
      <c r="N131" s="2">
        <f>'rockfish harvests'!O130</f>
        <v>10339.120047450848</v>
      </c>
      <c r="O131">
        <f>'rockfish harvests'!P130</f>
        <v>6230469.2850139625</v>
      </c>
      <c r="P131">
        <v>0.19277108400000001</v>
      </c>
      <c r="Q131">
        <v>9.4309299999999999E-4</v>
      </c>
      <c r="T131" s="13">
        <f t="shared" si="152"/>
        <v>1993.0833791532314</v>
      </c>
      <c r="U131" s="14">
        <f t="shared" si="159"/>
        <v>326466.82365805807</v>
      </c>
      <c r="V131">
        <f t="shared" si="153"/>
        <v>571.37275368891892</v>
      </c>
      <c r="W131" s="6">
        <f t="shared" si="154"/>
        <v>1119.8905972302812</v>
      </c>
      <c r="Y131" s="13">
        <f t="shared" si="155"/>
        <v>3630.8895239532312</v>
      </c>
      <c r="Z131">
        <f t="shared" si="156"/>
        <v>338783.6415280581</v>
      </c>
      <c r="AA131">
        <f t="shared" si="157"/>
        <v>582.05123617088736</v>
      </c>
      <c r="AB131" s="6">
        <f t="shared" si="158"/>
        <v>1140.8204228949392</v>
      </c>
      <c r="AC131" s="14">
        <f t="shared" si="160"/>
        <v>0.1603054106524186</v>
      </c>
    </row>
    <row r="132" spans="1:29" hidden="1" x14ac:dyDescent="0.25">
      <c r="A132" t="str">
        <f>'rockfish harvests'!A131</f>
        <v>SC</v>
      </c>
      <c r="B132">
        <f>'rockfish harvests'!B131</f>
        <v>2002</v>
      </c>
      <c r="C132" t="str">
        <f>'rockfish harvests'!C131</f>
        <v>NG</v>
      </c>
      <c r="D132">
        <f>'rockfish harvests'!D131</f>
        <v>17318</v>
      </c>
      <c r="E132">
        <v>2230</v>
      </c>
      <c r="F132" t="s">
        <v>159</v>
      </c>
      <c r="G132">
        <v>0.74840187800000002</v>
      </c>
      <c r="H132">
        <v>2.5445469999999999E-3</v>
      </c>
      <c r="I132" s="13">
        <f t="shared" si="148"/>
        <v>1668.9361879400001</v>
      </c>
      <c r="J132">
        <f t="shared" si="149"/>
        <v>12653.777776299999</v>
      </c>
      <c r="K132">
        <f t="shared" si="150"/>
        <v>112.48901180248673</v>
      </c>
      <c r="L132" s="6">
        <f t="shared" si="151"/>
        <v>220.478463132874</v>
      </c>
      <c r="N132" s="2">
        <f>'rockfish harvests'!O131</f>
        <v>8564.2550811572073</v>
      </c>
      <c r="O132">
        <f>'rockfish harvests'!P131</f>
        <v>4274967.2451758217</v>
      </c>
      <c r="P132">
        <v>7.1059058999999994E-2</v>
      </c>
      <c r="Q132">
        <v>2.37445E-4</v>
      </c>
      <c r="T132" s="13">
        <f t="shared" si="152"/>
        <v>608.5679071029997</v>
      </c>
      <c r="U132" s="14">
        <f t="shared" si="159"/>
        <v>37986.658092106823</v>
      </c>
      <c r="V132">
        <f t="shared" si="153"/>
        <v>194.90166262017064</v>
      </c>
      <c r="W132" s="6">
        <f t="shared" si="154"/>
        <v>382.00725873553444</v>
      </c>
      <c r="Y132" s="13">
        <f t="shared" si="155"/>
        <v>2277.5040950429998</v>
      </c>
      <c r="Z132">
        <f t="shared" si="156"/>
        <v>50640.435868406821</v>
      </c>
      <c r="AA132">
        <f t="shared" si="157"/>
        <v>225.03429931547507</v>
      </c>
      <c r="AB132" s="6">
        <f t="shared" si="158"/>
        <v>441.06722665833115</v>
      </c>
      <c r="AC132" s="14">
        <f t="shared" si="160"/>
        <v>9.8807418087749413E-2</v>
      </c>
    </row>
    <row r="133" spans="1:29" hidden="1" x14ac:dyDescent="0.25">
      <c r="A133" t="str">
        <f>'rockfish harvests'!A132</f>
        <v>SC</v>
      </c>
      <c r="B133">
        <f>'rockfish harvests'!B132</f>
        <v>2003</v>
      </c>
      <c r="C133" t="str">
        <f>'rockfish harvests'!C132</f>
        <v>NG</v>
      </c>
      <c r="D133">
        <f>'rockfish harvests'!D132</f>
        <v>17020</v>
      </c>
      <c r="E133">
        <v>3447</v>
      </c>
      <c r="F133" t="s">
        <v>159</v>
      </c>
      <c r="G133">
        <v>0.80875277300000004</v>
      </c>
      <c r="H133">
        <v>1.1542670000000001E-3</v>
      </c>
      <c r="I133" s="13">
        <f t="shared" si="148"/>
        <v>2787.7708085310001</v>
      </c>
      <c r="J133">
        <f t="shared" si="149"/>
        <v>13714.780029003001</v>
      </c>
      <c r="K133">
        <f t="shared" si="150"/>
        <v>117.11011924254454</v>
      </c>
      <c r="L133" s="6">
        <f t="shared" si="151"/>
        <v>229.5358337153873</v>
      </c>
      <c r="N133" s="2">
        <f>'rockfish harvests'!O132</f>
        <v>8416.8854071657042</v>
      </c>
      <c r="O133">
        <f>'rockfish harvests'!P132</f>
        <v>4129109.8070434225</v>
      </c>
      <c r="P133">
        <v>0.113321399</v>
      </c>
      <c r="Q133">
        <v>3.28365E-4</v>
      </c>
      <c r="T133" s="13">
        <f t="shared" si="152"/>
        <v>953.8132295627023</v>
      </c>
      <c r="U133" s="14">
        <f t="shared" si="159"/>
        <v>74931.77416012084</v>
      </c>
      <c r="V133">
        <f t="shared" si="153"/>
        <v>273.73668764000348</v>
      </c>
      <c r="W133" s="6">
        <f t="shared" si="154"/>
        <v>536.52390777440678</v>
      </c>
      <c r="Y133" s="13">
        <f t="shared" si="155"/>
        <v>3741.5840380937025</v>
      </c>
      <c r="Z133">
        <f t="shared" si="156"/>
        <v>88646.554189123839</v>
      </c>
      <c r="AA133">
        <f t="shared" si="157"/>
        <v>297.73571198148846</v>
      </c>
      <c r="AB133" s="6">
        <f t="shared" si="158"/>
        <v>583.5619954837174</v>
      </c>
      <c r="AC133" s="14">
        <f t="shared" si="160"/>
        <v>7.9574776070827385E-2</v>
      </c>
    </row>
    <row r="134" spans="1:29" hidden="1" x14ac:dyDescent="0.25">
      <c r="A134" t="str">
        <f>'rockfish harvests'!A133</f>
        <v>SC</v>
      </c>
      <c r="B134">
        <f>'rockfish harvests'!B133</f>
        <v>2004</v>
      </c>
      <c r="C134" t="str">
        <f>'rockfish harvests'!C133</f>
        <v>NG</v>
      </c>
      <c r="D134">
        <f>'rockfish harvests'!D133</f>
        <v>19434</v>
      </c>
      <c r="E134">
        <v>3475</v>
      </c>
      <c r="F134" t="s">
        <v>159</v>
      </c>
      <c r="G134">
        <v>0.84561024299999998</v>
      </c>
      <c r="H134">
        <v>6.9443399999999996E-4</v>
      </c>
      <c r="I134" s="13">
        <f t="shared" si="148"/>
        <v>2938.495594425</v>
      </c>
      <c r="J134">
        <f t="shared" si="149"/>
        <v>8385.7245712499989</v>
      </c>
      <c r="K134">
        <f t="shared" si="150"/>
        <v>91.573601934454885</v>
      </c>
      <c r="L134" s="6">
        <f t="shared" si="151"/>
        <v>179.48425979153157</v>
      </c>
      <c r="N134" s="2">
        <f>'rockfish harvests'!O133</f>
        <v>9610.6786723183504</v>
      </c>
      <c r="O134">
        <f>'rockfish harvests'!P133</f>
        <v>5383462.8158731172</v>
      </c>
      <c r="P134">
        <v>0.16740344099999999</v>
      </c>
      <c r="Q134">
        <v>3.1749300000000002E-4</v>
      </c>
      <c r="T134" s="13">
        <f t="shared" si="152"/>
        <v>1608.8606800914031</v>
      </c>
      <c r="U134" s="14">
        <f t="shared" si="159"/>
        <v>178481.76359943859</v>
      </c>
      <c r="V134">
        <f t="shared" si="153"/>
        <v>422.47102101734572</v>
      </c>
      <c r="W134" s="6">
        <f t="shared" si="154"/>
        <v>828.04320119399756</v>
      </c>
      <c r="Y134" s="13">
        <f t="shared" si="155"/>
        <v>4547.3562745164036</v>
      </c>
      <c r="Z134">
        <f t="shared" si="156"/>
        <v>186867.48817068859</v>
      </c>
      <c r="AA134">
        <f t="shared" si="157"/>
        <v>432.28172315133634</v>
      </c>
      <c r="AB134" s="6">
        <f t="shared" si="158"/>
        <v>847.2721773766192</v>
      </c>
      <c r="AC134" s="14">
        <f t="shared" si="160"/>
        <v>9.5062206929741405E-2</v>
      </c>
    </row>
    <row r="135" spans="1:29" hidden="1" x14ac:dyDescent="0.25">
      <c r="A135" t="str">
        <f>'rockfish harvests'!A134</f>
        <v>SC</v>
      </c>
      <c r="B135">
        <f>'rockfish harvests'!B134</f>
        <v>2005</v>
      </c>
      <c r="C135" t="str">
        <f>'rockfish harvests'!C134</f>
        <v>NG</v>
      </c>
      <c r="D135">
        <f>'rockfish harvests'!D134</f>
        <v>22792</v>
      </c>
      <c r="E135">
        <v>4171</v>
      </c>
      <c r="F135" t="s">
        <v>159</v>
      </c>
      <c r="G135">
        <v>0.71705845999999995</v>
      </c>
      <c r="H135">
        <v>1.108665E-3</v>
      </c>
      <c r="I135" s="13">
        <f t="shared" si="148"/>
        <v>2990.8508366599999</v>
      </c>
      <c r="J135">
        <f t="shared" si="149"/>
        <v>19287.712193265001</v>
      </c>
      <c r="K135">
        <f t="shared" si="150"/>
        <v>138.88020806891456</v>
      </c>
      <c r="L135" s="6">
        <f t="shared" si="151"/>
        <v>272.20520781507253</v>
      </c>
      <c r="N135" s="2">
        <f>'rockfish harvests'!O134</f>
        <v>11271.307414813207</v>
      </c>
      <c r="O135">
        <f>'rockfish harvests'!P134</f>
        <v>7404610.0706118569</v>
      </c>
      <c r="P135">
        <v>0.12879740000000001</v>
      </c>
      <c r="Q135">
        <v>4.6176399999999998E-4</v>
      </c>
      <c r="T135" s="13">
        <f t="shared" si="152"/>
        <v>1451.7150896286626</v>
      </c>
      <c r="U135" s="14">
        <f t="shared" si="159"/>
        <v>178077.78619178248</v>
      </c>
      <c r="V135">
        <f t="shared" si="153"/>
        <v>421.99263760376493</v>
      </c>
      <c r="W135" s="6">
        <f t="shared" si="154"/>
        <v>827.10556970337927</v>
      </c>
      <c r="Y135" s="13">
        <f t="shared" si="155"/>
        <v>4442.565926288662</v>
      </c>
      <c r="Z135">
        <f t="shared" si="156"/>
        <v>197365.49838504748</v>
      </c>
      <c r="AA135">
        <f t="shared" si="157"/>
        <v>444.25836895330116</v>
      </c>
      <c r="AB135" s="6">
        <f t="shared" si="158"/>
        <v>870.74640314847022</v>
      </c>
      <c r="AC135" s="14">
        <f t="shared" si="160"/>
        <v>0.10000039984199771</v>
      </c>
    </row>
    <row r="136" spans="1:29" hidden="1" x14ac:dyDescent="0.25">
      <c r="A136" t="str">
        <f>'rockfish harvests'!A135</f>
        <v>SC</v>
      </c>
      <c r="B136">
        <f>'rockfish harvests'!B135</f>
        <v>2006</v>
      </c>
      <c r="C136" t="str">
        <f>'rockfish harvests'!C135</f>
        <v>NG</v>
      </c>
      <c r="D136">
        <f>'rockfish harvests'!D135</f>
        <v>19998</v>
      </c>
      <c r="E136">
        <v>4131</v>
      </c>
      <c r="F136">
        <v>2876</v>
      </c>
      <c r="I136" s="13">
        <f>F136</f>
        <v>2876</v>
      </c>
      <c r="J136">
        <f t="shared" si="149"/>
        <v>0</v>
      </c>
      <c r="K136">
        <f t="shared" si="150"/>
        <v>0</v>
      </c>
      <c r="L136" s="6">
        <f t="shared" si="151"/>
        <v>0</v>
      </c>
      <c r="N136" s="2">
        <f>'rockfish harvests'!O135</f>
        <v>9889.5930888660259</v>
      </c>
      <c r="O136">
        <f>'rockfish harvests'!P135</f>
        <v>5700467.1719220383</v>
      </c>
      <c r="P136">
        <v>0.187181546</v>
      </c>
      <c r="Q136">
        <v>4.8921100000000003E-4</v>
      </c>
      <c r="T136" s="13">
        <f t="shared" si="152"/>
        <v>1851.1493236848582</v>
      </c>
      <c r="U136" s="14">
        <f t="shared" si="159"/>
        <v>244784.96247408152</v>
      </c>
      <c r="V136">
        <f t="shared" si="153"/>
        <v>494.75747844179324</v>
      </c>
      <c r="W136" s="6">
        <f t="shared" si="154"/>
        <v>969.72465774591478</v>
      </c>
      <c r="Y136" s="13">
        <f t="shared" si="155"/>
        <v>4727.1493236848582</v>
      </c>
      <c r="Z136">
        <f t="shared" si="156"/>
        <v>244784.96247408152</v>
      </c>
      <c r="AA136">
        <f t="shared" si="157"/>
        <v>494.75747844179324</v>
      </c>
      <c r="AB136" s="6">
        <f t="shared" si="158"/>
        <v>969.72465774591478</v>
      </c>
      <c r="AC136" s="14">
        <f t="shared" si="160"/>
        <v>0.10466296800967671</v>
      </c>
    </row>
    <row r="137" spans="1:29" hidden="1" x14ac:dyDescent="0.25">
      <c r="A137" t="str">
        <f>'rockfish harvests'!A136</f>
        <v>SC</v>
      </c>
      <c r="B137">
        <f>'rockfish harvests'!B136</f>
        <v>2007</v>
      </c>
      <c r="C137" t="str">
        <f>'rockfish harvests'!C136</f>
        <v>NG</v>
      </c>
      <c r="D137">
        <f>'rockfish harvests'!D136</f>
        <v>23861</v>
      </c>
      <c r="E137">
        <v>4118</v>
      </c>
      <c r="F137">
        <v>2978</v>
      </c>
      <c r="I137" s="13">
        <f t="shared" ref="I137:I148" si="161">F137</f>
        <v>2978</v>
      </c>
      <c r="J137">
        <f t="shared" si="149"/>
        <v>0</v>
      </c>
      <c r="K137">
        <f t="shared" si="150"/>
        <v>0</v>
      </c>
      <c r="L137" s="6">
        <f t="shared" si="151"/>
        <v>0</v>
      </c>
      <c r="N137" s="2">
        <f>'rockfish harvests'!O136</f>
        <v>11799.959030574668</v>
      </c>
      <c r="O137">
        <f>'rockfish harvests'!P136</f>
        <v>8115487.2982604261</v>
      </c>
      <c r="P137">
        <v>0.12863669999999999</v>
      </c>
      <c r="Q137">
        <v>4.3956600000000001E-4</v>
      </c>
      <c r="T137" s="13">
        <f t="shared" si="152"/>
        <v>1517.9077898283242</v>
      </c>
      <c r="U137" s="14">
        <f t="shared" si="159"/>
        <v>191927.67182623615</v>
      </c>
      <c r="V137">
        <f t="shared" si="153"/>
        <v>438.09550537095919</v>
      </c>
      <c r="W137" s="6">
        <f t="shared" si="154"/>
        <v>858.66719052708004</v>
      </c>
      <c r="Y137" s="13">
        <f t="shared" si="155"/>
        <v>4495.907789828324</v>
      </c>
      <c r="Z137">
        <f t="shared" si="156"/>
        <v>191927.67182623615</v>
      </c>
      <c r="AA137">
        <f t="shared" si="157"/>
        <v>438.09550537095919</v>
      </c>
      <c r="AB137" s="6">
        <f t="shared" si="158"/>
        <v>858.66719052708004</v>
      </c>
      <c r="AC137" s="14">
        <f t="shared" si="160"/>
        <v>9.7443169622410744E-2</v>
      </c>
    </row>
    <row r="138" spans="1:29" hidden="1" x14ac:dyDescent="0.25">
      <c r="A138" t="str">
        <f>'rockfish harvests'!A137</f>
        <v>SC</v>
      </c>
      <c r="B138">
        <f>'rockfish harvests'!B137</f>
        <v>2008</v>
      </c>
      <c r="C138" t="str">
        <f>'rockfish harvests'!C137</f>
        <v>NG</v>
      </c>
      <c r="D138">
        <f>'rockfish harvests'!D137</f>
        <v>25596</v>
      </c>
      <c r="E138">
        <v>4729</v>
      </c>
      <c r="F138">
        <v>3376</v>
      </c>
      <c r="I138" s="13">
        <f t="shared" si="161"/>
        <v>3376</v>
      </c>
      <c r="J138">
        <f t="shared" si="149"/>
        <v>0</v>
      </c>
      <c r="K138">
        <f t="shared" si="150"/>
        <v>0</v>
      </c>
      <c r="L138" s="6">
        <f t="shared" si="151"/>
        <v>0</v>
      </c>
      <c r="N138" s="2">
        <f>'rockfish harvests'!O137</f>
        <v>12657.967031833927</v>
      </c>
      <c r="O138">
        <f>'rockfish harvests'!P137</f>
        <v>9338594.6288435515</v>
      </c>
      <c r="P138">
        <v>0.127853881</v>
      </c>
      <c r="Q138">
        <v>5.1150100000000003E-4</v>
      </c>
      <c r="T138" s="13">
        <f t="shared" si="152"/>
        <v>1618.3702105900181</v>
      </c>
      <c r="U138" s="14">
        <f t="shared" si="159"/>
        <v>229832.51189152815</v>
      </c>
      <c r="V138">
        <f t="shared" si="153"/>
        <v>479.40850210600996</v>
      </c>
      <c r="W138" s="6">
        <f t="shared" si="154"/>
        <v>939.64066412777947</v>
      </c>
      <c r="Y138" s="13">
        <f t="shared" si="155"/>
        <v>4994.3702105900184</v>
      </c>
      <c r="Z138">
        <f t="shared" si="156"/>
        <v>229832.51189152815</v>
      </c>
      <c r="AA138">
        <f t="shared" si="157"/>
        <v>479.40850210600996</v>
      </c>
      <c r="AB138" s="6">
        <f t="shared" si="158"/>
        <v>939.64066412777947</v>
      </c>
      <c r="AC138" s="14">
        <f t="shared" si="160"/>
        <v>9.5989780871565428E-2</v>
      </c>
    </row>
    <row r="139" spans="1:29" hidden="1" x14ac:dyDescent="0.25">
      <c r="A139" t="str">
        <f>'rockfish harvests'!A138</f>
        <v>SC</v>
      </c>
      <c r="B139">
        <f>'rockfish harvests'!B138</f>
        <v>2009</v>
      </c>
      <c r="C139" t="str">
        <f>'rockfish harvests'!C138</f>
        <v>NG</v>
      </c>
      <c r="D139">
        <f>'rockfish harvests'!D138</f>
        <v>21909</v>
      </c>
      <c r="E139">
        <v>3321</v>
      </c>
      <c r="F139">
        <v>2548</v>
      </c>
      <c r="I139" s="13">
        <f t="shared" si="161"/>
        <v>2548</v>
      </c>
      <c r="J139">
        <f t="shared" si="149"/>
        <v>0</v>
      </c>
      <c r="K139">
        <f t="shared" si="150"/>
        <v>0</v>
      </c>
      <c r="L139" s="6">
        <f t="shared" si="151"/>
        <v>0</v>
      </c>
      <c r="N139" s="2">
        <f>'rockfish harvests'!O138</f>
        <v>10834.638213019593</v>
      </c>
      <c r="O139">
        <f>'rockfish harvests'!P138</f>
        <v>6841989.9451254793</v>
      </c>
      <c r="P139">
        <v>0.10645800800000001</v>
      </c>
      <c r="Q139">
        <v>1.7201599999999999E-4</v>
      </c>
      <c r="T139" s="13">
        <f t="shared" si="152"/>
        <v>1153.4340015587456</v>
      </c>
      <c r="U139" s="14">
        <f t="shared" si="159"/>
        <v>96558.296479844939</v>
      </c>
      <c r="V139">
        <f t="shared" si="153"/>
        <v>310.73830867764752</v>
      </c>
      <c r="W139" s="6">
        <f t="shared" si="154"/>
        <v>609.04708500818913</v>
      </c>
      <c r="Y139" s="13">
        <f t="shared" si="155"/>
        <v>3701.4340015587459</v>
      </c>
      <c r="Z139">
        <f t="shared" si="156"/>
        <v>96558.296479844939</v>
      </c>
      <c r="AA139">
        <f t="shared" si="157"/>
        <v>310.73830867764752</v>
      </c>
      <c r="AB139" s="6">
        <f t="shared" si="158"/>
        <v>609.04708500818913</v>
      </c>
      <c r="AC139" s="14">
        <f t="shared" si="160"/>
        <v>8.3950790030779848E-2</v>
      </c>
    </row>
    <row r="140" spans="1:29" hidden="1" x14ac:dyDescent="0.25">
      <c r="A140" t="str">
        <f>'rockfish harvests'!A139</f>
        <v>SC</v>
      </c>
      <c r="B140">
        <f>'rockfish harvests'!B139</f>
        <v>2010</v>
      </c>
      <c r="C140" t="str">
        <f>'rockfish harvests'!C139</f>
        <v>NG</v>
      </c>
      <c r="D140">
        <f>'rockfish harvests'!D139</f>
        <v>27027</v>
      </c>
      <c r="E140">
        <v>6189</v>
      </c>
      <c r="F140">
        <v>3449</v>
      </c>
      <c r="I140" s="13">
        <f t="shared" si="161"/>
        <v>3449</v>
      </c>
      <c r="J140">
        <f t="shared" si="149"/>
        <v>0</v>
      </c>
      <c r="K140">
        <f t="shared" si="150"/>
        <v>0</v>
      </c>
      <c r="L140" s="6">
        <f t="shared" si="151"/>
        <v>0</v>
      </c>
      <c r="N140" s="2">
        <f>'rockfish harvests'!O139</f>
        <v>13365.638184457552</v>
      </c>
      <c r="O140">
        <f>'rockfish harvests'!P139</f>
        <v>10411972.30311189</v>
      </c>
      <c r="P140">
        <v>0.113661309</v>
      </c>
      <c r="Q140">
        <v>1.8484799999999999E-4</v>
      </c>
      <c r="T140" s="13">
        <f t="shared" si="152"/>
        <v>1519.1559316658288</v>
      </c>
      <c r="U140" s="14">
        <f t="shared" si="159"/>
        <v>165607.82478112992</v>
      </c>
      <c r="V140">
        <f t="shared" si="153"/>
        <v>406.94941304925101</v>
      </c>
      <c r="W140" s="6">
        <f t="shared" si="154"/>
        <v>797.62084957653201</v>
      </c>
      <c r="Y140" s="13">
        <f t="shared" si="155"/>
        <v>4968.1559316658286</v>
      </c>
      <c r="Z140">
        <f t="shared" si="156"/>
        <v>165607.82478112992</v>
      </c>
      <c r="AA140">
        <f t="shared" si="157"/>
        <v>406.94941304925101</v>
      </c>
      <c r="AB140" s="6">
        <f t="shared" si="158"/>
        <v>797.62084957653201</v>
      </c>
      <c r="AC140" s="14">
        <f t="shared" si="160"/>
        <v>8.191156208593485E-2</v>
      </c>
    </row>
    <row r="141" spans="1:29" hidden="1" x14ac:dyDescent="0.25">
      <c r="A141" t="str">
        <f>'rockfish harvests'!A140</f>
        <v>SC</v>
      </c>
      <c r="B141">
        <f>'rockfish harvests'!B140</f>
        <v>2011</v>
      </c>
      <c r="C141" t="str">
        <f>'rockfish harvests'!C140</f>
        <v>NG</v>
      </c>
      <c r="D141">
        <f>'rockfish harvests'!D140</f>
        <v>30322</v>
      </c>
      <c r="E141">
        <v>5609</v>
      </c>
      <c r="F141">
        <v>3576</v>
      </c>
      <c r="I141" s="13">
        <f t="shared" si="161"/>
        <v>3576</v>
      </c>
      <c r="J141">
        <f t="shared" si="149"/>
        <v>0</v>
      </c>
      <c r="K141">
        <f t="shared" si="150"/>
        <v>0</v>
      </c>
      <c r="L141" s="6">
        <f t="shared" si="151"/>
        <v>0</v>
      </c>
      <c r="N141" s="2">
        <f>'rockfish harvests'!O140</f>
        <v>21882.405010282295</v>
      </c>
      <c r="O141">
        <f>'rockfish harvests'!P140</f>
        <v>8183614.275682712</v>
      </c>
      <c r="P141">
        <v>0.32414201300000001</v>
      </c>
      <c r="Q141">
        <v>5.6754899999999998E-4</v>
      </c>
      <c r="T141" s="13">
        <f t="shared" si="152"/>
        <v>7093.006809314189</v>
      </c>
      <c r="U141" s="14">
        <f t="shared" si="159"/>
        <v>1126956.7115097037</v>
      </c>
      <c r="V141">
        <f t="shared" si="153"/>
        <v>1061.5821736962728</v>
      </c>
      <c r="W141" s="6">
        <f t="shared" si="154"/>
        <v>2080.7010604446946</v>
      </c>
      <c r="Y141" s="13">
        <f t="shared" si="155"/>
        <v>10669.006809314189</v>
      </c>
      <c r="Z141">
        <f t="shared" si="156"/>
        <v>1126956.7115097037</v>
      </c>
      <c r="AA141">
        <f t="shared" si="157"/>
        <v>1061.5821736962728</v>
      </c>
      <c r="AB141" s="6">
        <f t="shared" si="158"/>
        <v>2080.7010604446946</v>
      </c>
      <c r="AC141" s="14">
        <f t="shared" si="160"/>
        <v>9.9501499311960048E-2</v>
      </c>
    </row>
    <row r="142" spans="1:29" hidden="1" x14ac:dyDescent="0.25">
      <c r="A142" t="str">
        <f>'rockfish harvests'!A141</f>
        <v>SC</v>
      </c>
      <c r="B142">
        <f>'rockfish harvests'!B141</f>
        <v>2012</v>
      </c>
      <c r="C142" t="str">
        <f>'rockfish harvests'!C141</f>
        <v>NG</v>
      </c>
      <c r="D142">
        <f>'rockfish harvests'!D141</f>
        <v>27771</v>
      </c>
      <c r="E142">
        <v>5715</v>
      </c>
      <c r="F142">
        <v>3368</v>
      </c>
      <c r="I142" s="13">
        <f t="shared" si="161"/>
        <v>3368</v>
      </c>
      <c r="J142">
        <f t="shared" si="149"/>
        <v>0</v>
      </c>
      <c r="K142">
        <f t="shared" si="150"/>
        <v>0</v>
      </c>
      <c r="L142" s="6">
        <f t="shared" si="151"/>
        <v>0</v>
      </c>
      <c r="N142" s="2">
        <f>'rockfish harvests'!O141</f>
        <v>13248.802237331009</v>
      </c>
      <c r="O142">
        <f>'rockfish harvests'!P141</f>
        <v>2524598.6215632036</v>
      </c>
      <c r="P142">
        <v>0.289746909</v>
      </c>
      <c r="Q142">
        <v>3.9499700000000001E-4</v>
      </c>
      <c r="T142" s="13">
        <f t="shared" si="152"/>
        <v>3838.7994962189441</v>
      </c>
      <c r="U142" s="14">
        <f t="shared" si="159"/>
        <v>280285.22794866329</v>
      </c>
      <c r="V142">
        <f t="shared" si="153"/>
        <v>529.41970868930002</v>
      </c>
      <c r="W142" s="6">
        <f t="shared" si="154"/>
        <v>1037.662629031028</v>
      </c>
      <c r="Y142" s="13">
        <f t="shared" si="155"/>
        <v>7206.7994962189441</v>
      </c>
      <c r="Z142">
        <f t="shared" si="156"/>
        <v>280285.22794866329</v>
      </c>
      <c r="AA142">
        <f t="shared" si="157"/>
        <v>529.41970868930002</v>
      </c>
      <c r="AB142" s="6">
        <f t="shared" si="158"/>
        <v>1037.662629031028</v>
      </c>
      <c r="AC142" s="14">
        <f t="shared" si="160"/>
        <v>7.3461140269971525E-2</v>
      </c>
    </row>
    <row r="143" spans="1:29" hidden="1" x14ac:dyDescent="0.25">
      <c r="A143" t="str">
        <f>'rockfish harvests'!A142</f>
        <v>SC</v>
      </c>
      <c r="B143">
        <f>'rockfish harvests'!B142</f>
        <v>2013</v>
      </c>
      <c r="C143" t="str">
        <f>'rockfish harvests'!C142</f>
        <v>NG</v>
      </c>
      <c r="D143">
        <f>'rockfish harvests'!D142</f>
        <v>30558</v>
      </c>
      <c r="E143">
        <v>5301</v>
      </c>
      <c r="F143">
        <v>3428</v>
      </c>
      <c r="I143" s="13">
        <f t="shared" si="161"/>
        <v>3428</v>
      </c>
      <c r="J143">
        <f t="shared" si="149"/>
        <v>0</v>
      </c>
      <c r="K143">
        <f t="shared" si="150"/>
        <v>0</v>
      </c>
      <c r="L143" s="6">
        <f t="shared" si="151"/>
        <v>0</v>
      </c>
      <c r="N143" s="2">
        <f>'rockfish harvests'!O142</f>
        <v>17157.239835728957</v>
      </c>
      <c r="O143">
        <f>'rockfish harvests'!P142</f>
        <v>3987660.0085104108</v>
      </c>
      <c r="P143">
        <v>0.103530336</v>
      </c>
      <c r="Q143">
        <v>1.4389399999999999E-4</v>
      </c>
      <c r="T143" s="13">
        <f t="shared" si="152"/>
        <v>1776.2948050256036</v>
      </c>
      <c r="U143" s="14">
        <f t="shared" si="159"/>
        <v>84526.258196291819</v>
      </c>
      <c r="V143">
        <f t="shared" si="153"/>
        <v>290.73399903742222</v>
      </c>
      <c r="W143" s="6">
        <f t="shared" si="154"/>
        <v>569.83863811334754</v>
      </c>
      <c r="Y143" s="13">
        <f t="shared" si="155"/>
        <v>5204.2948050256036</v>
      </c>
      <c r="Z143">
        <f t="shared" si="156"/>
        <v>84526.258196291819</v>
      </c>
      <c r="AA143">
        <f t="shared" si="157"/>
        <v>290.73399903742222</v>
      </c>
      <c r="AB143" s="6">
        <f t="shared" si="158"/>
        <v>569.83863811334754</v>
      </c>
      <c r="AC143" s="14">
        <f t="shared" si="160"/>
        <v>5.5864244807321571E-2</v>
      </c>
    </row>
    <row r="144" spans="1:29" hidden="1" x14ac:dyDescent="0.25">
      <c r="A144" t="str">
        <f>'rockfish harvests'!A143</f>
        <v>SC</v>
      </c>
      <c r="B144">
        <f>'rockfish harvests'!B143</f>
        <v>2014</v>
      </c>
      <c r="C144" t="str">
        <f>'rockfish harvests'!C143</f>
        <v>NG</v>
      </c>
      <c r="D144">
        <f>'rockfish harvests'!D143</f>
        <v>37025</v>
      </c>
      <c r="E144">
        <v>5089</v>
      </c>
      <c r="F144">
        <v>2911</v>
      </c>
      <c r="I144" s="13">
        <f t="shared" si="161"/>
        <v>2911</v>
      </c>
      <c r="J144">
        <f t="shared" si="149"/>
        <v>0</v>
      </c>
      <c r="K144">
        <f t="shared" si="150"/>
        <v>0</v>
      </c>
      <c r="L144" s="6">
        <f t="shared" si="151"/>
        <v>0</v>
      </c>
      <c r="N144" s="2">
        <f>'rockfish harvests'!O143</f>
        <v>21744.197040285006</v>
      </c>
      <c r="O144">
        <f>'rockfish harvests'!P143</f>
        <v>6732768.2681420343</v>
      </c>
      <c r="P144">
        <v>0.14445175099999999</v>
      </c>
      <c r="Q144">
        <v>2.3406300000000001E-4</v>
      </c>
      <c r="T144" s="13">
        <f t="shared" si="152"/>
        <v>3140.9873365581866</v>
      </c>
      <c r="U144" s="14">
        <f t="shared" si="159"/>
        <v>249579.47849669654</v>
      </c>
      <c r="V144">
        <f t="shared" si="153"/>
        <v>499.57930150947664</v>
      </c>
      <c r="W144" s="6">
        <f t="shared" si="154"/>
        <v>979.17543095857422</v>
      </c>
      <c r="Y144" s="13">
        <f t="shared" si="155"/>
        <v>6051.9873365581861</v>
      </c>
      <c r="Z144">
        <f t="shared" si="156"/>
        <v>249579.47849669654</v>
      </c>
      <c r="AA144">
        <f t="shared" si="157"/>
        <v>499.57930150947664</v>
      </c>
      <c r="AB144" s="6">
        <f t="shared" si="158"/>
        <v>979.17543095857422</v>
      </c>
      <c r="AC144" s="14">
        <f t="shared" si="160"/>
        <v>8.2547975355412986E-2</v>
      </c>
    </row>
    <row r="145" spans="1:29" hidden="1" x14ac:dyDescent="0.25">
      <c r="A145" t="str">
        <f>'rockfish harvests'!A144</f>
        <v>SC</v>
      </c>
      <c r="B145">
        <f>'rockfish harvests'!B144</f>
        <v>2015</v>
      </c>
      <c r="C145" t="str">
        <f>'rockfish harvests'!C144</f>
        <v>NG</v>
      </c>
      <c r="D145">
        <f>'rockfish harvests'!D144</f>
        <v>45883</v>
      </c>
      <c r="E145">
        <v>6139</v>
      </c>
      <c r="F145">
        <v>3283</v>
      </c>
      <c r="I145" s="13">
        <f t="shared" si="161"/>
        <v>3283</v>
      </c>
      <c r="J145">
        <f t="shared" si="149"/>
        <v>0</v>
      </c>
      <c r="K145">
        <f t="shared" si="150"/>
        <v>0</v>
      </c>
      <c r="L145" s="6">
        <f t="shared" si="151"/>
        <v>0</v>
      </c>
      <c r="N145" s="2">
        <f>'rockfish harvests'!O144</f>
        <v>24091.13981323161</v>
      </c>
      <c r="O145">
        <f>'rockfish harvests'!P144</f>
        <v>7216831.4803412473</v>
      </c>
      <c r="P145">
        <v>0.13784825000000001</v>
      </c>
      <c r="Q145">
        <v>2.3032200000000001E-4</v>
      </c>
      <c r="T145" s="13">
        <f t="shared" si="152"/>
        <v>3320.9214637593045</v>
      </c>
      <c r="U145" s="14">
        <f t="shared" si="159"/>
        <v>269148.02464494883</v>
      </c>
      <c r="V145">
        <f t="shared" si="153"/>
        <v>518.7947808574686</v>
      </c>
      <c r="W145" s="6">
        <f t="shared" si="154"/>
        <v>1016.8377704806385</v>
      </c>
      <c r="Y145" s="13">
        <f t="shared" si="155"/>
        <v>6603.921463759305</v>
      </c>
      <c r="Z145">
        <f t="shared" si="156"/>
        <v>269148.02464494883</v>
      </c>
      <c r="AA145">
        <f t="shared" si="157"/>
        <v>518.7947808574686</v>
      </c>
      <c r="AB145" s="6">
        <f t="shared" si="158"/>
        <v>1016.8377704806385</v>
      </c>
      <c r="AC145" s="14">
        <f t="shared" si="160"/>
        <v>7.8558593360700396E-2</v>
      </c>
    </row>
    <row r="146" spans="1:29" hidden="1" x14ac:dyDescent="0.25">
      <c r="A146" t="str">
        <f>'rockfish harvests'!A145</f>
        <v>SC</v>
      </c>
      <c r="B146">
        <f>'rockfish harvests'!B145</f>
        <v>2016</v>
      </c>
      <c r="C146" t="str">
        <f>'rockfish harvests'!C145</f>
        <v>NG</v>
      </c>
      <c r="D146">
        <f>'rockfish harvests'!D145</f>
        <v>56991</v>
      </c>
      <c r="E146">
        <v>7838</v>
      </c>
      <c r="F146">
        <v>4064</v>
      </c>
      <c r="I146" s="13">
        <f t="shared" si="161"/>
        <v>4064</v>
      </c>
      <c r="J146">
        <f t="shared" si="149"/>
        <v>0</v>
      </c>
      <c r="K146">
        <f t="shared" si="150"/>
        <v>0</v>
      </c>
      <c r="L146" s="6">
        <f t="shared" si="151"/>
        <v>0</v>
      </c>
      <c r="N146" s="2">
        <f>'rockfish harvests'!O145</f>
        <v>21657.041703490948</v>
      </c>
      <c r="O146">
        <f>'rockfish harvests'!P145</f>
        <v>6461271.9983784193</v>
      </c>
      <c r="P146">
        <v>0.162951385</v>
      </c>
      <c r="Q146">
        <v>3.03107E-4</v>
      </c>
      <c r="T146" s="13">
        <f t="shared" si="152"/>
        <v>3529.0449405866093</v>
      </c>
      <c r="U146" s="14">
        <f t="shared" si="159"/>
        <v>311774.19772712432</v>
      </c>
      <c r="V146">
        <f t="shared" si="153"/>
        <v>558.36743970894679</v>
      </c>
      <c r="W146" s="6">
        <f t="shared" si="154"/>
        <v>1094.4001818295358</v>
      </c>
      <c r="Y146" s="13">
        <f t="shared" si="155"/>
        <v>7593.0449405866093</v>
      </c>
      <c r="Z146">
        <f t="shared" si="156"/>
        <v>311774.19772712432</v>
      </c>
      <c r="AA146">
        <f t="shared" si="157"/>
        <v>558.36743970894679</v>
      </c>
      <c r="AB146" s="6">
        <f t="shared" si="158"/>
        <v>1094.4001818295358</v>
      </c>
      <c r="AC146" s="14">
        <f t="shared" si="160"/>
        <v>7.3536696289566467E-2</v>
      </c>
    </row>
    <row r="147" spans="1:29" hidden="1" x14ac:dyDescent="0.25">
      <c r="A147" t="str">
        <f>'rockfish harvests'!A146</f>
        <v>SC</v>
      </c>
      <c r="B147">
        <f>'rockfish harvests'!B146</f>
        <v>2017</v>
      </c>
      <c r="C147" t="str">
        <f>'rockfish harvests'!C146</f>
        <v>NG</v>
      </c>
      <c r="D147">
        <f>'rockfish harvests'!D146</f>
        <v>38626</v>
      </c>
      <c r="E147">
        <v>6291</v>
      </c>
      <c r="F147">
        <v>3405</v>
      </c>
      <c r="I147" s="13">
        <f t="shared" si="161"/>
        <v>3405</v>
      </c>
      <c r="J147">
        <f t="shared" si="149"/>
        <v>0</v>
      </c>
      <c r="K147">
        <f t="shared" si="150"/>
        <v>0</v>
      </c>
      <c r="L147" s="6">
        <f t="shared" si="151"/>
        <v>0</v>
      </c>
      <c r="N147" s="2">
        <f>'rockfish harvests'!O146</f>
        <v>15237.511532831981</v>
      </c>
      <c r="O147">
        <f>'rockfish harvests'!P146</f>
        <v>3824430.6766507281</v>
      </c>
      <c r="P147">
        <v>9.1523498999999994E-2</v>
      </c>
      <c r="Q147">
        <v>3.9220299999999999E-4</v>
      </c>
      <c r="T147" s="13">
        <f t="shared" si="152"/>
        <v>1394.5903715376362</v>
      </c>
      <c r="U147" s="14">
        <f t="shared" si="159"/>
        <v>121597.96684441614</v>
      </c>
      <c r="V147">
        <f t="shared" si="153"/>
        <v>348.70900023431591</v>
      </c>
      <c r="W147" s="6">
        <f t="shared" si="154"/>
        <v>683.46964045925915</v>
      </c>
      <c r="Y147" s="13">
        <f t="shared" si="155"/>
        <v>4799.5903715376362</v>
      </c>
      <c r="Z147">
        <f t="shared" si="156"/>
        <v>121597.96684441614</v>
      </c>
      <c r="AA147">
        <f t="shared" si="157"/>
        <v>348.70900023431591</v>
      </c>
      <c r="AB147" s="6">
        <f t="shared" si="158"/>
        <v>683.46964045925915</v>
      </c>
      <c r="AC147" s="14">
        <f t="shared" si="160"/>
        <v>7.2653908613163717E-2</v>
      </c>
    </row>
    <row r="148" spans="1:29" hidden="1" x14ac:dyDescent="0.25">
      <c r="A148" t="str">
        <f>'rockfish harvests'!A147</f>
        <v>SC</v>
      </c>
      <c r="B148">
        <f>'rockfish harvests'!B147</f>
        <v>2018</v>
      </c>
      <c r="C148" t="str">
        <f>'rockfish harvests'!C147</f>
        <v>NG</v>
      </c>
      <c r="D148">
        <f>'rockfish harvests'!D147</f>
        <v>50115</v>
      </c>
      <c r="E148">
        <v>8269</v>
      </c>
      <c r="F148">
        <v>4260</v>
      </c>
      <c r="I148" s="13">
        <f t="shared" si="161"/>
        <v>4260</v>
      </c>
      <c r="J148">
        <f t="shared" si="149"/>
        <v>0</v>
      </c>
      <c r="K148">
        <f t="shared" si="150"/>
        <v>0</v>
      </c>
      <c r="L148" s="6">
        <f t="shared" si="151"/>
        <v>0</v>
      </c>
      <c r="N148" s="2">
        <f>'rockfish harvests'!O147</f>
        <v>18807.337515014005</v>
      </c>
      <c r="O148">
        <f>'rockfish harvests'!P147</f>
        <v>5909265.1225642972</v>
      </c>
      <c r="P148">
        <v>0.19034858399999999</v>
      </c>
      <c r="Q148">
        <v>4.2223599999999999E-4</v>
      </c>
      <c r="T148" s="13">
        <f t="shared" si="152"/>
        <v>3579.9500647929945</v>
      </c>
      <c r="U148" s="14">
        <f t="shared" si="159"/>
        <v>360964.44260098715</v>
      </c>
      <c r="V148">
        <f t="shared" si="153"/>
        <v>600.80316460633526</v>
      </c>
      <c r="W148" s="6">
        <f t="shared" si="154"/>
        <v>1177.5742026284172</v>
      </c>
      <c r="Y148" s="13">
        <f t="shared" si="155"/>
        <v>7839.9500647929945</v>
      </c>
      <c r="Z148">
        <f t="shared" si="156"/>
        <v>360964.44260098715</v>
      </c>
      <c r="AA148">
        <f t="shared" si="157"/>
        <v>600.80316460633526</v>
      </c>
      <c r="AB148" s="6">
        <f t="shared" si="158"/>
        <v>1177.5742026284172</v>
      </c>
      <c r="AC148" s="14">
        <f t="shared" si="160"/>
        <v>7.6633544811002416E-2</v>
      </c>
    </row>
    <row r="149" spans="1:29" hidden="1" x14ac:dyDescent="0.25">
      <c r="A149" t="str">
        <f>'rockfish harvests'!A148</f>
        <v>SC</v>
      </c>
      <c r="B149">
        <f>'rockfish harvests'!B148</f>
        <v>2019</v>
      </c>
      <c r="C149" t="str">
        <f>'rockfish harvests'!C148</f>
        <v>NG</v>
      </c>
      <c r="D149">
        <f>'rockfish harvests'!D148</f>
        <v>64565</v>
      </c>
      <c r="E149">
        <v>9526</v>
      </c>
      <c r="F149">
        <v>5735</v>
      </c>
      <c r="I149" s="13">
        <f>F149</f>
        <v>5735</v>
      </c>
      <c r="J149">
        <f>(E149^2)*H149</f>
        <v>0</v>
      </c>
      <c r="K149">
        <f>SQRT(J149)</f>
        <v>0</v>
      </c>
      <c r="L149" s="6">
        <f>(1.96*K149)</f>
        <v>0</v>
      </c>
      <c r="N149" s="2">
        <f>'rockfish harvests'!O148</f>
        <v>30264.472570734768</v>
      </c>
      <c r="O149">
        <f>'rockfish harvests'!P148</f>
        <v>14426596.252648354</v>
      </c>
      <c r="P149">
        <v>0.19832983800000001</v>
      </c>
      <c r="Q149">
        <v>4.4288299999999998E-4</v>
      </c>
      <c r="T149" s="13">
        <f>N149*P149</f>
        <v>6002.3479421092707</v>
      </c>
      <c r="U149" s="14">
        <f>(N149^2)*Q149+(P149^2)*O149-(Q149*O149)</f>
        <v>966730.39899032563</v>
      </c>
      <c r="V149">
        <f>SQRT(U149)</f>
        <v>983.22449063798524</v>
      </c>
      <c r="W149" s="6">
        <f>(1.96*V149)</f>
        <v>1927.1200016504511</v>
      </c>
      <c r="Y149" s="13">
        <f>T149+I149</f>
        <v>11737.347942109271</v>
      </c>
      <c r="Z149">
        <f>U149+J149</f>
        <v>966730.39899032563</v>
      </c>
      <c r="AA149">
        <f>SQRT(Z149)</f>
        <v>983.22449063798524</v>
      </c>
      <c r="AB149" s="6">
        <f>(1.96*AA149)</f>
        <v>1927.1200016504511</v>
      </c>
      <c r="AC149" s="14">
        <f t="shared" si="160"/>
        <v>8.3768879945233521E-2</v>
      </c>
    </row>
    <row r="150" spans="1:29" hidden="1" x14ac:dyDescent="0.25">
      <c r="A150" t="str">
        <f>'rockfish harvests'!A149</f>
        <v>SC</v>
      </c>
      <c r="B150">
        <f>'rockfish harvests'!B149</f>
        <v>2020</v>
      </c>
      <c r="C150" t="str">
        <f>'rockfish harvests'!C149</f>
        <v>NG</v>
      </c>
      <c r="D150">
        <f>'rockfish harvests'!D149</f>
        <v>43363</v>
      </c>
      <c r="E150">
        <v>6211</v>
      </c>
      <c r="F150">
        <v>3649</v>
      </c>
      <c r="I150" s="13">
        <f t="shared" ref="I150:I152" si="162">F150</f>
        <v>3649</v>
      </c>
      <c r="J150">
        <f t="shared" ref="J150:J152" si="163">(E150^2)*H150</f>
        <v>0</v>
      </c>
      <c r="K150">
        <f t="shared" ref="K150:K152" si="164">SQRT(J150)</f>
        <v>0</v>
      </c>
      <c r="L150" s="6">
        <f t="shared" ref="L150:L152" si="165">(1.96*K150)</f>
        <v>0</v>
      </c>
      <c r="N150" s="2">
        <f>'rockfish harvests'!O149</f>
        <v>14406.767557261875</v>
      </c>
      <c r="O150">
        <f>'rockfish harvests'!P149</f>
        <v>3787465.8304927479</v>
      </c>
      <c r="P150">
        <v>0.24935194495573898</v>
      </c>
      <c r="Q150">
        <v>7.089983049338223E-4</v>
      </c>
      <c r="T150" s="13">
        <f t="shared" ref="T150:T151" si="166">N150*P150</f>
        <v>3592.3555109284894</v>
      </c>
      <c r="U150" s="14">
        <f t="shared" ref="U150:U151" si="167">(N150^2)*Q150+(P150^2)*O150-(Q150*O150)</f>
        <v>379961.76378396933</v>
      </c>
      <c r="V150">
        <f t="shared" ref="V150:V151" si="168">SQRT(U150)</f>
        <v>616.41038585018123</v>
      </c>
      <c r="W150" s="6">
        <f t="shared" ref="W150:W151" si="169">(1.96*V150)</f>
        <v>1208.1643562663553</v>
      </c>
      <c r="Y150" s="13">
        <f t="shared" ref="Y150:Y151" si="170">T150+I150</f>
        <v>7241.3555109284898</v>
      </c>
      <c r="Z150">
        <f t="shared" ref="Z150:Z151" si="171">U150+J150</f>
        <v>379961.76378396933</v>
      </c>
      <c r="AA150">
        <f t="shared" ref="AA150:AA151" si="172">SQRT(Z150)</f>
        <v>616.41038585018123</v>
      </c>
      <c r="AB150" s="6">
        <f t="shared" ref="AB150:AB151" si="173">(1.96*AA150)</f>
        <v>1208.1643562663553</v>
      </c>
      <c r="AC150" s="14">
        <f t="shared" ref="AC150:AC151" si="174">AA150/Y150</f>
        <v>8.5123618764457648E-2</v>
      </c>
    </row>
    <row r="151" spans="1:29" hidden="1" x14ac:dyDescent="0.25">
      <c r="A151" t="str">
        <f>'rockfish harvests'!A150</f>
        <v>SC</v>
      </c>
      <c r="B151">
        <f>'rockfish harvests'!B150</f>
        <v>2021</v>
      </c>
      <c r="C151" t="str">
        <f>'rockfish harvests'!C150</f>
        <v>NG</v>
      </c>
      <c r="D151">
        <f>'rockfish harvests'!D150</f>
        <v>83097</v>
      </c>
      <c r="E151">
        <v>9825</v>
      </c>
      <c r="F151">
        <v>5467</v>
      </c>
      <c r="I151" s="13">
        <f t="shared" si="162"/>
        <v>5467</v>
      </c>
      <c r="J151">
        <f t="shared" si="163"/>
        <v>0</v>
      </c>
      <c r="K151">
        <f t="shared" si="164"/>
        <v>0</v>
      </c>
      <c r="L151" s="6">
        <f t="shared" si="165"/>
        <v>0</v>
      </c>
      <c r="N151" s="2">
        <f>'rockfish harvests'!O150</f>
        <v>24593.025482509038</v>
      </c>
      <c r="O151">
        <f>'rockfish harvests'!P150</f>
        <v>11012636.577756885</v>
      </c>
      <c r="P151">
        <v>0.17003623436794801</v>
      </c>
      <c r="Q151">
        <v>8.3505274183382416E-4</v>
      </c>
      <c r="T151" s="13">
        <f t="shared" si="166"/>
        <v>4181.7054447608243</v>
      </c>
      <c r="U151" s="14">
        <f t="shared" si="167"/>
        <v>814258.76404434501</v>
      </c>
      <c r="V151">
        <f t="shared" si="168"/>
        <v>902.36287825039938</v>
      </c>
      <c r="W151" s="6">
        <f t="shared" si="169"/>
        <v>1768.6312413707828</v>
      </c>
      <c r="Y151" s="13">
        <f t="shared" si="170"/>
        <v>9648.7054447608243</v>
      </c>
      <c r="Z151">
        <f t="shared" si="171"/>
        <v>814258.76404434501</v>
      </c>
      <c r="AA151">
        <f t="shared" si="172"/>
        <v>902.36287825039938</v>
      </c>
      <c r="AB151" s="6">
        <f t="shared" si="173"/>
        <v>1768.6312413707828</v>
      </c>
      <c r="AC151" s="14">
        <f t="shared" si="174"/>
        <v>9.3521652559139495E-2</v>
      </c>
    </row>
    <row r="152" spans="1:29" s="51" customFormat="1" hidden="1" x14ac:dyDescent="0.25">
      <c r="A152" s="51" t="s">
        <v>81</v>
      </c>
      <c r="B152" s="51">
        <v>2022</v>
      </c>
      <c r="C152" s="51" t="s">
        <v>49</v>
      </c>
      <c r="D152">
        <v>86545</v>
      </c>
      <c r="E152" s="51">
        <v>9737</v>
      </c>
      <c r="F152">
        <v>4797</v>
      </c>
      <c r="I152" s="13">
        <f t="shared" si="162"/>
        <v>4797</v>
      </c>
      <c r="J152" s="51">
        <f t="shared" si="163"/>
        <v>0</v>
      </c>
      <c r="K152" s="51">
        <f t="shared" si="164"/>
        <v>0</v>
      </c>
      <c r="L152" s="78">
        <f t="shared" si="165"/>
        <v>0</v>
      </c>
      <c r="N152" s="2">
        <f>'rockfish harvests'!O151</f>
        <v>23511.656725947614</v>
      </c>
      <c r="O152">
        <f>'rockfish harvests'!P151</f>
        <v>12484731.197476877</v>
      </c>
      <c r="P152" s="91">
        <v>0.15075340355242647</v>
      </c>
      <c r="Q152" s="91">
        <v>4.0643433291995468E-4</v>
      </c>
      <c r="T152" s="13">
        <f t="shared" ref="T152" si="175">N152*P152</f>
        <v>3544.4622745929028</v>
      </c>
      <c r="U152" s="14">
        <f t="shared" ref="U152" si="176">(N152^2)*Q152+(P152^2)*O152-(Q152*O152)</f>
        <v>503337.21452432353</v>
      </c>
      <c r="V152">
        <f t="shared" ref="V152" si="177">SQRT(U152)</f>
        <v>709.46262376838683</v>
      </c>
      <c r="W152" s="6">
        <f t="shared" ref="W152" si="178">(1.96*V152)</f>
        <v>1390.5467425860381</v>
      </c>
      <c r="X152"/>
      <c r="Y152" s="13">
        <f t="shared" ref="Y152" si="179">T152+I152</f>
        <v>8341.4622745929028</v>
      </c>
      <c r="Z152">
        <f t="shared" ref="Z152" si="180">U152+J152</f>
        <v>503337.21452432353</v>
      </c>
      <c r="AA152">
        <f t="shared" ref="AA152" si="181">SQRT(Z152)</f>
        <v>709.46262376838683</v>
      </c>
      <c r="AB152" s="6">
        <f t="shared" ref="AB152" si="182">(1.96*AA152)</f>
        <v>1390.5467425860381</v>
      </c>
      <c r="AC152" s="14">
        <f t="shared" ref="AC152" si="183">AA152/Y152</f>
        <v>8.5052548391823968E-2</v>
      </c>
    </row>
    <row r="153" spans="1:29" hidden="1" x14ac:dyDescent="0.25">
      <c r="A153" t="str">
        <f>'rockfish harvests'!A152</f>
        <v>SC</v>
      </c>
      <c r="B153">
        <f>'rockfish harvests'!B152</f>
        <v>1998</v>
      </c>
      <c r="C153" t="str">
        <f>'rockfish harvests'!C152</f>
        <v>NORTHEAS</v>
      </c>
      <c r="D153">
        <f>'rockfish harvests'!D152</f>
        <v>1488</v>
      </c>
      <c r="E153">
        <v>511</v>
      </c>
      <c r="F153" t="s">
        <v>159</v>
      </c>
      <c r="G153" s="38">
        <v>0.52164807028690008</v>
      </c>
      <c r="H153" s="39">
        <v>3.2490492583549309E-2</v>
      </c>
      <c r="I153" s="13">
        <f t="shared" ref="I153:I160" si="184">E153*G153</f>
        <v>266.56216391660593</v>
      </c>
      <c r="J153">
        <f t="shared" si="149"/>
        <v>8483.9499139089785</v>
      </c>
      <c r="K153">
        <f t="shared" si="150"/>
        <v>92.108359630974746</v>
      </c>
      <c r="L153" s="6">
        <f t="shared" si="151"/>
        <v>180.53238487671049</v>
      </c>
      <c r="N153" s="2">
        <f>'rockfish harvests'!O152</f>
        <v>1158.751507803267</v>
      </c>
      <c r="O153">
        <f>'rockfish harvests'!P152</f>
        <v>130721.74657888399</v>
      </c>
      <c r="P153">
        <f>IF([1]species_comp_Region2_forR!$D250&gt;49,[1]species_comp_Region2_forR!$J250,[1]species_comp_Region2_forR!$L250)</f>
        <v>3.3333333E-2</v>
      </c>
      <c r="Q153">
        <f>IF([1]species_comp_Region2_forR!$D250&gt;49,[1]species_comp_Region2_forR!$K250,[1]species_comp_Region2_forR!$M250)</f>
        <v>3.62047E-4</v>
      </c>
      <c r="T153" s="13">
        <f t="shared" si="152"/>
        <v>38.625049873858401</v>
      </c>
      <c r="U153" s="14">
        <f t="shared" si="159"/>
        <v>584.04130371150404</v>
      </c>
      <c r="V153">
        <f t="shared" si="153"/>
        <v>24.166946511951071</v>
      </c>
      <c r="W153" s="6">
        <f t="shared" si="154"/>
        <v>47.367215163424099</v>
      </c>
      <c r="Y153" s="13">
        <f t="shared" si="155"/>
        <v>305.18721379046434</v>
      </c>
      <c r="Z153">
        <f t="shared" si="156"/>
        <v>9067.9912176204816</v>
      </c>
      <c r="AA153">
        <f t="shared" si="157"/>
        <v>95.226000743601958</v>
      </c>
      <c r="AB153" s="6">
        <f t="shared" si="158"/>
        <v>186.64296145745985</v>
      </c>
      <c r="AC153" s="14">
        <f>AA153/Y153</f>
        <v>0.3120248701145858</v>
      </c>
    </row>
    <row r="154" spans="1:29" hidden="1" x14ac:dyDescent="0.25">
      <c r="A154" t="str">
        <f>'rockfish harvests'!A153</f>
        <v>SC</v>
      </c>
      <c r="B154">
        <f>'rockfish harvests'!B153</f>
        <v>1999</v>
      </c>
      <c r="C154" t="str">
        <f>'rockfish harvests'!C153</f>
        <v>NORTHEAS</v>
      </c>
      <c r="D154">
        <f>'rockfish harvests'!D153</f>
        <v>1866</v>
      </c>
      <c r="E154">
        <v>177</v>
      </c>
      <c r="F154" t="s">
        <v>159</v>
      </c>
      <c r="G154" s="38">
        <v>0.52164807028690008</v>
      </c>
      <c r="H154" s="39">
        <v>3.2490492583549309E-2</v>
      </c>
      <c r="I154" s="13">
        <f t="shared" si="184"/>
        <v>92.331708440781313</v>
      </c>
      <c r="J154">
        <f t="shared" si="149"/>
        <v>1017.8946421500164</v>
      </c>
      <c r="K154">
        <f t="shared" si="150"/>
        <v>31.904461163762292</v>
      </c>
      <c r="L154" s="6">
        <f t="shared" si="151"/>
        <v>62.532743880974088</v>
      </c>
      <c r="N154" s="2">
        <f>'rockfish harvests'!O153</f>
        <v>1453.1117698661938</v>
      </c>
      <c r="O154">
        <f>'rockfish harvests'!P153</f>
        <v>205572.61399024838</v>
      </c>
      <c r="P154">
        <f>IF([1]species_comp_Region2_forR!$D251&gt;49,[1]species_comp_Region2_forR!$J251,[1]species_comp_Region2_forR!$L251)</f>
        <v>2.6905829999999999E-2</v>
      </c>
      <c r="Q154">
        <f>IF([1]species_comp_Region2_forR!$D251&gt;49,[1]species_comp_Region2_forR!$K251,[1]species_comp_Region2_forR!$M251)</f>
        <v>1.1793700000000001E-4</v>
      </c>
      <c r="T154" s="13">
        <f t="shared" si="152"/>
        <v>39.097178251018931</v>
      </c>
      <c r="U154" s="14">
        <f t="shared" si="159"/>
        <v>373.60223111817282</v>
      </c>
      <c r="V154">
        <f t="shared" si="153"/>
        <v>19.328792800332174</v>
      </c>
      <c r="W154" s="6">
        <f t="shared" si="154"/>
        <v>37.88443388865106</v>
      </c>
      <c r="Y154" s="13">
        <f t="shared" si="155"/>
        <v>131.42888669180024</v>
      </c>
      <c r="Z154">
        <f t="shared" si="156"/>
        <v>1391.4968732681891</v>
      </c>
      <c r="AA154">
        <f t="shared" si="157"/>
        <v>37.302772997033195</v>
      </c>
      <c r="AB154" s="6">
        <f t="shared" si="158"/>
        <v>73.113435074185062</v>
      </c>
      <c r="AC154" s="14">
        <f t="shared" ref="AC154:AC174" si="185">AA154/Y154</f>
        <v>0.28382476589418215</v>
      </c>
    </row>
    <row r="155" spans="1:29" hidden="1" x14ac:dyDescent="0.25">
      <c r="A155" t="str">
        <f>'rockfish harvests'!A154</f>
        <v>SC</v>
      </c>
      <c r="B155">
        <f>'rockfish harvests'!B154</f>
        <v>2000</v>
      </c>
      <c r="C155" t="str">
        <f>'rockfish harvests'!C154</f>
        <v>NORTHEAS</v>
      </c>
      <c r="D155">
        <f>'rockfish harvests'!D154</f>
        <v>2115</v>
      </c>
      <c r="E155">
        <v>250</v>
      </c>
      <c r="F155" t="s">
        <v>159</v>
      </c>
      <c r="G155" s="38">
        <v>0.52164807028690008</v>
      </c>
      <c r="H155" s="39">
        <v>3.2490492583549309E-2</v>
      </c>
      <c r="I155" s="13">
        <f t="shared" si="184"/>
        <v>130.41201757172502</v>
      </c>
      <c r="J155">
        <f t="shared" si="149"/>
        <v>2030.6557864718318</v>
      </c>
      <c r="K155">
        <f t="shared" si="150"/>
        <v>45.062798253901541</v>
      </c>
      <c r="L155" s="6">
        <f t="shared" si="151"/>
        <v>88.323084577647023</v>
      </c>
      <c r="N155" s="2">
        <f>'rockfish harvests'!O154</f>
        <v>1647.0157520187568</v>
      </c>
      <c r="O155">
        <f>'rockfish harvests'!P154</f>
        <v>264096.54694560438</v>
      </c>
      <c r="P155">
        <f>IF([1]species_comp_Region2_forR!$D252&gt;49,[1]species_comp_Region2_forR!$J252,[1]species_comp_Region2_forR!$L252)</f>
        <v>5.1282050000000003E-3</v>
      </c>
      <c r="Q155">
        <f>IF([1]species_comp_Region2_forR!$D252&gt;49,[1]species_comp_Region2_forR!$K252,[1]species_comp_Region2_forR!$M252)</f>
        <v>2.6298499999999999E-5</v>
      </c>
      <c r="T155" s="13">
        <f t="shared" si="152"/>
        <v>8.4462344145813493</v>
      </c>
      <c r="U155" s="14">
        <f t="shared" si="159"/>
        <v>71.3389087877473</v>
      </c>
      <c r="V155">
        <f t="shared" si="153"/>
        <v>8.4462363682143842</v>
      </c>
      <c r="W155" s="6">
        <f t="shared" si="154"/>
        <v>16.554623281700191</v>
      </c>
      <c r="Y155" s="13">
        <f t="shared" si="155"/>
        <v>138.85825198630636</v>
      </c>
      <c r="Z155">
        <f t="shared" si="156"/>
        <v>2101.9946952595792</v>
      </c>
      <c r="AA155">
        <f t="shared" si="157"/>
        <v>45.847515693432932</v>
      </c>
      <c r="AB155" s="6">
        <f t="shared" si="158"/>
        <v>89.861130759128542</v>
      </c>
      <c r="AC155" s="14">
        <f t="shared" si="185"/>
        <v>0.33017494486358817</v>
      </c>
    </row>
    <row r="156" spans="1:29" hidden="1" x14ac:dyDescent="0.25">
      <c r="A156" t="str">
        <f>'rockfish harvests'!A155</f>
        <v>SC</v>
      </c>
      <c r="B156">
        <f>'rockfish harvests'!B155</f>
        <v>2001</v>
      </c>
      <c r="C156" t="str">
        <f>'rockfish harvests'!C155</f>
        <v>NORTHEAS</v>
      </c>
      <c r="D156">
        <f>'rockfish harvests'!D155</f>
        <v>2081</v>
      </c>
      <c r="E156">
        <v>227</v>
      </c>
      <c r="F156" t="s">
        <v>159</v>
      </c>
      <c r="G156" s="38">
        <v>0.52164807028690008</v>
      </c>
      <c r="H156" s="39">
        <v>3.2490492583549309E-2</v>
      </c>
      <c r="I156" s="13">
        <f t="shared" si="184"/>
        <v>118.41411195512632</v>
      </c>
      <c r="J156">
        <f t="shared" si="149"/>
        <v>1674.2025923377123</v>
      </c>
      <c r="K156">
        <f t="shared" si="150"/>
        <v>40.917020814542596</v>
      </c>
      <c r="L156" s="6">
        <f t="shared" si="151"/>
        <v>80.197360796503489</v>
      </c>
      <c r="N156" s="2">
        <f>'rockfish harvests'!O155</f>
        <v>1620.5389030501337</v>
      </c>
      <c r="O156">
        <f>'rockfish harvests'!P155</f>
        <v>255673.74912670467</v>
      </c>
      <c r="P156">
        <f>IF([1]species_comp_Region2_forR!$D253&gt;49,[1]species_comp_Region2_forR!$J253,[1]species_comp_Region2_forR!$L253)</f>
        <v>0</v>
      </c>
      <c r="Q156">
        <f>IF([1]species_comp_Region2_forR!$D253&gt;49,[1]species_comp_Region2_forR!$K253,[1]species_comp_Region2_forR!$M253)</f>
        <v>0</v>
      </c>
      <c r="T156" s="13">
        <f t="shared" si="152"/>
        <v>0</v>
      </c>
      <c r="U156" s="14">
        <f t="shared" si="159"/>
        <v>0</v>
      </c>
      <c r="V156">
        <f t="shared" si="153"/>
        <v>0</v>
      </c>
      <c r="W156" s="6">
        <f t="shared" si="154"/>
        <v>0</v>
      </c>
      <c r="Y156" s="13">
        <f t="shared" si="155"/>
        <v>118.41411195512632</v>
      </c>
      <c r="Z156">
        <f t="shared" si="156"/>
        <v>1674.2025923377123</v>
      </c>
      <c r="AA156">
        <f t="shared" si="157"/>
        <v>40.917020814542596</v>
      </c>
      <c r="AB156" s="6">
        <f t="shared" si="158"/>
        <v>80.197360796503489</v>
      </c>
      <c r="AC156" s="14">
        <f t="shared" si="185"/>
        <v>0.34554176135736531</v>
      </c>
    </row>
    <row r="157" spans="1:29" hidden="1" x14ac:dyDescent="0.25">
      <c r="A157" t="str">
        <f>'rockfish harvests'!A156</f>
        <v>SC</v>
      </c>
      <c r="B157">
        <f>'rockfish harvests'!B156</f>
        <v>2002</v>
      </c>
      <c r="C157" t="str">
        <f>'rockfish harvests'!C156</f>
        <v>NORTHEAS</v>
      </c>
      <c r="D157">
        <f>'rockfish harvests'!D156</f>
        <v>2262</v>
      </c>
      <c r="E157">
        <v>210</v>
      </c>
      <c r="F157" t="s">
        <v>159</v>
      </c>
      <c r="G157" s="38">
        <v>0.52164807028690008</v>
      </c>
      <c r="H157" s="39">
        <v>3.2490492583549309E-2</v>
      </c>
      <c r="I157" s="13">
        <f t="shared" si="184"/>
        <v>109.54609476024902</v>
      </c>
      <c r="J157">
        <f t="shared" si="149"/>
        <v>1432.8307229345246</v>
      </c>
      <c r="K157">
        <f t="shared" si="150"/>
        <v>37.852750533277295</v>
      </c>
      <c r="L157" s="6">
        <f t="shared" si="151"/>
        <v>74.191391045223497</v>
      </c>
      <c r="N157" s="2">
        <f>'rockfish harvests'!O156</f>
        <v>1761.4891872654503</v>
      </c>
      <c r="O157">
        <f>'rockfish harvests'!P156</f>
        <v>302083.62252065231</v>
      </c>
      <c r="P157">
        <f>IF([1]species_comp_Region2_forR!$D254&gt;49,[1]species_comp_Region2_forR!$J254,[1]species_comp_Region2_forR!$L254)</f>
        <v>6.6265060000000001E-2</v>
      </c>
      <c r="Q157">
        <f>IF([1]species_comp_Region2_forR!$D254&gt;49,[1]species_comp_Region2_forR!$K254,[1]species_comp_Region2_forR!$M254)</f>
        <v>3.7499400000000002E-4</v>
      </c>
      <c r="T157" s="13">
        <f t="shared" si="152"/>
        <v>116.7251866834963</v>
      </c>
      <c r="U157" s="14">
        <f t="shared" si="159"/>
        <v>2376.735156559223</v>
      </c>
      <c r="V157">
        <f t="shared" si="153"/>
        <v>48.75177080434333</v>
      </c>
      <c r="W157" s="6">
        <f t="shared" si="154"/>
        <v>95.553470776512924</v>
      </c>
      <c r="Y157" s="13">
        <f t="shared" si="155"/>
        <v>226.27128144374532</v>
      </c>
      <c r="Z157">
        <f t="shared" si="156"/>
        <v>3809.5658794937476</v>
      </c>
      <c r="AA157">
        <f t="shared" si="157"/>
        <v>61.721680789603809</v>
      </c>
      <c r="AB157" s="6">
        <f t="shared" si="158"/>
        <v>120.97449434762346</v>
      </c>
      <c r="AC157" s="14">
        <f t="shared" si="185"/>
        <v>0.27277735113259971</v>
      </c>
    </row>
    <row r="158" spans="1:29" hidden="1" x14ac:dyDescent="0.25">
      <c r="A158" t="str">
        <f>'rockfish harvests'!A157</f>
        <v>SC</v>
      </c>
      <c r="B158">
        <f>'rockfish harvests'!B157</f>
        <v>2003</v>
      </c>
      <c r="C158" t="str">
        <f>'rockfish harvests'!C157</f>
        <v>NORTHEAS</v>
      </c>
      <c r="D158">
        <f>'rockfish harvests'!D157</f>
        <v>2743</v>
      </c>
      <c r="E158">
        <v>266</v>
      </c>
      <c r="F158" t="s">
        <v>159</v>
      </c>
      <c r="G158" s="38">
        <v>0.52164807028690008</v>
      </c>
      <c r="H158" s="39">
        <v>3.2490492583549309E-2</v>
      </c>
      <c r="I158" s="13">
        <f t="shared" si="184"/>
        <v>138.75838669631543</v>
      </c>
      <c r="J158">
        <f t="shared" si="149"/>
        <v>2298.897293241615</v>
      </c>
      <c r="K158">
        <f t="shared" si="150"/>
        <v>47.946817342151242</v>
      </c>
      <c r="L158" s="6">
        <f t="shared" si="151"/>
        <v>93.975761990616434</v>
      </c>
      <c r="N158" s="2">
        <f>'rockfish harvests'!O157</f>
        <v>2136.0587270862643</v>
      </c>
      <c r="O158">
        <f>'rockfish harvests'!P157</f>
        <v>444215.38374428463</v>
      </c>
      <c r="P158">
        <f>IF([1]species_comp_Region2_forR!$D255&gt;49,[1]species_comp_Region2_forR!$J255,[1]species_comp_Region2_forR!$L255)</f>
        <v>5.3475939999999998E-3</v>
      </c>
      <c r="Q158">
        <f>IF([1]species_comp_Region2_forR!$D255&gt;49,[1]species_comp_Region2_forR!$K255,[1]species_comp_Region2_forR!$M255)</f>
        <v>2.85968E-5</v>
      </c>
      <c r="T158" s="13">
        <f t="shared" si="152"/>
        <v>11.422774832614143</v>
      </c>
      <c r="U158" s="14">
        <f t="shared" si="159"/>
        <v>130.47994307419202</v>
      </c>
      <c r="V158">
        <f t="shared" si="153"/>
        <v>11.422781757268762</v>
      </c>
      <c r="W158" s="6">
        <f t="shared" si="154"/>
        <v>22.388652244246774</v>
      </c>
      <c r="Y158" s="13">
        <f t="shared" si="155"/>
        <v>150.18116152892958</v>
      </c>
      <c r="Z158">
        <f t="shared" si="156"/>
        <v>2429.3772363158068</v>
      </c>
      <c r="AA158">
        <f t="shared" si="157"/>
        <v>49.288713072221789</v>
      </c>
      <c r="AB158" s="6">
        <f t="shared" si="158"/>
        <v>96.605877621554711</v>
      </c>
      <c r="AC158" s="14">
        <f t="shared" si="185"/>
        <v>0.32819504504050095</v>
      </c>
    </row>
    <row r="159" spans="1:29" hidden="1" x14ac:dyDescent="0.25">
      <c r="A159" t="str">
        <f>'rockfish harvests'!A158</f>
        <v>SC</v>
      </c>
      <c r="B159">
        <f>'rockfish harvests'!B158</f>
        <v>2004</v>
      </c>
      <c r="C159" t="str">
        <f>'rockfish harvests'!C158</f>
        <v>NORTHEAS</v>
      </c>
      <c r="D159">
        <f>'rockfish harvests'!D158</f>
        <v>3291</v>
      </c>
      <c r="E159">
        <v>223</v>
      </c>
      <c r="F159" t="s">
        <v>159</v>
      </c>
      <c r="G159" s="38">
        <v>0.52164807028690008</v>
      </c>
      <c r="H159" s="39">
        <v>3.2490492583549309E-2</v>
      </c>
      <c r="I159" s="13">
        <f t="shared" si="184"/>
        <v>116.32751967397871</v>
      </c>
      <c r="J159">
        <f t="shared" si="149"/>
        <v>1615.7197056873235</v>
      </c>
      <c r="K159">
        <f t="shared" si="150"/>
        <v>40.196016042480174</v>
      </c>
      <c r="L159" s="6">
        <f t="shared" si="151"/>
        <v>78.784191443261136</v>
      </c>
      <c r="N159" s="2">
        <f>'rockfish harvests'!O158</f>
        <v>2562.8032339923066</v>
      </c>
      <c r="O159">
        <f>'rockfish harvests'!P158</f>
        <v>639436.97291537211</v>
      </c>
      <c r="P159">
        <f>IF([1]species_comp_Region2_forR!$D256&gt;49,[1]species_comp_Region2_forR!$J256,[1]species_comp_Region2_forR!$L256)</f>
        <v>4.2372881000000001E-2</v>
      </c>
      <c r="Q159">
        <f>IF([1]species_comp_Region2_forR!$D256&gt;49,[1]species_comp_Region2_forR!$K256,[1]species_comp_Region2_forR!$M256)</f>
        <v>3.4681600000000001E-4</v>
      </c>
      <c r="T159" s="13">
        <f t="shared" si="152"/>
        <v>108.59335646037117</v>
      </c>
      <c r="U159" s="14">
        <f t="shared" si="159"/>
        <v>3204.1909616092253</v>
      </c>
      <c r="V159">
        <f t="shared" si="153"/>
        <v>56.605573591380782</v>
      </c>
      <c r="W159" s="6">
        <f t="shared" si="154"/>
        <v>110.94692423910634</v>
      </c>
      <c r="Y159" s="13">
        <f t="shared" si="155"/>
        <v>224.9208761343499</v>
      </c>
      <c r="Z159">
        <f t="shared" si="156"/>
        <v>4819.910667296549</v>
      </c>
      <c r="AA159">
        <f t="shared" si="157"/>
        <v>69.425576463552318</v>
      </c>
      <c r="AB159" s="6">
        <f t="shared" si="158"/>
        <v>136.07412986856255</v>
      </c>
      <c r="AC159" s="14">
        <f t="shared" si="185"/>
        <v>0.30866666383641056</v>
      </c>
    </row>
    <row r="160" spans="1:29" hidden="1" x14ac:dyDescent="0.25">
      <c r="A160" t="str">
        <f>'rockfish harvests'!A159</f>
        <v>SC</v>
      </c>
      <c r="B160">
        <f>'rockfish harvests'!B159</f>
        <v>2005</v>
      </c>
      <c r="C160" t="str">
        <f>'rockfish harvests'!C159</f>
        <v>NORTHEAS</v>
      </c>
      <c r="D160">
        <f>'rockfish harvests'!D159</f>
        <v>4641</v>
      </c>
      <c r="E160">
        <v>316</v>
      </c>
      <c r="F160" t="s">
        <v>159</v>
      </c>
      <c r="G160" s="38">
        <v>0.52164807028690008</v>
      </c>
      <c r="H160" s="39">
        <v>3.2490492583549309E-2</v>
      </c>
      <c r="I160" s="13">
        <f t="shared" si="184"/>
        <v>164.84079021066043</v>
      </c>
      <c r="J160">
        <f t="shared" si="149"/>
        <v>3244.3706274228998</v>
      </c>
      <c r="K160">
        <f t="shared" si="150"/>
        <v>56.959376992931546</v>
      </c>
      <c r="L160" s="6">
        <f t="shared" si="151"/>
        <v>111.64037890614583</v>
      </c>
      <c r="N160" s="2">
        <f>'rockfish harvests'!O159</f>
        <v>3614.0898842170445</v>
      </c>
      <c r="O160">
        <f>'rockfish harvests'!P159</f>
        <v>1271642.7403433286</v>
      </c>
      <c r="P160">
        <f>IF([1]species_comp_Region2_forR!$D257&gt;49,[1]species_comp_Region2_forR!$J257,[1]species_comp_Region2_forR!$L257)</f>
        <v>5.747126E-3</v>
      </c>
      <c r="Q160">
        <f>IF([1]species_comp_Region2_forR!$D257&gt;49,[1]species_comp_Region2_forR!$K257,[1]species_comp_Region2_forR!$M257)</f>
        <v>3.3029499999999999E-5</v>
      </c>
      <c r="T160" s="13">
        <f t="shared" si="152"/>
        <v>20.770629939920767</v>
      </c>
      <c r="U160" s="14">
        <f t="shared" si="159"/>
        <v>431.41957200732094</v>
      </c>
      <c r="V160">
        <f t="shared" si="153"/>
        <v>20.770642070174937</v>
      </c>
      <c r="W160" s="6">
        <f t="shared" si="154"/>
        <v>40.710458457542877</v>
      </c>
      <c r="Y160" s="13">
        <f t="shared" si="155"/>
        <v>185.61142015058118</v>
      </c>
      <c r="Z160">
        <f t="shared" si="156"/>
        <v>3675.7901994302206</v>
      </c>
      <c r="AA160">
        <f t="shared" si="157"/>
        <v>60.628295369655746</v>
      </c>
      <c r="AB160" s="6">
        <f t="shared" si="158"/>
        <v>118.83145892452526</v>
      </c>
      <c r="AC160" s="14">
        <f t="shared" si="185"/>
        <v>0.3266409756493957</v>
      </c>
    </row>
    <row r="161" spans="1:29" hidden="1" x14ac:dyDescent="0.25">
      <c r="A161" t="str">
        <f>'rockfish harvests'!A160</f>
        <v>SC</v>
      </c>
      <c r="B161">
        <f>'rockfish harvests'!B160</f>
        <v>2006</v>
      </c>
      <c r="C161" t="str">
        <f>'rockfish harvests'!C160</f>
        <v>NORTHEAS</v>
      </c>
      <c r="D161">
        <f>'rockfish harvests'!D160</f>
        <v>3693</v>
      </c>
      <c r="E161">
        <v>174</v>
      </c>
      <c r="F161">
        <v>96</v>
      </c>
      <c r="I161" s="13">
        <f>F161</f>
        <v>96</v>
      </c>
      <c r="J161">
        <f t="shared" si="149"/>
        <v>0</v>
      </c>
      <c r="K161">
        <f t="shared" si="150"/>
        <v>0</v>
      </c>
      <c r="L161" s="6">
        <f t="shared" si="151"/>
        <v>0</v>
      </c>
      <c r="N161" s="2">
        <f>'rockfish harvests'!O160</f>
        <v>2875.8530365036731</v>
      </c>
      <c r="O161">
        <f>'rockfish harvests'!P160</f>
        <v>805194.11996587296</v>
      </c>
      <c r="P161">
        <f>IF([1]species_comp_Region2_forR!$D258&gt;49,[1]species_comp_Region2_forR!$J258,[1]species_comp_Region2_forR!$L258)</f>
        <v>3.8461538000000003E-2</v>
      </c>
      <c r="Q161">
        <f>IF([1]species_comp_Region2_forR!$D258&gt;49,[1]species_comp_Region2_forR!$K258,[1]species_comp_Region2_forR!$M258)</f>
        <v>3.5905099999999999E-4</v>
      </c>
      <c r="T161" s="13">
        <f t="shared" si="152"/>
        <v>110.60973084590142</v>
      </c>
      <c r="U161" s="14">
        <f t="shared" si="159"/>
        <v>3871.5520934268152</v>
      </c>
      <c r="V161">
        <f t="shared" si="153"/>
        <v>62.221797574698975</v>
      </c>
      <c r="W161" s="6">
        <f t="shared" si="154"/>
        <v>121.95472324640998</v>
      </c>
      <c r="Y161" s="13">
        <f t="shared" si="155"/>
        <v>206.60973084590142</v>
      </c>
      <c r="Z161">
        <f t="shared" si="156"/>
        <v>3871.5520934268152</v>
      </c>
      <c r="AA161">
        <f t="shared" si="157"/>
        <v>62.221797574698975</v>
      </c>
      <c r="AB161" s="6">
        <f t="shared" si="158"/>
        <v>121.95472324640998</v>
      </c>
      <c r="AC161" s="14">
        <f t="shared" si="185"/>
        <v>0.30115618136643679</v>
      </c>
    </row>
    <row r="162" spans="1:29" hidden="1" x14ac:dyDescent="0.25">
      <c r="A162" t="str">
        <f>'rockfish harvests'!A161</f>
        <v>SC</v>
      </c>
      <c r="B162">
        <f>'rockfish harvests'!B161</f>
        <v>2007</v>
      </c>
      <c r="C162" t="str">
        <f>'rockfish harvests'!C161</f>
        <v>NORTHEAS</v>
      </c>
      <c r="D162">
        <f>'rockfish harvests'!D161</f>
        <v>5080</v>
      </c>
      <c r="E162">
        <v>428</v>
      </c>
      <c r="F162">
        <v>156</v>
      </c>
      <c r="I162" s="13">
        <f t="shared" ref="I162:I173" si="186">F162</f>
        <v>156</v>
      </c>
      <c r="J162">
        <f t="shared" si="149"/>
        <v>0</v>
      </c>
      <c r="K162">
        <f t="shared" si="150"/>
        <v>0</v>
      </c>
      <c r="L162" s="6">
        <f t="shared" si="151"/>
        <v>0</v>
      </c>
      <c r="N162" s="2">
        <f>'rockfish harvests'!O161</f>
        <v>3955.9527282530889</v>
      </c>
      <c r="O162">
        <f>'rockfish harvests'!P161</f>
        <v>1523594.5272363999</v>
      </c>
      <c r="P162">
        <f>IF([1]species_comp_Region2_forR!$D259&gt;49,[1]species_comp_Region2_forR!$J259,[1]species_comp_Region2_forR!$L259)</f>
        <v>1.1764706E-2</v>
      </c>
      <c r="Q162">
        <f>IF([1]species_comp_Region2_forR!$D259&gt;49,[1]species_comp_Region2_forR!$K259,[1]species_comp_Region2_forR!$M259)</f>
        <v>1.3840799999999999E-4</v>
      </c>
      <c r="T162" s="13">
        <f t="shared" si="152"/>
        <v>46.540620797795484</v>
      </c>
      <c r="U162" s="14">
        <f t="shared" si="159"/>
        <v>2166.0250438085168</v>
      </c>
      <c r="V162">
        <f t="shared" si="153"/>
        <v>46.540574167155661</v>
      </c>
      <c r="W162" s="6">
        <f t="shared" si="154"/>
        <v>91.219525367625096</v>
      </c>
      <c r="Y162" s="13">
        <f t="shared" si="155"/>
        <v>202.5406207977955</v>
      </c>
      <c r="Z162">
        <f t="shared" si="156"/>
        <v>2166.0250438085168</v>
      </c>
      <c r="AA162">
        <f t="shared" si="157"/>
        <v>46.540574167155661</v>
      </c>
      <c r="AB162" s="6">
        <f t="shared" si="158"/>
        <v>91.219525367625096</v>
      </c>
      <c r="AC162" s="14">
        <f t="shared" si="185"/>
        <v>0.22978390203325683</v>
      </c>
    </row>
    <row r="163" spans="1:29" hidden="1" x14ac:dyDescent="0.25">
      <c r="A163" t="str">
        <f>'rockfish harvests'!A162</f>
        <v>SC</v>
      </c>
      <c r="B163">
        <f>'rockfish harvests'!B162</f>
        <v>2008</v>
      </c>
      <c r="C163" t="str">
        <f>'rockfish harvests'!C162</f>
        <v>NORTHEAS</v>
      </c>
      <c r="D163">
        <f>'rockfish harvests'!D162</f>
        <v>6260</v>
      </c>
      <c r="E163">
        <v>407</v>
      </c>
      <c r="F163">
        <v>268</v>
      </c>
      <c r="I163" s="13">
        <f t="shared" si="186"/>
        <v>268</v>
      </c>
      <c r="J163">
        <f t="shared" si="149"/>
        <v>0</v>
      </c>
      <c r="K163">
        <f t="shared" si="150"/>
        <v>0</v>
      </c>
      <c r="L163" s="6">
        <f t="shared" si="151"/>
        <v>0</v>
      </c>
      <c r="N163" s="2">
        <f>'rockfish harvests'!O162</f>
        <v>4874.8551336347118</v>
      </c>
      <c r="O163">
        <f>'rockfish harvests'!P162</f>
        <v>2313612.6269270084</v>
      </c>
      <c r="P163">
        <f>IF([1]species_comp_Region2_forR!$D260&gt;49,[1]species_comp_Region2_forR!$J260,[1]species_comp_Region2_forR!$L260)</f>
        <v>1.3333332999999999E-2</v>
      </c>
      <c r="Q163">
        <f>IF([1]species_comp_Region2_forR!$D260&gt;49,[1]species_comp_Region2_forR!$K260,[1]species_comp_Region2_forR!$M260)</f>
        <v>1.7777799999999999E-4</v>
      </c>
      <c r="T163" s="13">
        <f t="shared" si="152"/>
        <v>64.99806682351111</v>
      </c>
      <c r="U163" s="14">
        <f t="shared" si="159"/>
        <v>4224.7536482656014</v>
      </c>
      <c r="V163">
        <f t="shared" si="153"/>
        <v>64.998104959034009</v>
      </c>
      <c r="W163" s="6">
        <f t="shared" si="154"/>
        <v>127.39628571970665</v>
      </c>
      <c r="Y163" s="13">
        <f t="shared" si="155"/>
        <v>332.99806682351112</v>
      </c>
      <c r="Z163">
        <f t="shared" si="156"/>
        <v>4224.7536482656014</v>
      </c>
      <c r="AA163">
        <f t="shared" si="157"/>
        <v>64.998104959034009</v>
      </c>
      <c r="AB163" s="6">
        <f t="shared" si="158"/>
        <v>127.39628571970665</v>
      </c>
      <c r="AC163" s="14">
        <f t="shared" si="185"/>
        <v>0.19519063752848448</v>
      </c>
    </row>
    <row r="164" spans="1:29" hidden="1" x14ac:dyDescent="0.25">
      <c r="A164" t="str">
        <f>'rockfish harvests'!A163</f>
        <v>SC</v>
      </c>
      <c r="B164">
        <f>'rockfish harvests'!B163</f>
        <v>2009</v>
      </c>
      <c r="C164" t="str">
        <f>'rockfish harvests'!C163</f>
        <v>NORTHEAS</v>
      </c>
      <c r="D164">
        <f>'rockfish harvests'!D163</f>
        <v>6369</v>
      </c>
      <c r="E164">
        <v>282</v>
      </c>
      <c r="F164">
        <v>190</v>
      </c>
      <c r="I164" s="13">
        <f t="shared" si="186"/>
        <v>190</v>
      </c>
      <c r="J164">
        <f t="shared" si="149"/>
        <v>0</v>
      </c>
      <c r="K164">
        <f t="shared" si="150"/>
        <v>0</v>
      </c>
      <c r="L164" s="6">
        <f t="shared" si="151"/>
        <v>0</v>
      </c>
      <c r="N164" s="2">
        <f>'rockfish harvests'!O163</f>
        <v>4959.7367965047106</v>
      </c>
      <c r="O164">
        <f>'rockfish harvests'!P163</f>
        <v>2394883.9707024693</v>
      </c>
      <c r="P164">
        <f>IF([1]species_comp_Region2_forR!$D261&gt;49,[1]species_comp_Region2_forR!$J261,[1]species_comp_Region2_forR!$L261)</f>
        <v>0.102941176</v>
      </c>
      <c r="Q164">
        <f>IF([1]species_comp_Region2_forR!$D261&gt;49,[1]species_comp_Region2_forR!$K261,[1]species_comp_Region2_forR!$M261)</f>
        <v>1.378273E-3</v>
      </c>
      <c r="T164" s="13">
        <f t="shared" ref="T164:T203" si="187">N164*P164</f>
        <v>510.56113848266756</v>
      </c>
      <c r="U164" s="14">
        <f t="shared" si="159"/>
        <v>55981.630317164556</v>
      </c>
      <c r="V164">
        <f t="shared" si="153"/>
        <v>236.60437510148572</v>
      </c>
      <c r="W164" s="6">
        <f t="shared" si="154"/>
        <v>463.744575198912</v>
      </c>
      <c r="Y164" s="13">
        <f t="shared" si="155"/>
        <v>700.5611384826675</v>
      </c>
      <c r="Z164">
        <f t="shared" si="156"/>
        <v>55981.630317164556</v>
      </c>
      <c r="AA164">
        <f t="shared" si="157"/>
        <v>236.60437510148572</v>
      </c>
      <c r="AB164" s="6">
        <f t="shared" si="158"/>
        <v>463.744575198912</v>
      </c>
      <c r="AC164" s="14">
        <f t="shared" si="185"/>
        <v>0.3377355124407026</v>
      </c>
    </row>
    <row r="165" spans="1:29" hidden="1" x14ac:dyDescent="0.25">
      <c r="A165" t="str">
        <f>'rockfish harvests'!A164</f>
        <v>SC</v>
      </c>
      <c r="B165">
        <f>'rockfish harvests'!B164</f>
        <v>2010</v>
      </c>
      <c r="C165" t="str">
        <f>'rockfish harvests'!C164</f>
        <v>NORTHEAS</v>
      </c>
      <c r="D165">
        <f>'rockfish harvests'!D164</f>
        <v>8141</v>
      </c>
      <c r="E165">
        <v>1433</v>
      </c>
      <c r="F165">
        <v>288</v>
      </c>
      <c r="I165" s="13">
        <f t="shared" si="186"/>
        <v>288</v>
      </c>
      <c r="J165">
        <f t="shared" si="149"/>
        <v>0</v>
      </c>
      <c r="K165">
        <f t="shared" si="150"/>
        <v>0</v>
      </c>
      <c r="L165" s="6">
        <f t="shared" si="151"/>
        <v>0</v>
      </c>
      <c r="N165" s="2">
        <f>'rockfish harvests'!O164</f>
        <v>6339.6478662811805</v>
      </c>
      <c r="O165">
        <f>'rockfish harvests'!P164</f>
        <v>3912888.6469779164</v>
      </c>
      <c r="P165" s="32">
        <v>3.0296109000000002E-2</v>
      </c>
      <c r="Q165" s="32">
        <v>7.3547800000000002E-4</v>
      </c>
      <c r="T165" s="13">
        <f t="shared" si="187"/>
        <v>192.06666277847208</v>
      </c>
      <c r="U165" s="14">
        <f t="shared" si="159"/>
        <v>30273.313480697943</v>
      </c>
      <c r="V165">
        <f t="shared" si="153"/>
        <v>173.99227994568594</v>
      </c>
      <c r="W165" s="6">
        <f t="shared" si="154"/>
        <v>341.02486869354442</v>
      </c>
      <c r="Y165" s="13">
        <f t="shared" si="155"/>
        <v>480.06666277847205</v>
      </c>
      <c r="Z165">
        <f t="shared" si="156"/>
        <v>30273.313480697943</v>
      </c>
      <c r="AA165">
        <f t="shared" si="157"/>
        <v>173.99227994568594</v>
      </c>
      <c r="AB165" s="6">
        <f t="shared" si="158"/>
        <v>341.02486869354442</v>
      </c>
      <c r="AC165" s="14">
        <f t="shared" si="185"/>
        <v>0.36243358149194188</v>
      </c>
    </row>
    <row r="166" spans="1:29" hidden="1" x14ac:dyDescent="0.25">
      <c r="A166" t="str">
        <f>'rockfish harvests'!A165</f>
        <v>SC</v>
      </c>
      <c r="B166">
        <f>'rockfish harvests'!B165</f>
        <v>2011</v>
      </c>
      <c r="C166" t="str">
        <f>'rockfish harvests'!C165</f>
        <v>NORTHEAS</v>
      </c>
      <c r="D166">
        <f>'rockfish harvests'!D165</f>
        <v>6904</v>
      </c>
      <c r="E166">
        <v>293</v>
      </c>
      <c r="F166">
        <v>140</v>
      </c>
      <c r="I166" s="13">
        <f t="shared" si="186"/>
        <v>140</v>
      </c>
      <c r="J166">
        <f t="shared" si="149"/>
        <v>0</v>
      </c>
      <c r="K166">
        <f t="shared" si="150"/>
        <v>0</v>
      </c>
      <c r="L166" s="6">
        <f t="shared" si="151"/>
        <v>0</v>
      </c>
      <c r="N166" s="2">
        <f>'rockfish harvests'!O165</f>
        <v>6000.5227354099534</v>
      </c>
      <c r="O166">
        <f>'rockfish harvests'!P165</f>
        <v>2122890.1028359062</v>
      </c>
      <c r="P166">
        <f>IF([1]species_comp_Region2_forR!$D263&gt;49,[1]species_comp_Region2_forR!$J263,[1]species_comp_Region2_forR!$L263)</f>
        <v>4.2253521000000002E-2</v>
      </c>
      <c r="Q166">
        <f>IF([1]species_comp_Region2_forR!$D263&gt;49,[1]species_comp_Region2_forR!$K263,[1]species_comp_Region2_forR!$M263)</f>
        <v>5.7811699999999995E-4</v>
      </c>
      <c r="T166" s="13">
        <f t="shared" si="187"/>
        <v>253.54321341162193</v>
      </c>
      <c r="U166" s="14">
        <f t="shared" si="159"/>
        <v>23378.682879442895</v>
      </c>
      <c r="V166">
        <f t="shared" si="153"/>
        <v>152.90089234351413</v>
      </c>
      <c r="W166" s="6">
        <f t="shared" si="154"/>
        <v>299.68574899328769</v>
      </c>
      <c r="Y166" s="13">
        <f t="shared" si="155"/>
        <v>393.54321341162193</v>
      </c>
      <c r="Z166">
        <f t="shared" si="156"/>
        <v>23378.682879442895</v>
      </c>
      <c r="AA166">
        <f t="shared" si="157"/>
        <v>152.90089234351413</v>
      </c>
      <c r="AB166" s="6">
        <f t="shared" si="158"/>
        <v>299.68574899328769</v>
      </c>
      <c r="AC166" s="14">
        <f t="shared" si="185"/>
        <v>0.38852376850312809</v>
      </c>
    </row>
    <row r="167" spans="1:29" hidden="1" x14ac:dyDescent="0.25">
      <c r="A167" t="str">
        <f>'rockfish harvests'!A166</f>
        <v>SC</v>
      </c>
      <c r="B167">
        <f>'rockfish harvests'!B166</f>
        <v>2012</v>
      </c>
      <c r="C167" t="str">
        <f>'rockfish harvests'!C166</f>
        <v>NORTHEAS</v>
      </c>
      <c r="D167">
        <f>'rockfish harvests'!D166</f>
        <v>6813</v>
      </c>
      <c r="E167">
        <v>556</v>
      </c>
      <c r="F167">
        <v>205</v>
      </c>
      <c r="I167" s="13">
        <f t="shared" si="186"/>
        <v>205</v>
      </c>
      <c r="J167">
        <f t="shared" si="149"/>
        <v>0</v>
      </c>
      <c r="K167">
        <f t="shared" si="150"/>
        <v>0</v>
      </c>
      <c r="L167" s="6">
        <f t="shared" si="151"/>
        <v>0</v>
      </c>
      <c r="N167" s="2">
        <f>'rockfish harvests'!O166</f>
        <v>4938.4793337446008</v>
      </c>
      <c r="O167">
        <f>'rockfish harvests'!P166</f>
        <v>2023168.1052428612</v>
      </c>
      <c r="P167">
        <f>IF([1]species_comp_Region2_forR!$D264&gt;49,[1]species_comp_Region2_forR!$J264,[1]species_comp_Region2_forR!$L264)</f>
        <v>1.3071895E-2</v>
      </c>
      <c r="Q167">
        <f>IF([1]species_comp_Region2_forR!$D264&gt;49,[1]species_comp_Region2_forR!$K264,[1]species_comp_Region2_forR!$M264)</f>
        <v>8.4875099999999997E-5</v>
      </c>
      <c r="T167" s="13">
        <f t="shared" si="187"/>
        <v>64.55528331037938</v>
      </c>
      <c r="U167" s="14">
        <f t="shared" si="159"/>
        <v>2243.9741271427929</v>
      </c>
      <c r="V167">
        <f t="shared" si="153"/>
        <v>47.370604040299007</v>
      </c>
      <c r="W167" s="6">
        <f t="shared" si="154"/>
        <v>92.846383918986049</v>
      </c>
      <c r="Y167" s="13">
        <f t="shared" si="155"/>
        <v>269.55528331037937</v>
      </c>
      <c r="Z167">
        <f t="shared" si="156"/>
        <v>2243.9741271427929</v>
      </c>
      <c r="AA167">
        <f t="shared" si="157"/>
        <v>47.370604040299007</v>
      </c>
      <c r="AB167" s="6">
        <f t="shared" si="158"/>
        <v>92.846383918986049</v>
      </c>
      <c r="AC167" s="14">
        <f t="shared" si="185"/>
        <v>0.17573613641901478</v>
      </c>
    </row>
    <row r="168" spans="1:29" hidden="1" x14ac:dyDescent="0.25">
      <c r="A168" t="str">
        <f>'rockfish harvests'!A167</f>
        <v>SC</v>
      </c>
      <c r="B168">
        <f>'rockfish harvests'!B167</f>
        <v>2013</v>
      </c>
      <c r="C168" t="str">
        <f>'rockfish harvests'!C167</f>
        <v>NORTHEAS</v>
      </c>
      <c r="D168">
        <f>'rockfish harvests'!D167</f>
        <v>9965</v>
      </c>
      <c r="E168">
        <v>638</v>
      </c>
      <c r="F168">
        <v>361</v>
      </c>
      <c r="I168" s="13">
        <f t="shared" si="186"/>
        <v>361</v>
      </c>
      <c r="J168">
        <f t="shared" si="149"/>
        <v>0</v>
      </c>
      <c r="K168">
        <f t="shared" si="150"/>
        <v>0</v>
      </c>
      <c r="L168" s="6">
        <f t="shared" si="151"/>
        <v>0</v>
      </c>
      <c r="N168" s="2">
        <f>'rockfish harvests'!O167</f>
        <v>8625.830039525692</v>
      </c>
      <c r="O168">
        <f>'rockfish harvests'!P167</f>
        <v>4761147.9363994701</v>
      </c>
      <c r="P168">
        <f>IF([1]species_comp_Region2_forR!$D265&gt;49,[1]species_comp_Region2_forR!$J265,[1]species_comp_Region2_forR!$L265)</f>
        <v>3.6809816000000002E-2</v>
      </c>
      <c r="Q168">
        <f>IF([1]species_comp_Region2_forR!$D265&gt;49,[1]species_comp_Region2_forR!$K265,[1]species_comp_Region2_forR!$M265)</f>
        <v>2.1885700000000001E-4</v>
      </c>
      <c r="T168" s="13">
        <f t="shared" si="187"/>
        <v>317.51521660221346</v>
      </c>
      <c r="U168" s="14">
        <f t="shared" si="159"/>
        <v>21693.20941446751</v>
      </c>
      <c r="V168">
        <f t="shared" si="153"/>
        <v>147.28614807397031</v>
      </c>
      <c r="W168" s="6">
        <f t="shared" si="154"/>
        <v>288.68085022498178</v>
      </c>
      <c r="Y168" s="13">
        <f t="shared" si="155"/>
        <v>678.51521660221351</v>
      </c>
      <c r="Z168">
        <f t="shared" si="156"/>
        <v>21693.20941446751</v>
      </c>
      <c r="AA168">
        <f t="shared" si="157"/>
        <v>147.28614807397031</v>
      </c>
      <c r="AB168" s="6">
        <f t="shared" si="158"/>
        <v>288.68085022498178</v>
      </c>
      <c r="AC168" s="14">
        <f t="shared" si="185"/>
        <v>0.21707125274438513</v>
      </c>
    </row>
    <row r="169" spans="1:29" hidden="1" x14ac:dyDescent="0.25">
      <c r="A169" t="str">
        <f>'rockfish harvests'!A168</f>
        <v>SC</v>
      </c>
      <c r="B169">
        <f>'rockfish harvests'!B168</f>
        <v>2014</v>
      </c>
      <c r="C169" t="str">
        <f>'rockfish harvests'!C168</f>
        <v>NORTHEAS</v>
      </c>
      <c r="D169">
        <f>'rockfish harvests'!D168</f>
        <v>11896</v>
      </c>
      <c r="E169">
        <v>1536</v>
      </c>
      <c r="F169">
        <v>392</v>
      </c>
      <c r="I169" s="13">
        <f t="shared" si="186"/>
        <v>392</v>
      </c>
      <c r="J169">
        <f t="shared" si="149"/>
        <v>0</v>
      </c>
      <c r="K169">
        <f t="shared" si="150"/>
        <v>0</v>
      </c>
      <c r="L169" s="6">
        <f t="shared" si="151"/>
        <v>0</v>
      </c>
      <c r="N169" s="2">
        <f>'rockfish harvests'!O168</f>
        <v>5411.0074000986679</v>
      </c>
      <c r="O169">
        <f>'rockfish harvests'!P168</f>
        <v>1633143.8585763292</v>
      </c>
      <c r="P169">
        <f>IF([1]species_comp_Region2_forR!$D266&gt;49,[1]species_comp_Region2_forR!$J266,[1]species_comp_Region2_forR!$L266)</f>
        <v>7.9365079000000005E-2</v>
      </c>
      <c r="Q169">
        <f>IF([1]species_comp_Region2_forR!$D266&gt;49,[1]species_comp_Region2_forR!$K266,[1]species_comp_Region2_forR!$M266)</f>
        <v>5.8452999999999999E-4</v>
      </c>
      <c r="T169" s="13">
        <f t="shared" si="187"/>
        <v>429.4450297784154</v>
      </c>
      <c r="U169" s="14">
        <f t="shared" si="159"/>
        <v>26446.705206316394</v>
      </c>
      <c r="V169">
        <f t="shared" si="153"/>
        <v>162.62442991849778</v>
      </c>
      <c r="W169" s="6">
        <f t="shared" si="154"/>
        <v>318.74388264025566</v>
      </c>
      <c r="Y169" s="13">
        <f t="shared" si="155"/>
        <v>821.44502977841535</v>
      </c>
      <c r="Z169">
        <f t="shared" si="156"/>
        <v>26446.705206316394</v>
      </c>
      <c r="AA169">
        <f t="shared" si="157"/>
        <v>162.62442991849778</v>
      </c>
      <c r="AB169" s="6">
        <f t="shared" si="158"/>
        <v>318.74388264025566</v>
      </c>
      <c r="AC169" s="14">
        <f t="shared" si="185"/>
        <v>0.19797360020836172</v>
      </c>
    </row>
    <row r="170" spans="1:29" hidden="1" x14ac:dyDescent="0.25">
      <c r="A170" t="str">
        <f>'rockfish harvests'!A169</f>
        <v>SC</v>
      </c>
      <c r="B170">
        <f>'rockfish harvests'!B169</f>
        <v>2015</v>
      </c>
      <c r="C170" t="str">
        <f>'rockfish harvests'!C169</f>
        <v>NORTHEAS</v>
      </c>
      <c r="D170">
        <f>'rockfish harvests'!D169</f>
        <v>12377</v>
      </c>
      <c r="E170">
        <v>578</v>
      </c>
      <c r="F170">
        <v>394</v>
      </c>
      <c r="I170" s="13">
        <f t="shared" si="186"/>
        <v>394</v>
      </c>
      <c r="J170">
        <f t="shared" si="149"/>
        <v>0</v>
      </c>
      <c r="K170">
        <f t="shared" si="150"/>
        <v>0</v>
      </c>
      <c r="L170" s="6">
        <f t="shared" si="151"/>
        <v>0</v>
      </c>
      <c r="N170" s="2">
        <f>'rockfish harvests'!O169</f>
        <v>10776.477406902814</v>
      </c>
      <c r="O170">
        <f>'rockfish harvests'!P169</f>
        <v>10110394.020791385</v>
      </c>
      <c r="P170">
        <f>IF([1]species_comp_Region2_forR!$D267&gt;49,[1]species_comp_Region2_forR!$J267,[1]species_comp_Region2_forR!$L267)</f>
        <v>2.8947368000000001E-2</v>
      </c>
      <c r="Q170">
        <f>IF([1]species_comp_Region2_forR!$D267&gt;49,[1]species_comp_Region2_forR!$K267,[1]species_comp_Region2_forR!$M267)</f>
        <v>7.4167300000000004E-5</v>
      </c>
      <c r="T170" s="13">
        <f t="shared" si="187"/>
        <v>311.95065724130149</v>
      </c>
      <c r="U170" s="14">
        <f t="shared" si="159"/>
        <v>16335.37659089209</v>
      </c>
      <c r="V170">
        <f t="shared" si="153"/>
        <v>127.80992367923584</v>
      </c>
      <c r="W170" s="6">
        <f t="shared" si="154"/>
        <v>250.50745041130224</v>
      </c>
      <c r="Y170" s="13">
        <f t="shared" si="155"/>
        <v>705.95065724130154</v>
      </c>
      <c r="Z170">
        <f t="shared" si="156"/>
        <v>16335.37659089209</v>
      </c>
      <c r="AA170">
        <f t="shared" si="157"/>
        <v>127.80992367923584</v>
      </c>
      <c r="AB170" s="6">
        <f t="shared" si="158"/>
        <v>250.50745041130224</v>
      </c>
      <c r="AC170" s="14">
        <f t="shared" si="185"/>
        <v>0.18104653968124154</v>
      </c>
    </row>
    <row r="171" spans="1:29" hidden="1" x14ac:dyDescent="0.25">
      <c r="A171" t="str">
        <f>'rockfish harvests'!A170</f>
        <v>SC</v>
      </c>
      <c r="B171">
        <f>'rockfish harvests'!B170</f>
        <v>2016</v>
      </c>
      <c r="C171" t="str">
        <f>'rockfish harvests'!C170</f>
        <v>NORTHEAS</v>
      </c>
      <c r="D171">
        <f>'rockfish harvests'!D170</f>
        <v>13580</v>
      </c>
      <c r="E171">
        <v>719</v>
      </c>
      <c r="F171">
        <v>425</v>
      </c>
      <c r="I171" s="13">
        <f t="shared" si="186"/>
        <v>425</v>
      </c>
      <c r="J171">
        <f t="shared" si="149"/>
        <v>0</v>
      </c>
      <c r="K171">
        <f t="shared" si="150"/>
        <v>0</v>
      </c>
      <c r="L171" s="6">
        <f t="shared" si="151"/>
        <v>0</v>
      </c>
      <c r="N171" s="2">
        <f>'rockfish harvests'!O170</f>
        <v>14147.366319691999</v>
      </c>
      <c r="O171">
        <f>'rockfish harvests'!P170</f>
        <v>22590691.391820997</v>
      </c>
      <c r="P171">
        <f>IF([1]species_comp_Region2_forR!$D268&gt;49,[1]species_comp_Region2_forR!$J268,[1]species_comp_Region2_forR!$L268)</f>
        <v>1.5625E-2</v>
      </c>
      <c r="Q171">
        <f>IF([1]species_comp_Region2_forR!$D268&gt;49,[1]species_comp_Region2_forR!$K268,[1]species_comp_Region2_forR!$M268)</f>
        <v>4.82159E-5</v>
      </c>
      <c r="T171" s="13">
        <f t="shared" si="187"/>
        <v>221.05259874518748</v>
      </c>
      <c r="U171" s="14">
        <f t="shared" si="159"/>
        <v>14076.389687652931</v>
      </c>
      <c r="V171">
        <f t="shared" si="153"/>
        <v>118.64396186765229</v>
      </c>
      <c r="W171" s="6">
        <f t="shared" si="154"/>
        <v>232.54216526059849</v>
      </c>
      <c r="Y171" s="13">
        <f t="shared" si="155"/>
        <v>646.05259874518742</v>
      </c>
      <c r="Z171">
        <f t="shared" si="156"/>
        <v>14076.389687652931</v>
      </c>
      <c r="AA171">
        <f t="shared" si="157"/>
        <v>118.64396186765229</v>
      </c>
      <c r="AB171" s="6">
        <f t="shared" si="158"/>
        <v>232.54216526059849</v>
      </c>
      <c r="AC171" s="14">
        <f t="shared" si="185"/>
        <v>0.18364443096133601</v>
      </c>
    </row>
    <row r="172" spans="1:29" hidden="1" x14ac:dyDescent="0.25">
      <c r="A172" t="str">
        <f>'rockfish harvests'!A171</f>
        <v>SC</v>
      </c>
      <c r="B172">
        <f>'rockfish harvests'!B171</f>
        <v>2017</v>
      </c>
      <c r="C172" t="str">
        <f>'rockfish harvests'!C171</f>
        <v>NORTHEAS</v>
      </c>
      <c r="D172">
        <f>'rockfish harvests'!D171</f>
        <v>6719</v>
      </c>
      <c r="E172">
        <v>241</v>
      </c>
      <c r="F172">
        <v>176</v>
      </c>
      <c r="I172" s="13">
        <f t="shared" si="186"/>
        <v>176</v>
      </c>
      <c r="J172">
        <f t="shared" si="149"/>
        <v>0</v>
      </c>
      <c r="K172">
        <f t="shared" si="150"/>
        <v>0</v>
      </c>
      <c r="L172" s="6">
        <f t="shared" si="151"/>
        <v>0</v>
      </c>
      <c r="N172" s="2">
        <f>'rockfish harvests'!O171</f>
        <v>3758.2825709322533</v>
      </c>
      <c r="O172">
        <f>'rockfish harvests'!P171</f>
        <v>1035822.3149322054</v>
      </c>
      <c r="P172">
        <f>IF([1]species_comp_Region2_forR!$D269&gt;49,[1]species_comp_Region2_forR!$J269,[1]species_comp_Region2_forR!$L269)</f>
        <v>1.8181817999999999E-2</v>
      </c>
      <c r="Q172">
        <f>IF([1]species_comp_Region2_forR!$D269&gt;49,[1]species_comp_Region2_forR!$K269,[1]species_comp_Region2_forR!$M269)</f>
        <v>5.4259099999999997E-5</v>
      </c>
      <c r="T172" s="13">
        <f t="shared" si="187"/>
        <v>68.332409697262321</v>
      </c>
      <c r="U172" s="14">
        <f t="shared" si="159"/>
        <v>1052.6106588720668</v>
      </c>
      <c r="V172">
        <f t="shared" si="153"/>
        <v>32.443961824537809</v>
      </c>
      <c r="W172" s="6">
        <f t="shared" si="154"/>
        <v>63.590165176094104</v>
      </c>
      <c r="Y172" s="13">
        <f t="shared" si="155"/>
        <v>244.33240969726234</v>
      </c>
      <c r="Z172">
        <f t="shared" si="156"/>
        <v>1052.6106588720668</v>
      </c>
      <c r="AA172">
        <f t="shared" si="157"/>
        <v>32.443961824537809</v>
      </c>
      <c r="AB172" s="6">
        <f t="shared" si="158"/>
        <v>63.590165176094104</v>
      </c>
      <c r="AC172" s="14">
        <f t="shared" si="185"/>
        <v>0.13278615745138839</v>
      </c>
    </row>
    <row r="173" spans="1:29" hidden="1" x14ac:dyDescent="0.25">
      <c r="A173" t="str">
        <f>'rockfish harvests'!A172</f>
        <v>SC</v>
      </c>
      <c r="B173">
        <f>'rockfish harvests'!B172</f>
        <v>2018</v>
      </c>
      <c r="C173" t="str">
        <f>'rockfish harvests'!C172</f>
        <v>NORTHEAS</v>
      </c>
      <c r="D173">
        <f>'rockfish harvests'!D172</f>
        <v>8479</v>
      </c>
      <c r="E173">
        <v>316</v>
      </c>
      <c r="F173">
        <v>209</v>
      </c>
      <c r="I173" s="13">
        <f t="shared" si="186"/>
        <v>209</v>
      </c>
      <c r="J173">
        <f t="shared" si="149"/>
        <v>0</v>
      </c>
      <c r="K173">
        <f t="shared" si="150"/>
        <v>0</v>
      </c>
      <c r="L173" s="6">
        <f t="shared" si="151"/>
        <v>0</v>
      </c>
      <c r="N173" s="2">
        <f>'rockfish harvests'!O172</f>
        <v>8690.7789084181313</v>
      </c>
      <c r="O173">
        <f>'rockfish harvests'!P172</f>
        <v>6090869.3085533688</v>
      </c>
      <c r="P173">
        <f>IF([1]species_comp_Region2_forR!$D270&gt;49,[1]species_comp_Region2_forR!$J270,[1]species_comp_Region2_forR!$L270)</f>
        <v>2.006689E-2</v>
      </c>
      <c r="Q173">
        <f>IF([1]species_comp_Region2_forR!$D270&gt;49,[1]species_comp_Region2_forR!$K270,[1]species_comp_Region2_forR!$M270)</f>
        <v>6.5987299999999998E-5</v>
      </c>
      <c r="T173" s="13">
        <f t="shared" si="187"/>
        <v>174.39690436954672</v>
      </c>
      <c r="U173" s="14">
        <f t="shared" si="159"/>
        <v>7034.7485691329366</v>
      </c>
      <c r="V173">
        <f t="shared" si="153"/>
        <v>83.87340799760635</v>
      </c>
      <c r="W173" s="6">
        <f t="shared" si="154"/>
        <v>164.39187967530845</v>
      </c>
      <c r="Y173" s="13">
        <f t="shared" si="155"/>
        <v>383.39690436954675</v>
      </c>
      <c r="Z173">
        <f t="shared" si="156"/>
        <v>7034.7485691329366</v>
      </c>
      <c r="AA173">
        <f t="shared" si="157"/>
        <v>83.87340799760635</v>
      </c>
      <c r="AB173" s="6">
        <f t="shared" si="158"/>
        <v>164.39187967530845</v>
      </c>
      <c r="AC173" s="14">
        <f t="shared" si="185"/>
        <v>0.21876391551863666</v>
      </c>
    </row>
    <row r="174" spans="1:29" hidden="1" x14ac:dyDescent="0.25">
      <c r="A174" t="str">
        <f>'rockfish harvests'!A173</f>
        <v>SC</v>
      </c>
      <c r="B174">
        <f>'rockfish harvests'!B173</f>
        <v>2019</v>
      </c>
      <c r="C174" t="str">
        <f>'rockfish harvests'!C173</f>
        <v>NORTHEAS</v>
      </c>
      <c r="D174">
        <f>'rockfish harvests'!D173</f>
        <v>9881</v>
      </c>
      <c r="E174">
        <v>435</v>
      </c>
      <c r="F174">
        <v>277</v>
      </c>
      <c r="I174" s="13">
        <f>F174</f>
        <v>277</v>
      </c>
      <c r="J174">
        <f>(E174^2)*H174</f>
        <v>0</v>
      </c>
      <c r="K174">
        <f>SQRT(J174)</f>
        <v>0</v>
      </c>
      <c r="L174" s="6">
        <f>(1.96*K174)</f>
        <v>0</v>
      </c>
      <c r="N174" s="2">
        <f>'rockfish harvests'!O173</f>
        <v>10303.660072182862</v>
      </c>
      <c r="O174">
        <f>'rockfish harvests'!P173</f>
        <v>5030013.8598571327</v>
      </c>
      <c r="P174">
        <f>IF([1]species_comp_Region2_forR!$D271&gt;49,[1]species_comp_Region2_forR!$J271,[1]species_comp_Region2_forR!$L271)</f>
        <v>3.7499999999999999E-2</v>
      </c>
      <c r="Q174">
        <f>IF([1]species_comp_Region2_forR!$D271&gt;49,[1]species_comp_Region2_forR!$K271,[1]species_comp_Region2_forR!$M271)</f>
        <v>1.5102E-4</v>
      </c>
      <c r="T174" s="13">
        <f>N174*P174</f>
        <v>386.38725270685728</v>
      </c>
      <c r="U174" s="14">
        <f>(N174^2)*Q174+(P174^2)*O174-(Q174*O174)</f>
        <v>22346.924648873526</v>
      </c>
      <c r="V174">
        <f>SQRT(U174)</f>
        <v>149.48887801061832</v>
      </c>
      <c r="W174" s="6">
        <f>(1.96*V174)</f>
        <v>292.99820090081192</v>
      </c>
      <c r="Y174" s="13">
        <f>T174+I174</f>
        <v>663.38725270685723</v>
      </c>
      <c r="Z174">
        <f>U174+J174</f>
        <v>22346.924648873526</v>
      </c>
      <c r="AA174">
        <f>SQRT(Z174)</f>
        <v>149.48887801061832</v>
      </c>
      <c r="AB174" s="6">
        <f>(1.96*AA174)</f>
        <v>292.99820090081192</v>
      </c>
      <c r="AC174" s="14">
        <f t="shared" si="185"/>
        <v>0.2253418005857819</v>
      </c>
    </row>
    <row r="175" spans="1:29" hidden="1" x14ac:dyDescent="0.25">
      <c r="A175" t="str">
        <f>'rockfish harvests'!A174</f>
        <v>SC</v>
      </c>
      <c r="B175">
        <f>'rockfish harvests'!B174</f>
        <v>2020</v>
      </c>
      <c r="C175" t="str">
        <f>'rockfish harvests'!C174</f>
        <v>NORTHEAS</v>
      </c>
      <c r="D175">
        <f>'rockfish harvests'!D174</f>
        <v>4479</v>
      </c>
      <c r="E175">
        <v>296</v>
      </c>
      <c r="F175">
        <v>227</v>
      </c>
      <c r="I175" s="13">
        <f t="shared" ref="I175:I177" si="188">F175</f>
        <v>227</v>
      </c>
      <c r="J175">
        <f t="shared" ref="J175:J177" si="189">(E175^2)*H175</f>
        <v>0</v>
      </c>
      <c r="K175">
        <f t="shared" ref="K175:K177" si="190">SQRT(J175)</f>
        <v>0</v>
      </c>
      <c r="L175" s="6">
        <f t="shared" ref="L175:L177" si="191">(1.96*K175)</f>
        <v>0</v>
      </c>
      <c r="N175" s="2">
        <f>'rockfish harvests'!O174</f>
        <v>5425.9695845697333</v>
      </c>
      <c r="O175">
        <f>'rockfish harvests'!P174</f>
        <v>2642689.7102351333</v>
      </c>
      <c r="P175">
        <v>7.407407407407407E-2</v>
      </c>
      <c r="Q175">
        <v>6.4100098714152019E-4</v>
      </c>
      <c r="T175" s="13">
        <f t="shared" ref="T175:T176" si="192">N175*P175</f>
        <v>401.92367293109135</v>
      </c>
      <c r="U175" s="14">
        <f t="shared" ref="U175:U176" si="193">(N175^2)*Q175+(P175^2)*O175-(Q175*O175)</f>
        <v>31678.191955471877</v>
      </c>
      <c r="V175">
        <f t="shared" ref="V175:V176" si="194">SQRT(U175)</f>
        <v>177.98368452044102</v>
      </c>
      <c r="W175" s="6">
        <f t="shared" ref="W175:W176" si="195">(1.96*V175)</f>
        <v>348.84802166006438</v>
      </c>
      <c r="Y175" s="13">
        <f t="shared" ref="Y175:Y176" si="196">T175+I175</f>
        <v>628.92367293109135</v>
      </c>
      <c r="Z175">
        <f t="shared" ref="Z175:Z176" si="197">U175+J175</f>
        <v>31678.191955471877</v>
      </c>
      <c r="AA175">
        <f t="shared" ref="AA175:AA176" si="198">SQRT(Z175)</f>
        <v>177.98368452044102</v>
      </c>
      <c r="AB175" s="6">
        <f t="shared" ref="AB175:AB176" si="199">(1.96*AA175)</f>
        <v>348.84802166006438</v>
      </c>
      <c r="AC175" s="14">
        <f t="shared" ref="AC175:AC176" si="200">AA175/Y175</f>
        <v>0.282997273247722</v>
      </c>
    </row>
    <row r="176" spans="1:29" hidden="1" x14ac:dyDescent="0.25">
      <c r="A176" t="str">
        <f>'rockfish harvests'!A175</f>
        <v>SC</v>
      </c>
      <c r="B176">
        <f>'rockfish harvests'!B175</f>
        <v>2021</v>
      </c>
      <c r="C176" t="str">
        <f>'rockfish harvests'!C175</f>
        <v>NORTHEAS</v>
      </c>
      <c r="D176">
        <f>'rockfish harvests'!D175</f>
        <v>9680</v>
      </c>
      <c r="E176">
        <v>701</v>
      </c>
      <c r="F176">
        <v>421</v>
      </c>
      <c r="I176" s="13">
        <f t="shared" si="188"/>
        <v>421</v>
      </c>
      <c r="J176">
        <f t="shared" si="189"/>
        <v>0</v>
      </c>
      <c r="K176">
        <f t="shared" si="190"/>
        <v>0</v>
      </c>
      <c r="L176" s="6">
        <f t="shared" si="191"/>
        <v>0</v>
      </c>
      <c r="N176" s="2">
        <f>'rockfish harvests'!O175</f>
        <v>6922.7471252241812</v>
      </c>
      <c r="O176">
        <f>'rockfish harvests'!P175</f>
        <v>2666714.9901529583</v>
      </c>
      <c r="P176">
        <v>4.9019607843137254E-3</v>
      </c>
      <c r="Q176">
        <v>2.4029219530949632E-5</v>
      </c>
      <c r="T176" s="13">
        <f t="shared" si="192"/>
        <v>33.935034927569518</v>
      </c>
      <c r="U176" s="14">
        <f t="shared" si="193"/>
        <v>1151.5865955353629</v>
      </c>
      <c r="V176">
        <f t="shared" si="194"/>
        <v>33.935034927569518</v>
      </c>
      <c r="W176" s="6">
        <f t="shared" si="195"/>
        <v>66.512668458036259</v>
      </c>
      <c r="Y176" s="13">
        <f t="shared" si="196"/>
        <v>454.93503492756952</v>
      </c>
      <c r="Z176">
        <f t="shared" si="197"/>
        <v>1151.5865955353629</v>
      </c>
      <c r="AA176">
        <f t="shared" si="198"/>
        <v>33.935034927569518</v>
      </c>
      <c r="AB176" s="6">
        <f t="shared" si="199"/>
        <v>66.512668458036259</v>
      </c>
      <c r="AC176" s="14">
        <f t="shared" si="200"/>
        <v>7.4593144783787285E-2</v>
      </c>
    </row>
    <row r="177" spans="1:29" s="51" customFormat="1" hidden="1" x14ac:dyDescent="0.25">
      <c r="A177" s="51" t="s">
        <v>81</v>
      </c>
      <c r="B177" s="51">
        <v>2022</v>
      </c>
      <c r="C177" s="51" t="s">
        <v>50</v>
      </c>
      <c r="D177" s="6">
        <v>10973</v>
      </c>
      <c r="E177" s="51">
        <v>622</v>
      </c>
      <c r="F177" s="51">
        <v>362</v>
      </c>
      <c r="I177" s="71">
        <f t="shared" si="188"/>
        <v>362</v>
      </c>
      <c r="J177" s="51">
        <f t="shared" si="189"/>
        <v>0</v>
      </c>
      <c r="K177" s="51">
        <f t="shared" si="190"/>
        <v>0</v>
      </c>
      <c r="L177" s="78">
        <f t="shared" si="191"/>
        <v>0</v>
      </c>
      <c r="N177" s="2">
        <f>'rockfish harvests'!O176</f>
        <v>3514.0968005724208</v>
      </c>
      <c r="O177">
        <f>'rockfish harvests'!P176</f>
        <v>1054686.774762708</v>
      </c>
      <c r="P177" s="90">
        <v>1.7857142999999999E-2</v>
      </c>
      <c r="Q177">
        <v>1.58002E-4</v>
      </c>
      <c r="T177" s="13">
        <f t="shared" ref="T177" si="201">N177*P177</f>
        <v>62.751729083664195</v>
      </c>
      <c r="U177" s="14">
        <f t="shared" ref="U177" si="202">(N177^2)*Q177+(P177^2)*O177-(Q177*O177)</f>
        <v>2120.8204783369356</v>
      </c>
      <c r="V177">
        <f t="shared" ref="V177" si="203">SQRT(U177)</f>
        <v>46.052366696370072</v>
      </c>
      <c r="W177" s="6">
        <f t="shared" ref="W177" si="204">(1.96*V177)</f>
        <v>90.262638724885335</v>
      </c>
      <c r="X177"/>
      <c r="Y177" s="13">
        <f t="shared" ref="Y177" si="205">T177+I177</f>
        <v>424.7517290836642</v>
      </c>
      <c r="Z177">
        <f t="shared" ref="Z177" si="206">U177+J177</f>
        <v>2120.8204783369356</v>
      </c>
      <c r="AA177">
        <f t="shared" ref="AA177" si="207">SQRT(Z177)</f>
        <v>46.052366696370072</v>
      </c>
      <c r="AB177" s="6">
        <f t="shared" ref="AB177" si="208">(1.96*AA177)</f>
        <v>90.262638724885335</v>
      </c>
      <c r="AC177" s="14">
        <f t="shared" ref="AC177" si="209">AA177/Y177</f>
        <v>0.10842184632354739</v>
      </c>
    </row>
    <row r="178" spans="1:29" hidden="1" x14ac:dyDescent="0.25">
      <c r="A178" t="str">
        <f>'rockfish harvests'!A177</f>
        <v>SC</v>
      </c>
      <c r="B178">
        <f>'rockfish harvests'!B177</f>
        <v>1998</v>
      </c>
      <c r="C178" t="str">
        <f>'rockfish harvests'!C177</f>
        <v>PWSI</v>
      </c>
      <c r="D178">
        <f>'rockfish harvests'!D177</f>
        <v>3821</v>
      </c>
      <c r="E178">
        <v>1723</v>
      </c>
      <c r="F178" t="s">
        <v>159</v>
      </c>
      <c r="G178">
        <v>0.81819702999999999</v>
      </c>
      <c r="H178">
        <v>1.430295E-3</v>
      </c>
      <c r="I178" s="13">
        <f t="shared" ref="I178:I185" si="210">E178*G178</f>
        <v>1409.7534826900001</v>
      </c>
      <c r="J178">
        <f t="shared" si="149"/>
        <v>4246.1582450550004</v>
      </c>
      <c r="K178">
        <f t="shared" si="150"/>
        <v>65.16255247498367</v>
      </c>
      <c r="L178" s="6">
        <f t="shared" si="151"/>
        <v>127.718602850968</v>
      </c>
      <c r="N178" s="2">
        <f>'rockfish harvests'!O177</f>
        <v>9768.3550806147941</v>
      </c>
      <c r="O178">
        <f>'rockfish harvests'!P177</f>
        <v>8755809.3695013113</v>
      </c>
      <c r="P178" s="32">
        <v>0.29826472199999998</v>
      </c>
      <c r="Q178" s="32">
        <v>3.0740847000000002E-2</v>
      </c>
      <c r="T178" s="13">
        <f t="shared" si="187"/>
        <v>2913.5557125168589</v>
      </c>
      <c r="U178" s="14">
        <f t="shared" si="159"/>
        <v>3443086.9683864298</v>
      </c>
      <c r="V178">
        <f t="shared" si="153"/>
        <v>1855.5557033908817</v>
      </c>
      <c r="W178" s="6">
        <f t="shared" si="154"/>
        <v>3636.8891786461281</v>
      </c>
      <c r="Y178" s="13">
        <f t="shared" si="155"/>
        <v>4323.3091952068589</v>
      </c>
      <c r="Z178">
        <f t="shared" si="156"/>
        <v>3447333.1266314848</v>
      </c>
      <c r="AA178">
        <f t="shared" si="157"/>
        <v>1856.6995251336402</v>
      </c>
      <c r="AB178" s="6">
        <f t="shared" si="158"/>
        <v>3639.131069261935</v>
      </c>
      <c r="AC178" s="14">
        <f>AA178/Y178</f>
        <v>0.42946258093039352</v>
      </c>
    </row>
    <row r="179" spans="1:29" hidden="1" x14ac:dyDescent="0.25">
      <c r="A179" t="str">
        <f>'rockfish harvests'!A178</f>
        <v>SC</v>
      </c>
      <c r="B179">
        <f>'rockfish harvests'!B178</f>
        <v>1999</v>
      </c>
      <c r="C179" t="str">
        <f>'rockfish harvests'!C178</f>
        <v>PWSI</v>
      </c>
      <c r="D179">
        <f>'rockfish harvests'!D178</f>
        <v>4514</v>
      </c>
      <c r="E179">
        <v>1905</v>
      </c>
      <c r="F179" t="s">
        <v>159</v>
      </c>
      <c r="G179">
        <v>0.70560085500000003</v>
      </c>
      <c r="H179">
        <v>8.2105999999999998E-4</v>
      </c>
      <c r="I179" s="13">
        <f t="shared" si="210"/>
        <v>1344.1696287750001</v>
      </c>
      <c r="J179">
        <f t="shared" si="149"/>
        <v>2979.6472665000001</v>
      </c>
      <c r="K179">
        <f t="shared" si="150"/>
        <v>54.586145371330261</v>
      </c>
      <c r="L179" s="6">
        <f t="shared" si="151"/>
        <v>106.98884492780731</v>
      </c>
      <c r="N179" s="2">
        <f>'rockfish harvests'!O178</f>
        <v>11540.003882202349</v>
      </c>
      <c r="O179">
        <f>'rockfish harvests'!P178</f>
        <v>12219834.714956973</v>
      </c>
      <c r="P179">
        <v>0.42359815299999998</v>
      </c>
      <c r="Q179">
        <v>1.265092E-3</v>
      </c>
      <c r="T179" s="13">
        <f t="shared" si="187"/>
        <v>4888.3243301137445</v>
      </c>
      <c r="U179" s="14">
        <f t="shared" si="159"/>
        <v>2345686.0956644234</v>
      </c>
      <c r="V179">
        <f t="shared" si="153"/>
        <v>1531.5632849035078</v>
      </c>
      <c r="W179" s="6">
        <f t="shared" si="154"/>
        <v>3001.8640384108753</v>
      </c>
      <c r="Y179" s="13">
        <f t="shared" si="155"/>
        <v>6232.4939588887446</v>
      </c>
      <c r="Z179">
        <f t="shared" si="156"/>
        <v>2348665.7429309236</v>
      </c>
      <c r="AA179">
        <f t="shared" si="157"/>
        <v>1532.5357232152612</v>
      </c>
      <c r="AB179" s="6">
        <f t="shared" si="158"/>
        <v>3003.7700175019118</v>
      </c>
      <c r="AC179" s="14">
        <f t="shared" ref="AC179:AC253" si="211">AA179/Y179</f>
        <v>0.24589445787260944</v>
      </c>
    </row>
    <row r="180" spans="1:29" hidden="1" x14ac:dyDescent="0.25">
      <c r="A180" t="str">
        <f>'rockfish harvests'!A179</f>
        <v>SC</v>
      </c>
      <c r="B180">
        <f>'rockfish harvests'!B179</f>
        <v>2000</v>
      </c>
      <c r="C180" t="str">
        <f>'rockfish harvests'!C179</f>
        <v>PWSI</v>
      </c>
      <c r="D180">
        <f>'rockfish harvests'!D179</f>
        <v>6011</v>
      </c>
      <c r="E180">
        <v>2620</v>
      </c>
      <c r="F180" t="s">
        <v>159</v>
      </c>
      <c r="G180">
        <v>0.48587041600000003</v>
      </c>
      <c r="H180">
        <v>9.2518600000000004E-4</v>
      </c>
      <c r="I180" s="13">
        <f t="shared" si="210"/>
        <v>1272.9804899200001</v>
      </c>
      <c r="J180">
        <f t="shared" si="149"/>
        <v>6350.8467784000004</v>
      </c>
      <c r="K180">
        <f t="shared" si="150"/>
        <v>79.692200235656685</v>
      </c>
      <c r="L180" s="6">
        <f t="shared" si="151"/>
        <v>156.1967124618871</v>
      </c>
      <c r="N180" s="2">
        <f>'rockfish harvests'!O179</f>
        <v>15367.072072644733</v>
      </c>
      <c r="O180">
        <f>'rockfish harvests'!P179</f>
        <v>21668840.765019432</v>
      </c>
      <c r="P180">
        <v>0.190055742</v>
      </c>
      <c r="Q180">
        <v>8.7462800000000002E-4</v>
      </c>
      <c r="T180" s="13">
        <f t="shared" si="187"/>
        <v>2920.6002851339726</v>
      </c>
      <c r="U180" s="14">
        <f t="shared" si="159"/>
        <v>970292.72703049472</v>
      </c>
      <c r="V180">
        <f t="shared" si="153"/>
        <v>985.0343786033535</v>
      </c>
      <c r="W180" s="6">
        <f t="shared" si="154"/>
        <v>1930.6673820625729</v>
      </c>
      <c r="Y180" s="13">
        <f t="shared" si="155"/>
        <v>4193.5807750539725</v>
      </c>
      <c r="Z180">
        <f t="shared" si="156"/>
        <v>976643.57380889473</v>
      </c>
      <c r="AA180">
        <f t="shared" si="157"/>
        <v>988.25278841442923</v>
      </c>
      <c r="AB180" s="6">
        <f t="shared" si="158"/>
        <v>1936.9754652922813</v>
      </c>
      <c r="AC180" s="14">
        <f t="shared" si="211"/>
        <v>0.23565846025744197</v>
      </c>
    </row>
    <row r="181" spans="1:29" hidden="1" x14ac:dyDescent="0.25">
      <c r="A181" t="str">
        <f>'rockfish harvests'!A180</f>
        <v>SC</v>
      </c>
      <c r="B181">
        <f>'rockfish harvests'!B180</f>
        <v>2001</v>
      </c>
      <c r="C181" t="str">
        <f>'rockfish harvests'!C180</f>
        <v>PWSI</v>
      </c>
      <c r="D181">
        <f>'rockfish harvests'!D180</f>
        <v>7036</v>
      </c>
      <c r="E181">
        <v>2827</v>
      </c>
      <c r="F181" t="s">
        <v>159</v>
      </c>
      <c r="G181">
        <v>0.51894945100000001</v>
      </c>
      <c r="H181">
        <v>1.2118490000000001E-3</v>
      </c>
      <c r="I181" s="13">
        <f t="shared" si="210"/>
        <v>1467.0700979769999</v>
      </c>
      <c r="J181">
        <f t="shared" si="149"/>
        <v>9685.0111667210003</v>
      </c>
      <c r="K181">
        <f t="shared" si="150"/>
        <v>98.412454327290305</v>
      </c>
      <c r="L181" s="6">
        <f t="shared" si="151"/>
        <v>192.88841048148899</v>
      </c>
      <c r="N181" s="2">
        <f>'rockfish harvests'!O180</f>
        <v>17987.476144256918</v>
      </c>
      <c r="O181">
        <f>'rockfish harvests'!P180</f>
        <v>29688884.747428846</v>
      </c>
      <c r="P181">
        <v>0.80829467899999996</v>
      </c>
      <c r="Q181">
        <v>6.4030700000000001E-4</v>
      </c>
      <c r="T181" s="13">
        <f t="shared" si="187"/>
        <v>14539.181256042302</v>
      </c>
      <c r="U181" s="14">
        <f t="shared" si="159"/>
        <v>19585105.393898599</v>
      </c>
      <c r="V181">
        <f t="shared" si="153"/>
        <v>4425.5062302406259</v>
      </c>
      <c r="W181" s="6">
        <f t="shared" si="154"/>
        <v>8673.9922112716267</v>
      </c>
      <c r="Y181" s="13">
        <f t="shared" ref="Y181:Y223" si="212">T181+I181</f>
        <v>16006.251354019303</v>
      </c>
      <c r="Z181">
        <f t="shared" ref="Z181:Z223" si="213">U181+J181</f>
        <v>19594790.40506532</v>
      </c>
      <c r="AA181">
        <f t="shared" si="157"/>
        <v>4426.600321360098</v>
      </c>
      <c r="AB181" s="6">
        <f t="shared" si="158"/>
        <v>8676.1366298657922</v>
      </c>
      <c r="AC181" s="14">
        <f t="shared" si="211"/>
        <v>0.27655446759234742</v>
      </c>
    </row>
    <row r="182" spans="1:29" hidden="1" x14ac:dyDescent="0.25">
      <c r="A182" t="str">
        <f>'rockfish harvests'!A181</f>
        <v>SC</v>
      </c>
      <c r="B182">
        <f>'rockfish harvests'!B181</f>
        <v>2002</v>
      </c>
      <c r="C182" t="str">
        <f>'rockfish harvests'!C181</f>
        <v>PWSI</v>
      </c>
      <c r="D182">
        <f>'rockfish harvests'!D181</f>
        <v>7398</v>
      </c>
      <c r="E182">
        <v>2518</v>
      </c>
      <c r="F182" t="s">
        <v>159</v>
      </c>
      <c r="G182">
        <v>0.68596919199999995</v>
      </c>
      <c r="H182">
        <v>1.23802E-3</v>
      </c>
      <c r="I182" s="13">
        <f t="shared" si="210"/>
        <v>1727.2704254559999</v>
      </c>
      <c r="J182">
        <f t="shared" ref="J182:J223" si="214">(E182^2)*H182</f>
        <v>7849.4479184800002</v>
      </c>
      <c r="K182">
        <f t="shared" ref="K182:K223" si="215">SQRT(J182)</f>
        <v>88.597110102305251</v>
      </c>
      <c r="L182" s="6">
        <f t="shared" ref="L182:L223" si="216">(1.96*K182)</f>
        <v>173.65033580051829</v>
      </c>
      <c r="N182" s="2">
        <f>'rockfish harvests'!O181</f>
        <v>18912.926167597027</v>
      </c>
      <c r="O182">
        <f>'rockfish harvests'!P181</f>
        <v>32822440.987651471</v>
      </c>
      <c r="P182">
        <v>0.583589943</v>
      </c>
      <c r="Q182">
        <v>1.265691E-3</v>
      </c>
      <c r="T182" s="13">
        <f t="shared" si="187"/>
        <v>11037.393504111156</v>
      </c>
      <c r="U182" s="14">
        <f t="shared" si="159"/>
        <v>11589768.810361825</v>
      </c>
      <c r="V182">
        <f t="shared" ref="V182:V223" si="217">SQRT(U182)</f>
        <v>3404.3749514943011</v>
      </c>
      <c r="W182" s="6">
        <f t="shared" ref="W182:W223" si="218">(1.96*V182)</f>
        <v>6672.5749049288297</v>
      </c>
      <c r="Y182" s="13">
        <f t="shared" si="212"/>
        <v>12764.663929567156</v>
      </c>
      <c r="Z182">
        <f t="shared" si="213"/>
        <v>11597618.258280305</v>
      </c>
      <c r="AA182">
        <f t="shared" ref="AA182:AA223" si="219">SQRT(Z182)</f>
        <v>3405.527603511724</v>
      </c>
      <c r="AB182" s="6">
        <f t="shared" ref="AB182:AB223" si="220">(1.96*AA182)</f>
        <v>6674.8341028829791</v>
      </c>
      <c r="AC182" s="14">
        <f t="shared" si="211"/>
        <v>0.26679336191714403</v>
      </c>
    </row>
    <row r="183" spans="1:29" hidden="1" x14ac:dyDescent="0.25">
      <c r="A183" t="str">
        <f>'rockfish harvests'!A182</f>
        <v>SC</v>
      </c>
      <c r="B183">
        <f>'rockfish harvests'!B182</f>
        <v>2003</v>
      </c>
      <c r="C183" t="str">
        <f>'rockfish harvests'!C182</f>
        <v>PWSI</v>
      </c>
      <c r="D183">
        <f>'rockfish harvests'!D182</f>
        <v>11932</v>
      </c>
      <c r="E183">
        <v>3187</v>
      </c>
      <c r="F183" t="s">
        <v>159</v>
      </c>
      <c r="G183">
        <v>0.68654841300000002</v>
      </c>
      <c r="H183">
        <v>7.2457800000000003E-4</v>
      </c>
      <c r="I183" s="13">
        <f t="shared" si="210"/>
        <v>2188.0297922310001</v>
      </c>
      <c r="J183">
        <f t="shared" si="214"/>
        <v>7359.5162840820003</v>
      </c>
      <c r="K183">
        <f t="shared" si="215"/>
        <v>85.787623140415775</v>
      </c>
      <c r="L183" s="6">
        <f t="shared" si="216"/>
        <v>168.14374135521493</v>
      </c>
      <c r="N183" s="2">
        <f>'rockfish harvests'!O182</f>
        <v>30504.059885343027</v>
      </c>
      <c r="O183">
        <f>'rockfish harvests'!P182</f>
        <v>85382469.486194402</v>
      </c>
      <c r="P183">
        <v>0.175889405</v>
      </c>
      <c r="Q183">
        <v>3.8245999999999999E-4</v>
      </c>
      <c r="T183" s="13">
        <f t="shared" si="187"/>
        <v>5365.3409433173529</v>
      </c>
      <c r="U183" s="14">
        <f t="shared" si="159"/>
        <v>2964707.2868090342</v>
      </c>
      <c r="V183">
        <f t="shared" si="217"/>
        <v>1721.8325373883008</v>
      </c>
      <c r="W183" s="6">
        <f t="shared" si="218"/>
        <v>3374.7917732810697</v>
      </c>
      <c r="Y183" s="13">
        <f t="shared" si="212"/>
        <v>7553.370735548353</v>
      </c>
      <c r="Z183">
        <f t="shared" si="213"/>
        <v>2972066.8030931163</v>
      </c>
      <c r="AA183">
        <f t="shared" si="219"/>
        <v>1723.9683300725442</v>
      </c>
      <c r="AB183" s="6">
        <f t="shared" si="220"/>
        <v>3378.9779269421865</v>
      </c>
      <c r="AC183" s="14">
        <f t="shared" si="211"/>
        <v>0.22823827803910768</v>
      </c>
    </row>
    <row r="184" spans="1:29" hidden="1" x14ac:dyDescent="0.25">
      <c r="A184" t="str">
        <f>'rockfish harvests'!A183</f>
        <v>SC</v>
      </c>
      <c r="B184">
        <f>'rockfish harvests'!B183</f>
        <v>2004</v>
      </c>
      <c r="C184" t="str">
        <f>'rockfish harvests'!C183</f>
        <v>PWSI</v>
      </c>
      <c r="D184">
        <f>'rockfish harvests'!D183</f>
        <v>10310</v>
      </c>
      <c r="E184">
        <v>2872</v>
      </c>
      <c r="F184" t="s">
        <v>159</v>
      </c>
      <c r="G184">
        <v>0.68483738199999999</v>
      </c>
      <c r="H184">
        <v>7.2917299999999995E-4</v>
      </c>
      <c r="I184" s="13">
        <f t="shared" si="210"/>
        <v>1966.8529611040001</v>
      </c>
      <c r="J184">
        <f t="shared" si="214"/>
        <v>6014.4989064319998</v>
      </c>
      <c r="K184">
        <f t="shared" si="215"/>
        <v>77.553200491224089</v>
      </c>
      <c r="L184" s="6">
        <f t="shared" si="216"/>
        <v>152.00427296279921</v>
      </c>
      <c r="N184" s="2">
        <f>'rockfish harvests'!O183</f>
        <v>26357.430222752817</v>
      </c>
      <c r="O184">
        <f>'rockfish harvests'!P183</f>
        <v>63746970.869564563</v>
      </c>
      <c r="P184">
        <v>0.33339285800000001</v>
      </c>
      <c r="Q184">
        <v>9.1835599999999995E-4</v>
      </c>
      <c r="T184" s="13">
        <f t="shared" si="187"/>
        <v>8787.3789914991394</v>
      </c>
      <c r="U184" s="14">
        <f t="shared" si="159"/>
        <v>7664979.1417856021</v>
      </c>
      <c r="V184">
        <f t="shared" si="217"/>
        <v>2768.5698730184872</v>
      </c>
      <c r="W184" s="6">
        <f t="shared" si="218"/>
        <v>5426.396951116235</v>
      </c>
      <c r="Y184" s="13">
        <f t="shared" si="212"/>
        <v>10754.231952603139</v>
      </c>
      <c r="Z184">
        <f t="shared" si="213"/>
        <v>7670993.6406920338</v>
      </c>
      <c r="AA184">
        <f t="shared" si="219"/>
        <v>2769.6558704452859</v>
      </c>
      <c r="AB184" s="6">
        <f t="shared" si="220"/>
        <v>5428.5255060727604</v>
      </c>
      <c r="AC184" s="14">
        <f t="shared" si="211"/>
        <v>0.25754102037708709</v>
      </c>
    </row>
    <row r="185" spans="1:29" hidden="1" x14ac:dyDescent="0.25">
      <c r="A185" t="str">
        <f>'rockfish harvests'!A184</f>
        <v>SC</v>
      </c>
      <c r="B185">
        <f>'rockfish harvests'!B184</f>
        <v>2005</v>
      </c>
      <c r="C185" t="str">
        <f>'rockfish harvests'!C184</f>
        <v>PWSI</v>
      </c>
      <c r="D185">
        <f>'rockfish harvests'!D184</f>
        <v>10930</v>
      </c>
      <c r="E185">
        <v>2754</v>
      </c>
      <c r="F185" t="s">
        <v>159</v>
      </c>
      <c r="G185">
        <v>0.70733318000000001</v>
      </c>
      <c r="H185">
        <v>1.1966069999999999E-3</v>
      </c>
      <c r="I185" s="13">
        <f t="shared" si="210"/>
        <v>1947.99557772</v>
      </c>
      <c r="J185">
        <f t="shared" si="214"/>
        <v>9075.6849372119996</v>
      </c>
      <c r="K185">
        <f t="shared" si="215"/>
        <v>95.266389336491599</v>
      </c>
      <c r="L185" s="6">
        <f t="shared" si="216"/>
        <v>186.72212309952354</v>
      </c>
      <c r="N185" s="2">
        <f>'rockfish harvests'!O184</f>
        <v>27942.455124606044</v>
      </c>
      <c r="O185">
        <f>'rockfish harvests'!P184</f>
        <v>71644448.857817397</v>
      </c>
      <c r="P185">
        <v>0.48188212899999999</v>
      </c>
      <c r="Q185">
        <v>9.0134199999999996E-4</v>
      </c>
      <c r="T185" s="13">
        <f t="shared" si="187"/>
        <v>13464.969764932121</v>
      </c>
      <c r="U185" s="14">
        <f t="shared" si="159"/>
        <v>17275759.517472129</v>
      </c>
      <c r="V185">
        <f t="shared" si="217"/>
        <v>4156.4118560932011</v>
      </c>
      <c r="W185" s="6">
        <f t="shared" si="218"/>
        <v>8146.5672379426742</v>
      </c>
      <c r="Y185" s="13">
        <f t="shared" si="212"/>
        <v>15412.96534265212</v>
      </c>
      <c r="Z185">
        <f t="shared" si="213"/>
        <v>17284835.202409342</v>
      </c>
      <c r="AA185">
        <f t="shared" si="219"/>
        <v>4157.5034819479515</v>
      </c>
      <c r="AB185" s="6">
        <f t="shared" si="220"/>
        <v>8148.7068246179851</v>
      </c>
      <c r="AC185" s="14">
        <f t="shared" si="211"/>
        <v>0.26974066245662282</v>
      </c>
    </row>
    <row r="186" spans="1:29" hidden="1" x14ac:dyDescent="0.25">
      <c r="A186" t="str">
        <f>'rockfish harvests'!A185</f>
        <v>SC</v>
      </c>
      <c r="B186">
        <f>'rockfish harvests'!B185</f>
        <v>2006</v>
      </c>
      <c r="C186" t="str">
        <f>'rockfish harvests'!C185</f>
        <v>PWSI</v>
      </c>
      <c r="D186">
        <f>'rockfish harvests'!D185</f>
        <v>7578</v>
      </c>
      <c r="E186">
        <v>2985</v>
      </c>
      <c r="F186">
        <v>1907</v>
      </c>
      <c r="I186" s="13">
        <f>F186</f>
        <v>1907</v>
      </c>
      <c r="J186">
        <f t="shared" si="214"/>
        <v>0</v>
      </c>
      <c r="K186">
        <f t="shared" si="215"/>
        <v>0</v>
      </c>
      <c r="L186" s="6">
        <f t="shared" si="216"/>
        <v>0</v>
      </c>
      <c r="N186" s="2">
        <f>'rockfish harvests'!O185</f>
        <v>19373.094687489898</v>
      </c>
      <c r="O186">
        <f>'rockfish harvests'!P185</f>
        <v>34439070.708155498</v>
      </c>
      <c r="P186">
        <v>0.26586483900000002</v>
      </c>
      <c r="Q186">
        <v>5.86128E-4</v>
      </c>
      <c r="T186" s="13">
        <f t="shared" si="187"/>
        <v>5150.6247000212579</v>
      </c>
      <c r="U186" s="14">
        <f t="shared" si="159"/>
        <v>2634093.1327502974</v>
      </c>
      <c r="V186">
        <f t="shared" si="217"/>
        <v>1622.9889502859523</v>
      </c>
      <c r="W186" s="6">
        <f t="shared" si="218"/>
        <v>3181.0583425604664</v>
      </c>
      <c r="Y186" s="13">
        <f t="shared" si="212"/>
        <v>7057.6247000212579</v>
      </c>
      <c r="Z186">
        <f t="shared" si="213"/>
        <v>2634093.1327502974</v>
      </c>
      <c r="AA186">
        <f t="shared" si="219"/>
        <v>1622.9889502859523</v>
      </c>
      <c r="AB186" s="6">
        <f t="shared" si="220"/>
        <v>3181.0583425604664</v>
      </c>
      <c r="AC186" s="14">
        <f t="shared" si="211"/>
        <v>0.22996249011102329</v>
      </c>
    </row>
    <row r="187" spans="1:29" hidden="1" x14ac:dyDescent="0.25">
      <c r="A187" t="str">
        <f>'rockfish harvests'!A186</f>
        <v>SC</v>
      </c>
      <c r="B187">
        <f>'rockfish harvests'!B186</f>
        <v>2007</v>
      </c>
      <c r="C187" t="str">
        <f>'rockfish harvests'!C186</f>
        <v>PWSI</v>
      </c>
      <c r="D187">
        <f>'rockfish harvests'!D186</f>
        <v>12404</v>
      </c>
      <c r="E187">
        <v>3115</v>
      </c>
      <c r="F187">
        <v>1944</v>
      </c>
      <c r="I187" s="13">
        <f t="shared" ref="I187:I198" si="221">F187</f>
        <v>1944</v>
      </c>
      <c r="J187">
        <f t="shared" si="214"/>
        <v>0</v>
      </c>
      <c r="K187">
        <f t="shared" si="215"/>
        <v>0</v>
      </c>
      <c r="L187" s="6">
        <f t="shared" si="216"/>
        <v>0</v>
      </c>
      <c r="N187" s="2">
        <f>'rockfish harvests'!O186</f>
        <v>31710.724004173229</v>
      </c>
      <c r="O187">
        <f>'rockfish harvests'!P186</f>
        <v>92271108.350786552</v>
      </c>
      <c r="P187">
        <v>0.15352934300000001</v>
      </c>
      <c r="Q187">
        <v>4.0996199999999999E-4</v>
      </c>
      <c r="T187" s="13">
        <f t="shared" si="187"/>
        <v>4868.5266224150455</v>
      </c>
      <c r="U187" s="14">
        <f t="shared" si="159"/>
        <v>2549364.0552363289</v>
      </c>
      <c r="V187">
        <f t="shared" si="217"/>
        <v>1596.6728078214173</v>
      </c>
      <c r="W187" s="6">
        <f t="shared" si="218"/>
        <v>3129.4787033299781</v>
      </c>
      <c r="Y187" s="13">
        <f t="shared" si="212"/>
        <v>6812.5266224150455</v>
      </c>
      <c r="Z187">
        <f t="shared" si="213"/>
        <v>2549364.0552363289</v>
      </c>
      <c r="AA187">
        <f t="shared" si="219"/>
        <v>1596.6728078214173</v>
      </c>
      <c r="AB187" s="6">
        <f t="shared" si="220"/>
        <v>3129.4787033299781</v>
      </c>
      <c r="AC187" s="14">
        <f t="shared" si="211"/>
        <v>0.23437307423767478</v>
      </c>
    </row>
    <row r="188" spans="1:29" hidden="1" x14ac:dyDescent="0.25">
      <c r="A188" t="str">
        <f>'rockfish harvests'!A187</f>
        <v>SC</v>
      </c>
      <c r="B188">
        <f>'rockfish harvests'!B187</f>
        <v>2008</v>
      </c>
      <c r="C188" t="str">
        <f>'rockfish harvests'!C187</f>
        <v>PWSI</v>
      </c>
      <c r="D188">
        <f>'rockfish harvests'!D187</f>
        <v>9522</v>
      </c>
      <c r="E188">
        <v>2623</v>
      </c>
      <c r="F188">
        <v>1495</v>
      </c>
      <c r="I188" s="13">
        <f t="shared" si="221"/>
        <v>1495</v>
      </c>
      <c r="J188">
        <f t="shared" si="214"/>
        <v>0</v>
      </c>
      <c r="K188">
        <f t="shared" si="215"/>
        <v>0</v>
      </c>
      <c r="L188" s="6">
        <f t="shared" si="216"/>
        <v>0</v>
      </c>
      <c r="N188" s="2">
        <f>'rockfish harvests'!O187</f>
        <v>24342.914702332913</v>
      </c>
      <c r="O188">
        <f>'rockfish harvests'!P187</f>
        <v>54374913.17494791</v>
      </c>
      <c r="P188">
        <v>0.185900606</v>
      </c>
      <c r="Q188">
        <v>2.8447699999999999E-4</v>
      </c>
      <c r="T188" s="13">
        <f t="shared" si="187"/>
        <v>4525.3625949699981</v>
      </c>
      <c r="U188" s="14">
        <f t="shared" si="159"/>
        <v>2032250.8006673334</v>
      </c>
      <c r="V188">
        <f t="shared" si="217"/>
        <v>1425.5703422375668</v>
      </c>
      <c r="W188" s="6">
        <f t="shared" si="218"/>
        <v>2794.1178707856311</v>
      </c>
      <c r="Y188" s="13">
        <f t="shared" si="212"/>
        <v>6020.3625949699981</v>
      </c>
      <c r="Z188">
        <f t="shared" si="213"/>
        <v>2032250.8006673334</v>
      </c>
      <c r="AA188">
        <f t="shared" si="219"/>
        <v>1425.5703422375668</v>
      </c>
      <c r="AB188" s="6">
        <f t="shared" si="220"/>
        <v>2794.1178707856311</v>
      </c>
      <c r="AC188" s="14">
        <f t="shared" si="211"/>
        <v>0.23679144233415911</v>
      </c>
    </row>
    <row r="189" spans="1:29" hidden="1" x14ac:dyDescent="0.25">
      <c r="A189" t="str">
        <f>'rockfish harvests'!A188</f>
        <v>SC</v>
      </c>
      <c r="B189">
        <f>'rockfish harvests'!B188</f>
        <v>2009</v>
      </c>
      <c r="C189" t="str">
        <f>'rockfish harvests'!C188</f>
        <v>PWSI</v>
      </c>
      <c r="D189">
        <f>'rockfish harvests'!D188</f>
        <v>8197</v>
      </c>
      <c r="E189">
        <v>2224</v>
      </c>
      <c r="F189">
        <v>1306</v>
      </c>
      <c r="I189" s="13">
        <f t="shared" si="221"/>
        <v>1306</v>
      </c>
      <c r="J189">
        <f t="shared" si="214"/>
        <v>0</v>
      </c>
      <c r="K189">
        <f t="shared" si="215"/>
        <v>0</v>
      </c>
      <c r="L189" s="6">
        <f t="shared" si="216"/>
        <v>0</v>
      </c>
      <c r="N189" s="2">
        <f>'rockfish harvests'!O188</f>
        <v>20955.563097565941</v>
      </c>
      <c r="O189">
        <f>'rockfish harvests'!P188</f>
        <v>40295086.4991799</v>
      </c>
      <c r="P189">
        <v>0.255321721</v>
      </c>
      <c r="Q189">
        <v>3.9776699999999999E-4</v>
      </c>
      <c r="T189" s="13">
        <f t="shared" si="187"/>
        <v>5350.4104345946271</v>
      </c>
      <c r="U189" s="14">
        <f t="shared" si="159"/>
        <v>2785449.3002179079</v>
      </c>
      <c r="V189">
        <f t="shared" si="217"/>
        <v>1668.9665365782228</v>
      </c>
      <c r="W189" s="6">
        <f t="shared" si="218"/>
        <v>3271.1744116933164</v>
      </c>
      <c r="Y189" s="13">
        <f t="shared" si="212"/>
        <v>6656.4104345946271</v>
      </c>
      <c r="Z189">
        <f t="shared" si="213"/>
        <v>2785449.3002179079</v>
      </c>
      <c r="AA189">
        <f t="shared" si="219"/>
        <v>1668.9665365782228</v>
      </c>
      <c r="AB189" s="6">
        <f t="shared" si="220"/>
        <v>3271.1744116933164</v>
      </c>
      <c r="AC189" s="14">
        <f t="shared" si="211"/>
        <v>0.25073071334428049</v>
      </c>
    </row>
    <row r="190" spans="1:29" hidden="1" x14ac:dyDescent="0.25">
      <c r="A190" t="str">
        <f>'rockfish harvests'!A189</f>
        <v>SC</v>
      </c>
      <c r="B190">
        <f>'rockfish harvests'!B189</f>
        <v>2010</v>
      </c>
      <c r="C190" t="str">
        <f>'rockfish harvests'!C189</f>
        <v>PWSI</v>
      </c>
      <c r="D190">
        <f>'rockfish harvests'!D189</f>
        <v>11909</v>
      </c>
      <c r="E190">
        <v>3828</v>
      </c>
      <c r="F190">
        <v>1880</v>
      </c>
      <c r="I190" s="13">
        <f t="shared" si="221"/>
        <v>1880</v>
      </c>
      <c r="J190">
        <f t="shared" si="214"/>
        <v>0</v>
      </c>
      <c r="K190">
        <f t="shared" si="215"/>
        <v>0</v>
      </c>
      <c r="L190" s="6">
        <f t="shared" si="216"/>
        <v>0</v>
      </c>
      <c r="N190" s="2">
        <f>'rockfish harvests'!O189</f>
        <v>30445.260574467829</v>
      </c>
      <c r="O190">
        <f>'rockfish harvests'!P189</f>
        <v>85053622.000279784</v>
      </c>
      <c r="P190">
        <v>0.13172895300000001</v>
      </c>
      <c r="Q190">
        <v>2.4597099999999999E-4</v>
      </c>
      <c r="T190" s="13">
        <f t="shared" si="187"/>
        <v>4010.5222992868262</v>
      </c>
      <c r="U190" s="14">
        <f t="shared" si="159"/>
        <v>1682967.6389811821</v>
      </c>
      <c r="V190">
        <f t="shared" si="217"/>
        <v>1297.2924261635007</v>
      </c>
      <c r="W190" s="6">
        <f t="shared" si="218"/>
        <v>2542.6931552804613</v>
      </c>
      <c r="Y190" s="13">
        <f t="shared" si="212"/>
        <v>5890.5222992868257</v>
      </c>
      <c r="Z190">
        <f t="shared" si="213"/>
        <v>1682967.6389811821</v>
      </c>
      <c r="AA190">
        <f t="shared" si="219"/>
        <v>1297.2924261635007</v>
      </c>
      <c r="AB190" s="6">
        <f t="shared" si="220"/>
        <v>2542.6931552804613</v>
      </c>
      <c r="AC190" s="14">
        <f t="shared" si="211"/>
        <v>0.22023385368060924</v>
      </c>
    </row>
    <row r="191" spans="1:29" hidden="1" x14ac:dyDescent="0.25">
      <c r="A191" t="str">
        <f>'rockfish harvests'!A190</f>
        <v>SC</v>
      </c>
      <c r="B191">
        <f>'rockfish harvests'!B190</f>
        <v>2011</v>
      </c>
      <c r="C191" t="str">
        <f>'rockfish harvests'!C190</f>
        <v>PWSI</v>
      </c>
      <c r="D191">
        <f>'rockfish harvests'!D190</f>
        <v>11367</v>
      </c>
      <c r="E191">
        <v>3175</v>
      </c>
      <c r="F191">
        <v>1443</v>
      </c>
      <c r="I191" s="13">
        <f t="shared" si="221"/>
        <v>1443</v>
      </c>
      <c r="J191">
        <f t="shared" si="214"/>
        <v>0</v>
      </c>
      <c r="K191">
        <f t="shared" si="215"/>
        <v>0</v>
      </c>
      <c r="L191" s="6">
        <f t="shared" si="216"/>
        <v>0</v>
      </c>
      <c r="N191" s="2">
        <f>'rockfish harvests'!O190</f>
        <v>58599.987281399051</v>
      </c>
      <c r="O191">
        <f>'rockfish harvests'!P190</f>
        <v>100066036.13433234</v>
      </c>
      <c r="P191">
        <v>0.14624831299999999</v>
      </c>
      <c r="Q191">
        <v>2.5072199999999999E-4</v>
      </c>
      <c r="T191" s="13">
        <f t="shared" si="187"/>
        <v>8570.1492817260678</v>
      </c>
      <c r="U191" s="14">
        <f t="shared" si="159"/>
        <v>2976149.5126310452</v>
      </c>
      <c r="V191">
        <f t="shared" si="217"/>
        <v>1725.1520259475815</v>
      </c>
      <c r="W191" s="6">
        <f t="shared" si="218"/>
        <v>3381.2979708572598</v>
      </c>
      <c r="Y191" s="13">
        <f t="shared" si="212"/>
        <v>10013.149281726068</v>
      </c>
      <c r="Z191">
        <f t="shared" si="213"/>
        <v>2976149.5126310452</v>
      </c>
      <c r="AA191">
        <f t="shared" si="219"/>
        <v>1725.1520259475815</v>
      </c>
      <c r="AB191" s="6">
        <f t="shared" si="220"/>
        <v>3381.2979708572598</v>
      </c>
      <c r="AC191" s="14">
        <f t="shared" si="211"/>
        <v>0.17228865538796798</v>
      </c>
    </row>
    <row r="192" spans="1:29" hidden="1" x14ac:dyDescent="0.25">
      <c r="A192" t="str">
        <f>'rockfish harvests'!A191</f>
        <v>SC</v>
      </c>
      <c r="B192">
        <f>'rockfish harvests'!B191</f>
        <v>2012</v>
      </c>
      <c r="C192" t="str">
        <f>'rockfish harvests'!C191</f>
        <v>PWSI</v>
      </c>
      <c r="D192">
        <f>'rockfish harvests'!D191</f>
        <v>13580</v>
      </c>
      <c r="E192">
        <v>4267</v>
      </c>
      <c r="F192">
        <v>1727</v>
      </c>
      <c r="I192" s="13">
        <f t="shared" si="221"/>
        <v>1727</v>
      </c>
      <c r="J192">
        <f t="shared" si="214"/>
        <v>0</v>
      </c>
      <c r="K192">
        <f t="shared" si="215"/>
        <v>0</v>
      </c>
      <c r="L192" s="6">
        <f t="shared" si="216"/>
        <v>0</v>
      </c>
      <c r="N192" s="2">
        <f>'rockfish harvests'!O191</f>
        <v>31117.154090427939</v>
      </c>
      <c r="O192">
        <f>'rockfish harvests'!P191</f>
        <v>29413124.019685954</v>
      </c>
      <c r="P192">
        <v>0.30745004300000001</v>
      </c>
      <c r="Q192">
        <v>4.70032E-4</v>
      </c>
      <c r="T192" s="13">
        <f t="shared" si="187"/>
        <v>9566.9703631396951</v>
      </c>
      <c r="U192" s="14">
        <f t="shared" si="159"/>
        <v>3221587.3021060699</v>
      </c>
      <c r="V192">
        <f t="shared" si="217"/>
        <v>1794.8780744401749</v>
      </c>
      <c r="W192" s="6">
        <f t="shared" si="218"/>
        <v>3517.9610259027427</v>
      </c>
      <c r="Y192" s="13">
        <f t="shared" si="212"/>
        <v>11293.970363139695</v>
      </c>
      <c r="Z192">
        <f t="shared" si="213"/>
        <v>3221587.3021060699</v>
      </c>
      <c r="AA192">
        <f t="shared" si="219"/>
        <v>1794.8780744401749</v>
      </c>
      <c r="AB192" s="6">
        <f t="shared" si="220"/>
        <v>3517.9610259027427</v>
      </c>
      <c r="AC192" s="14">
        <f t="shared" si="211"/>
        <v>0.15892356865909141</v>
      </c>
    </row>
    <row r="193" spans="1:29" hidden="1" x14ac:dyDescent="0.25">
      <c r="A193" t="str">
        <f>'rockfish harvests'!A192</f>
        <v>SC</v>
      </c>
      <c r="B193">
        <f>'rockfish harvests'!B192</f>
        <v>2013</v>
      </c>
      <c r="C193" t="str">
        <f>'rockfish harvests'!C192</f>
        <v>PWSI</v>
      </c>
      <c r="D193">
        <f>'rockfish harvests'!D192</f>
        <v>14209</v>
      </c>
      <c r="E193">
        <v>3334</v>
      </c>
      <c r="F193">
        <v>1384</v>
      </c>
      <c r="I193" s="13">
        <f t="shared" si="221"/>
        <v>1384</v>
      </c>
      <c r="J193">
        <f t="shared" si="214"/>
        <v>0</v>
      </c>
      <c r="K193">
        <f t="shared" si="215"/>
        <v>0</v>
      </c>
      <c r="L193" s="6">
        <f t="shared" si="216"/>
        <v>0</v>
      </c>
      <c r="N193" s="2">
        <f>'rockfish harvests'!O192</f>
        <v>46247.943133398883</v>
      </c>
      <c r="O193">
        <f>'rockfish harvests'!P192</f>
        <v>49601334.787597425</v>
      </c>
      <c r="P193">
        <v>0.15489728999999999</v>
      </c>
      <c r="Q193">
        <v>2.0139100000000001E-4</v>
      </c>
      <c r="T193" s="13">
        <f t="shared" si="187"/>
        <v>7163.6810594375947</v>
      </c>
      <c r="U193" s="14">
        <f t="shared" si="159"/>
        <v>1610853.6377651179</v>
      </c>
      <c r="V193">
        <f t="shared" si="217"/>
        <v>1269.1940898716468</v>
      </c>
      <c r="W193" s="6">
        <f t="shared" si="218"/>
        <v>2487.6204161484279</v>
      </c>
      <c r="Y193" s="13">
        <f t="shared" si="212"/>
        <v>8547.6810594375947</v>
      </c>
      <c r="Z193">
        <f t="shared" si="213"/>
        <v>1610853.6377651179</v>
      </c>
      <c r="AA193">
        <f t="shared" si="219"/>
        <v>1269.1940898716468</v>
      </c>
      <c r="AB193" s="6">
        <f t="shared" si="220"/>
        <v>2487.6204161484279</v>
      </c>
      <c r="AC193" s="14">
        <f t="shared" si="211"/>
        <v>0.14848402520474424</v>
      </c>
    </row>
    <row r="194" spans="1:29" hidden="1" x14ac:dyDescent="0.25">
      <c r="A194" t="str">
        <f>'rockfish harvests'!A193</f>
        <v>SC</v>
      </c>
      <c r="B194">
        <f>'rockfish harvests'!B193</f>
        <v>2014</v>
      </c>
      <c r="C194" t="str">
        <f>'rockfish harvests'!C193</f>
        <v>PWSI</v>
      </c>
      <c r="D194">
        <f>'rockfish harvests'!D193</f>
        <v>14913</v>
      </c>
      <c r="E194">
        <v>4184</v>
      </c>
      <c r="F194">
        <v>1470</v>
      </c>
      <c r="I194" s="13">
        <f t="shared" si="221"/>
        <v>1470</v>
      </c>
      <c r="J194">
        <f t="shared" si="214"/>
        <v>0</v>
      </c>
      <c r="K194">
        <f t="shared" si="215"/>
        <v>0</v>
      </c>
      <c r="L194" s="6">
        <f t="shared" si="216"/>
        <v>0</v>
      </c>
      <c r="N194" s="2">
        <f>'rockfish harvests'!O193</f>
        <v>37953.469599823133</v>
      </c>
      <c r="O194">
        <f>'rockfish harvests'!P193</f>
        <v>47097436.38695576</v>
      </c>
      <c r="P194">
        <v>0.35337700599999999</v>
      </c>
      <c r="Q194">
        <v>4.62554E-4</v>
      </c>
      <c r="T194" s="13">
        <f t="shared" si="187"/>
        <v>13411.883454497516</v>
      </c>
      <c r="U194" s="14">
        <f t="shared" si="159"/>
        <v>6525815.0275831856</v>
      </c>
      <c r="V194">
        <f t="shared" si="217"/>
        <v>2554.5674834662686</v>
      </c>
      <c r="W194" s="6">
        <f t="shared" si="218"/>
        <v>5006.9522675938861</v>
      </c>
      <c r="Y194" s="13">
        <f t="shared" si="212"/>
        <v>14881.883454497516</v>
      </c>
      <c r="Z194">
        <f t="shared" si="213"/>
        <v>6525815.0275831856</v>
      </c>
      <c r="AA194">
        <f t="shared" si="219"/>
        <v>2554.5674834662686</v>
      </c>
      <c r="AB194" s="6">
        <f t="shared" si="220"/>
        <v>5006.9522675938861</v>
      </c>
      <c r="AC194" s="14">
        <f t="shared" si="211"/>
        <v>0.17165619467972934</v>
      </c>
    </row>
    <row r="195" spans="1:29" hidden="1" x14ac:dyDescent="0.25">
      <c r="A195" t="str">
        <f>'rockfish harvests'!A194</f>
        <v>SC</v>
      </c>
      <c r="B195">
        <f>'rockfish harvests'!B194</f>
        <v>2015</v>
      </c>
      <c r="C195" t="str">
        <f>'rockfish harvests'!C194</f>
        <v>PWSI</v>
      </c>
      <c r="D195">
        <f>'rockfish harvests'!D194</f>
        <v>20073</v>
      </c>
      <c r="E195">
        <v>5220</v>
      </c>
      <c r="F195">
        <v>1742</v>
      </c>
      <c r="I195" s="13">
        <f t="shared" si="221"/>
        <v>1742</v>
      </c>
      <c r="J195">
        <f t="shared" si="214"/>
        <v>0</v>
      </c>
      <c r="K195">
        <f t="shared" si="215"/>
        <v>0</v>
      </c>
      <c r="L195" s="6">
        <f t="shared" si="216"/>
        <v>0</v>
      </c>
      <c r="N195" s="2">
        <f>'rockfish harvests'!O194</f>
        <v>52130.446754112942</v>
      </c>
      <c r="O195">
        <f>'rockfish harvests'!P194</f>
        <v>59819505.590102598</v>
      </c>
      <c r="P195">
        <v>0.42477820100000002</v>
      </c>
      <c r="Q195">
        <v>4.9662899999999995E-4</v>
      </c>
      <c r="T195" s="13">
        <f t="shared" si="187"/>
        <v>22143.877389538386</v>
      </c>
      <c r="U195" s="14">
        <f t="shared" si="159"/>
        <v>12113546.083721377</v>
      </c>
      <c r="V195">
        <f t="shared" si="217"/>
        <v>3480.4519941699205</v>
      </c>
      <c r="W195" s="6">
        <f t="shared" si="218"/>
        <v>6821.6859085730439</v>
      </c>
      <c r="Y195" s="13">
        <f t="shared" si="212"/>
        <v>23885.877389538386</v>
      </c>
      <c r="Z195">
        <f t="shared" si="213"/>
        <v>12113546.083721377</v>
      </c>
      <c r="AA195">
        <f t="shared" si="219"/>
        <v>3480.4519941699205</v>
      </c>
      <c r="AB195" s="6">
        <f t="shared" si="220"/>
        <v>6821.6859085730439</v>
      </c>
      <c r="AC195" s="14">
        <f t="shared" si="211"/>
        <v>0.14571170811143408</v>
      </c>
    </row>
    <row r="196" spans="1:29" hidden="1" x14ac:dyDescent="0.25">
      <c r="A196" t="str">
        <f>'rockfish harvests'!A195</f>
        <v>SC</v>
      </c>
      <c r="B196">
        <f>'rockfish harvests'!B195</f>
        <v>2016</v>
      </c>
      <c r="C196" t="str">
        <f>'rockfish harvests'!C195</f>
        <v>PWSI</v>
      </c>
      <c r="D196">
        <f>'rockfish harvests'!D195</f>
        <v>28893</v>
      </c>
      <c r="E196">
        <v>6695</v>
      </c>
      <c r="F196">
        <v>2486</v>
      </c>
      <c r="I196" s="13">
        <f t="shared" si="221"/>
        <v>2486</v>
      </c>
      <c r="J196">
        <f t="shared" si="214"/>
        <v>0</v>
      </c>
      <c r="K196">
        <f t="shared" si="215"/>
        <v>0</v>
      </c>
      <c r="L196" s="6">
        <f t="shared" si="216"/>
        <v>0</v>
      </c>
      <c r="N196" s="2">
        <f>'rockfish harvests'!O195</f>
        <v>64825.548631333717</v>
      </c>
      <c r="O196">
        <f>'rockfish harvests'!P195</f>
        <v>114245520.83381788</v>
      </c>
      <c r="P196">
        <v>0.14767520000000001</v>
      </c>
      <c r="Q196">
        <v>9.9894599999999991E-4</v>
      </c>
      <c r="T196" s="13">
        <f t="shared" si="187"/>
        <v>9573.1258592419326</v>
      </c>
      <c r="U196" s="14">
        <f t="shared" si="159"/>
        <v>6575259.655458767</v>
      </c>
      <c r="V196">
        <f t="shared" si="217"/>
        <v>2564.226911850581</v>
      </c>
      <c r="W196" s="6">
        <f t="shared" si="218"/>
        <v>5025.8847472271391</v>
      </c>
      <c r="Y196" s="13">
        <f t="shared" si="212"/>
        <v>12059.125859241933</v>
      </c>
      <c r="Z196">
        <f t="shared" si="213"/>
        <v>6575259.655458767</v>
      </c>
      <c r="AA196">
        <f t="shared" si="219"/>
        <v>2564.226911850581</v>
      </c>
      <c r="AB196" s="6">
        <f t="shared" si="220"/>
        <v>5025.8847472271391</v>
      </c>
      <c r="AC196" s="14">
        <f t="shared" si="211"/>
        <v>0.21263787622594518</v>
      </c>
    </row>
    <row r="197" spans="1:29" hidden="1" x14ac:dyDescent="0.25">
      <c r="A197" t="str">
        <f>'rockfish harvests'!A196</f>
        <v>SC</v>
      </c>
      <c r="B197">
        <f>'rockfish harvests'!B196</f>
        <v>2017</v>
      </c>
      <c r="C197" t="str">
        <f>'rockfish harvests'!C196</f>
        <v>PWSI</v>
      </c>
      <c r="D197">
        <f>'rockfish harvests'!D196</f>
        <v>16300</v>
      </c>
      <c r="E197">
        <v>4734</v>
      </c>
      <c r="F197">
        <v>1833</v>
      </c>
      <c r="I197" s="13">
        <f t="shared" si="221"/>
        <v>1833</v>
      </c>
      <c r="J197">
        <f t="shared" si="214"/>
        <v>0</v>
      </c>
      <c r="K197">
        <f t="shared" si="215"/>
        <v>0</v>
      </c>
      <c r="L197" s="6">
        <f t="shared" si="216"/>
        <v>0</v>
      </c>
      <c r="N197" s="2">
        <f>'rockfish harvests'!O196</f>
        <v>33515.774784613517</v>
      </c>
      <c r="O197">
        <f>'rockfish harvests'!P196</f>
        <v>29331655.3806163</v>
      </c>
      <c r="P197">
        <v>0.26616483800000001</v>
      </c>
      <c r="Q197">
        <v>1.75965E-3</v>
      </c>
      <c r="T197" s="13">
        <f t="shared" si="187"/>
        <v>8920.7207659911419</v>
      </c>
      <c r="U197" s="14">
        <f t="shared" si="159"/>
        <v>4002977.6055582976</v>
      </c>
      <c r="V197">
        <f t="shared" si="217"/>
        <v>2000.7442629077555</v>
      </c>
      <c r="W197" s="6">
        <f t="shared" si="218"/>
        <v>3921.4587552992007</v>
      </c>
      <c r="Y197" s="13">
        <f t="shared" si="212"/>
        <v>10753.720765991142</v>
      </c>
      <c r="Z197">
        <f t="shared" si="213"/>
        <v>4002977.6055582976</v>
      </c>
      <c r="AA197">
        <f t="shared" si="219"/>
        <v>2000.7442629077555</v>
      </c>
      <c r="AB197" s="6">
        <f t="shared" si="220"/>
        <v>3921.4587552992007</v>
      </c>
      <c r="AC197" s="14">
        <f t="shared" si="211"/>
        <v>0.1860513497091304</v>
      </c>
    </row>
    <row r="198" spans="1:29" hidden="1" x14ac:dyDescent="0.25">
      <c r="A198" t="str">
        <f>'rockfish harvests'!A197</f>
        <v>SC</v>
      </c>
      <c r="B198">
        <f>'rockfish harvests'!B197</f>
        <v>2018</v>
      </c>
      <c r="C198" t="str">
        <f>'rockfish harvests'!C197</f>
        <v>PWSI</v>
      </c>
      <c r="D198">
        <f>'rockfish harvests'!D197</f>
        <v>12107</v>
      </c>
      <c r="E198">
        <v>3366</v>
      </c>
      <c r="F198">
        <v>1314</v>
      </c>
      <c r="I198" s="13">
        <f t="shared" si="221"/>
        <v>1314</v>
      </c>
      <c r="J198">
        <f t="shared" si="214"/>
        <v>0</v>
      </c>
      <c r="K198">
        <f t="shared" si="215"/>
        <v>0</v>
      </c>
      <c r="L198" s="6">
        <f t="shared" si="216"/>
        <v>0</v>
      </c>
      <c r="N198" s="2">
        <f>'rockfish harvests'!O197</f>
        <v>22239.009039310491</v>
      </c>
      <c r="O198">
        <f>'rockfish harvests'!P197</f>
        <v>18423976.825865198</v>
      </c>
      <c r="P198">
        <v>0.175655169</v>
      </c>
      <c r="Q198">
        <v>5.9588700000000002E-4</v>
      </c>
      <c r="T198" s="13">
        <f t="shared" si="187"/>
        <v>3906.3968911926117</v>
      </c>
      <c r="U198" s="14">
        <f t="shared" si="159"/>
        <v>852198.30983492767</v>
      </c>
      <c r="V198">
        <f t="shared" si="217"/>
        <v>923.14587679029773</v>
      </c>
      <c r="W198" s="6">
        <f t="shared" si="218"/>
        <v>1809.3659185089834</v>
      </c>
      <c r="Y198" s="13">
        <f t="shared" si="212"/>
        <v>5220.3968911926113</v>
      </c>
      <c r="Z198">
        <f t="shared" si="213"/>
        <v>852198.30983492767</v>
      </c>
      <c r="AA198">
        <f t="shared" si="219"/>
        <v>923.14587679029773</v>
      </c>
      <c r="AB198" s="6">
        <f t="shared" si="220"/>
        <v>1809.3659185089834</v>
      </c>
      <c r="AC198" s="14">
        <f t="shared" si="211"/>
        <v>0.17683442390132201</v>
      </c>
    </row>
    <row r="199" spans="1:29" hidden="1" x14ac:dyDescent="0.25">
      <c r="A199" t="str">
        <f>'rockfish harvests'!A198</f>
        <v>SC</v>
      </c>
      <c r="B199">
        <f>'rockfish harvests'!B198</f>
        <v>2019</v>
      </c>
      <c r="C199" t="str">
        <f>'rockfish harvests'!C198</f>
        <v>PWSI</v>
      </c>
      <c r="D199">
        <f>'rockfish harvests'!D198</f>
        <v>15083</v>
      </c>
      <c r="E199">
        <v>3663</v>
      </c>
      <c r="F199">
        <v>1633</v>
      </c>
      <c r="I199" s="13">
        <f>F199</f>
        <v>1633</v>
      </c>
      <c r="J199">
        <f>(E199^2)*H199</f>
        <v>0</v>
      </c>
      <c r="K199">
        <f>SQRT(J199)</f>
        <v>0</v>
      </c>
      <c r="L199" s="6">
        <f>(1.96*K199)</f>
        <v>0</v>
      </c>
      <c r="N199" s="2">
        <f>'rockfish harvests'!O198</f>
        <v>32001.722103820983</v>
      </c>
      <c r="O199">
        <f>'rockfish harvests'!P198</f>
        <v>26016565.548853625</v>
      </c>
      <c r="P199">
        <v>0.32677969299999998</v>
      </c>
      <c r="Q199">
        <v>6.9618600000000001E-4</v>
      </c>
      <c r="T199" s="13">
        <f>N199*P199</f>
        <v>10457.512924557934</v>
      </c>
      <c r="U199" s="14">
        <f>(N199^2)*Q199+(P199^2)*O199-(Q199*O199)</f>
        <v>3473036.9405407137</v>
      </c>
      <c r="V199">
        <f>SQRT(U199)</f>
        <v>1863.6085802927378</v>
      </c>
      <c r="W199" s="6">
        <f>(1.96*V199)</f>
        <v>3652.6728173737661</v>
      </c>
      <c r="Y199" s="13">
        <f>T199+I199</f>
        <v>12090.512924557934</v>
      </c>
      <c r="Z199">
        <f>U199+J199</f>
        <v>3473036.9405407137</v>
      </c>
      <c r="AA199">
        <f>SQRT(Z199)</f>
        <v>1863.6085802927378</v>
      </c>
      <c r="AB199" s="6">
        <f>(1.96*AA199)</f>
        <v>3652.6728173737661</v>
      </c>
      <c r="AC199" s="14">
        <f t="shared" si="211"/>
        <v>0.15413809090823805</v>
      </c>
    </row>
    <row r="200" spans="1:29" hidden="1" x14ac:dyDescent="0.25">
      <c r="A200" t="str">
        <f>'rockfish harvests'!A199</f>
        <v>SC</v>
      </c>
      <c r="B200">
        <f>'rockfish harvests'!B199</f>
        <v>2020</v>
      </c>
      <c r="C200" t="str">
        <f>'rockfish harvests'!C199</f>
        <v>PWSI</v>
      </c>
      <c r="D200">
        <f>'rockfish harvests'!D199</f>
        <v>9001</v>
      </c>
      <c r="E200">
        <v>2287</v>
      </c>
      <c r="F200">
        <v>925</v>
      </c>
      <c r="I200" s="13">
        <f t="shared" ref="I200:I202" si="222">F200</f>
        <v>925</v>
      </c>
      <c r="J200">
        <f t="shared" ref="J200:J202" si="223">(E200^2)*H200</f>
        <v>0</v>
      </c>
      <c r="K200">
        <f t="shared" ref="K200:K202" si="224">SQRT(J200)</f>
        <v>0</v>
      </c>
      <c r="L200" s="6">
        <f t="shared" ref="L200:L202" si="225">(1.96*K200)</f>
        <v>0</v>
      </c>
      <c r="N200" s="2">
        <f>'rockfish harvests'!O199</f>
        <v>18605.884326200114</v>
      </c>
      <c r="O200">
        <f>'rockfish harvests'!P199</f>
        <v>9865637.9851696268</v>
      </c>
      <c r="P200">
        <v>0.26722008416806881</v>
      </c>
      <c r="Q200">
        <v>7.4737981215755361E-4</v>
      </c>
      <c r="T200" s="13">
        <f t="shared" ref="T200:T201" si="226">N200*P200</f>
        <v>4971.8659756685465</v>
      </c>
      <c r="U200" s="14">
        <f t="shared" ref="U200:U201" si="227">(N200^2)*Q200+(P200^2)*O200-(Q200*O200)</f>
        <v>955825.16893405246</v>
      </c>
      <c r="V200">
        <f t="shared" ref="V200:V201" si="228">SQRT(U200)</f>
        <v>977.66311627986272</v>
      </c>
      <c r="W200" s="6">
        <f t="shared" ref="W200:W201" si="229">(1.96*V200)</f>
        <v>1916.2197079085308</v>
      </c>
      <c r="Y200" s="13">
        <f t="shared" ref="Y200:Y201" si="230">T200+I200</f>
        <v>5896.8659756685465</v>
      </c>
      <c r="Z200">
        <f t="shared" ref="Z200:Z201" si="231">U200+J200</f>
        <v>955825.16893405246</v>
      </c>
      <c r="AA200">
        <f t="shared" ref="AA200:AA201" si="232">SQRT(Z200)</f>
        <v>977.66311627986272</v>
      </c>
      <c r="AB200" s="6">
        <f t="shared" ref="AB200:AB201" si="233">(1.96*AA200)</f>
        <v>1916.2197079085308</v>
      </c>
      <c r="AC200" s="14">
        <f t="shared" ref="AC200:AC201" si="234">AA200/Y200</f>
        <v>0.16579368096779951</v>
      </c>
    </row>
    <row r="201" spans="1:29" hidden="1" x14ac:dyDescent="0.25">
      <c r="A201" t="str">
        <f>'rockfish harvests'!A200</f>
        <v>SC</v>
      </c>
      <c r="B201">
        <f>'rockfish harvests'!B200</f>
        <v>2021</v>
      </c>
      <c r="C201" t="str">
        <f>'rockfish harvests'!C200</f>
        <v>PWSI</v>
      </c>
      <c r="D201">
        <f>'rockfish harvests'!D200</f>
        <v>16848</v>
      </c>
      <c r="E201">
        <v>3647</v>
      </c>
      <c r="F201">
        <v>1380</v>
      </c>
      <c r="I201" s="13">
        <f t="shared" si="222"/>
        <v>1380</v>
      </c>
      <c r="J201">
        <f t="shared" si="223"/>
        <v>0</v>
      </c>
      <c r="K201">
        <f t="shared" si="224"/>
        <v>0</v>
      </c>
      <c r="L201" s="6">
        <f t="shared" si="225"/>
        <v>0</v>
      </c>
      <c r="N201" s="2">
        <f>'rockfish harvests'!O200</f>
        <v>26712.114727976325</v>
      </c>
      <c r="O201">
        <f>'rockfish harvests'!P200</f>
        <v>21799295.268585149</v>
      </c>
      <c r="P201">
        <v>0.25673143036175855</v>
      </c>
      <c r="Q201">
        <v>7.7255223897232427E-4</v>
      </c>
      <c r="T201" s="13">
        <f t="shared" si="226"/>
        <v>6857.8394221007584</v>
      </c>
      <c r="U201" s="14">
        <f t="shared" si="227"/>
        <v>1971217.5154984083</v>
      </c>
      <c r="V201">
        <f t="shared" si="228"/>
        <v>1404.0005397073066</v>
      </c>
      <c r="W201" s="6">
        <f t="shared" si="229"/>
        <v>2751.841057826321</v>
      </c>
      <c r="Y201" s="13">
        <f t="shared" si="230"/>
        <v>8237.8394221007584</v>
      </c>
      <c r="Z201">
        <f t="shared" si="231"/>
        <v>1971217.5154984083</v>
      </c>
      <c r="AA201">
        <f t="shared" si="232"/>
        <v>1404.0005397073066</v>
      </c>
      <c r="AB201" s="6">
        <f t="shared" si="233"/>
        <v>2751.841057826321</v>
      </c>
      <c r="AC201" s="14">
        <f t="shared" si="234"/>
        <v>0.17043310360488526</v>
      </c>
    </row>
    <row r="202" spans="1:29" s="51" customFormat="1" hidden="1" x14ac:dyDescent="0.25">
      <c r="A202" s="51" t="s">
        <v>81</v>
      </c>
      <c r="B202" s="51">
        <v>2022</v>
      </c>
      <c r="C202" s="51" t="s">
        <v>51</v>
      </c>
      <c r="D202" s="43">
        <v>21685</v>
      </c>
      <c r="E202" s="51">
        <v>3746</v>
      </c>
      <c r="F202" s="51">
        <v>1380</v>
      </c>
      <c r="I202" s="71">
        <f t="shared" si="222"/>
        <v>1380</v>
      </c>
      <c r="J202" s="51">
        <f t="shared" si="223"/>
        <v>0</v>
      </c>
      <c r="K202" s="51">
        <f t="shared" si="224"/>
        <v>0</v>
      </c>
      <c r="L202" s="78">
        <f t="shared" si="225"/>
        <v>0</v>
      </c>
      <c r="N202" s="2">
        <f>'rockfish harvests'!O201</f>
        <v>25116.853981705674</v>
      </c>
      <c r="O202">
        <f>'rockfish harvests'!P201</f>
        <v>15249701.106684575</v>
      </c>
      <c r="P202" s="91">
        <v>0.48237390227023919</v>
      </c>
      <c r="Q202" s="91">
        <v>6.6230589039475052E-4</v>
      </c>
      <c r="T202" s="13">
        <f t="shared" ref="T202" si="235">N202*P202</f>
        <v>12115.71486790716</v>
      </c>
      <c r="U202" s="14">
        <f t="shared" ref="U202" si="236">(N202^2)*Q202+(P202^2)*O202-(Q202*O202)</f>
        <v>3956090.2337396797</v>
      </c>
      <c r="V202">
        <f t="shared" ref="V202" si="237">SQRT(U202)</f>
        <v>1988.9922658823186</v>
      </c>
      <c r="W202" s="6">
        <f t="shared" ref="W202" si="238">(1.96*V202)</f>
        <v>3898.4248411293443</v>
      </c>
      <c r="X202"/>
      <c r="Y202" s="13">
        <f t="shared" ref="Y202" si="239">T202+I202</f>
        <v>13495.71486790716</v>
      </c>
      <c r="Z202">
        <f t="shared" ref="Z202" si="240">U202+J202</f>
        <v>3956090.2337396797</v>
      </c>
      <c r="AA202">
        <f t="shared" ref="AA202" si="241">SQRT(Z202)</f>
        <v>1988.9922658823186</v>
      </c>
      <c r="AB202" s="6">
        <f t="shared" ref="AB202" si="242">(1.96*AA202)</f>
        <v>3898.4248411293443</v>
      </c>
      <c r="AC202" s="14">
        <f t="shared" ref="AC202" si="243">AA202/Y202</f>
        <v>0.14737954123587382</v>
      </c>
    </row>
    <row r="203" spans="1:29" hidden="1" x14ac:dyDescent="0.25">
      <c r="A203" t="str">
        <f>'rockfish harvests'!A202</f>
        <v>SC</v>
      </c>
      <c r="B203">
        <f>'rockfish harvests'!B202</f>
        <v>1998</v>
      </c>
      <c r="C203" t="str">
        <f>'rockfish harvests'!C202</f>
        <v>PWSO</v>
      </c>
      <c r="D203">
        <f>'rockfish harvests'!D202</f>
        <v>7091</v>
      </c>
      <c r="E203">
        <v>1652</v>
      </c>
      <c r="F203" t="s">
        <v>159</v>
      </c>
      <c r="G203">
        <v>0.782436986</v>
      </c>
      <c r="H203">
        <v>1.54754E-3</v>
      </c>
      <c r="I203" s="13">
        <f t="shared" ref="I203:I210" si="244">E203*G203</f>
        <v>1292.5859008719999</v>
      </c>
      <c r="J203">
        <f t="shared" si="214"/>
        <v>4223.3976041599999</v>
      </c>
      <c r="K203">
        <f t="shared" si="215"/>
        <v>64.987672709214635</v>
      </c>
      <c r="L203" s="6">
        <f t="shared" si="216"/>
        <v>127.37583851006069</v>
      </c>
      <c r="N203" s="2">
        <f>'rockfish harvests'!O202</f>
        <v>1471.2039985303945</v>
      </c>
      <c r="O203">
        <f>'rockfish harvests'!P202</f>
        <v>494154.9077878145</v>
      </c>
      <c r="P203" s="32">
        <v>0.15778043999999999</v>
      </c>
      <c r="Q203" s="32">
        <v>6.0110550000000004E-3</v>
      </c>
      <c r="T203" s="13">
        <f t="shared" si="187"/>
        <v>232.12721421788498</v>
      </c>
      <c r="U203" s="14">
        <f t="shared" si="159"/>
        <v>22342.004797691734</v>
      </c>
      <c r="V203">
        <f t="shared" si="217"/>
        <v>149.47242152882831</v>
      </c>
      <c r="W203" s="6">
        <f t="shared" si="218"/>
        <v>292.96594619650347</v>
      </c>
      <c r="Y203" s="13">
        <f t="shared" si="212"/>
        <v>1524.7131150898849</v>
      </c>
      <c r="Z203">
        <f t="shared" si="213"/>
        <v>26565.402401851734</v>
      </c>
      <c r="AA203">
        <f t="shared" si="219"/>
        <v>162.98896404926234</v>
      </c>
      <c r="AB203" s="6">
        <f t="shared" si="220"/>
        <v>319.45836953655419</v>
      </c>
      <c r="AC203" s="14">
        <f>AA203/Y203</f>
        <v>0.10689811902067479</v>
      </c>
    </row>
    <row r="204" spans="1:29" hidden="1" x14ac:dyDescent="0.25">
      <c r="A204" t="str">
        <f>'rockfish harvests'!A203</f>
        <v>SC</v>
      </c>
      <c r="B204">
        <f>'rockfish harvests'!B203</f>
        <v>1999</v>
      </c>
      <c r="C204" t="str">
        <f>'rockfish harvests'!C203</f>
        <v>PWSO</v>
      </c>
      <c r="D204">
        <f>'rockfish harvests'!D203</f>
        <v>4594</v>
      </c>
      <c r="E204">
        <v>1341</v>
      </c>
      <c r="F204" t="s">
        <v>159</v>
      </c>
      <c r="G204">
        <v>0.91128804699999999</v>
      </c>
      <c r="H204">
        <v>4.61955E-4</v>
      </c>
      <c r="I204" s="13">
        <f t="shared" si="244"/>
        <v>1222.0372710270001</v>
      </c>
      <c r="J204">
        <f t="shared" si="214"/>
        <v>830.72489935500005</v>
      </c>
      <c r="K204">
        <f t="shared" si="215"/>
        <v>28.82229864800863</v>
      </c>
      <c r="L204" s="6">
        <f t="shared" si="216"/>
        <v>56.491705350096915</v>
      </c>
      <c r="N204" s="2">
        <f>'rockfish harvests'!O203</f>
        <v>953.13935541512274</v>
      </c>
      <c r="O204">
        <f>'rockfish harvests'!P203</f>
        <v>207410.20653889881</v>
      </c>
      <c r="P204" s="32">
        <v>0.15778043999999999</v>
      </c>
      <c r="Q204" s="32">
        <v>6.0110550000000004E-3</v>
      </c>
      <c r="T204" s="13">
        <f t="shared" ref="T204:T223" si="245">N204*P204</f>
        <v>150.38674687871443</v>
      </c>
      <c r="U204" s="14">
        <f t="shared" si="159"/>
        <v>9377.5448883573408</v>
      </c>
      <c r="V204">
        <f t="shared" si="217"/>
        <v>96.837724510426938</v>
      </c>
      <c r="W204" s="6">
        <f t="shared" si="218"/>
        <v>189.80194004043679</v>
      </c>
      <c r="Y204" s="13">
        <f t="shared" si="212"/>
        <v>1372.4240179057144</v>
      </c>
      <c r="Z204">
        <f t="shared" si="213"/>
        <v>10208.269787712341</v>
      </c>
      <c r="AA204">
        <f t="shared" si="219"/>
        <v>101.03598263842611</v>
      </c>
      <c r="AB204" s="6">
        <f t="shared" si="220"/>
        <v>198.03052597131517</v>
      </c>
      <c r="AC204" s="14">
        <f t="shared" si="211"/>
        <v>7.3618634853537868E-2</v>
      </c>
    </row>
    <row r="205" spans="1:29" hidden="1" x14ac:dyDescent="0.25">
      <c r="A205" t="str">
        <f>'rockfish harvests'!A204</f>
        <v>SC</v>
      </c>
      <c r="B205">
        <f>'rockfish harvests'!B204</f>
        <v>2000</v>
      </c>
      <c r="C205" t="str">
        <f>'rockfish harvests'!C204</f>
        <v>PWSO</v>
      </c>
      <c r="D205">
        <f>'rockfish harvests'!D204</f>
        <v>9244</v>
      </c>
      <c r="E205">
        <v>2206</v>
      </c>
      <c r="F205" t="s">
        <v>159</v>
      </c>
      <c r="G205">
        <v>0.87511098499999995</v>
      </c>
      <c r="H205">
        <v>3.7686799999999998E-4</v>
      </c>
      <c r="I205" s="13">
        <f t="shared" si="244"/>
        <v>1930.4948329099998</v>
      </c>
      <c r="J205">
        <f t="shared" si="214"/>
        <v>1834.0040024479999</v>
      </c>
      <c r="K205">
        <f t="shared" si="215"/>
        <v>42.825272940729754</v>
      </c>
      <c r="L205" s="6">
        <f t="shared" si="216"/>
        <v>83.937534963830316</v>
      </c>
      <c r="N205" s="2">
        <f>'rockfish harvests'!O204</f>
        <v>1917.897301144405</v>
      </c>
      <c r="O205">
        <f>'rockfish harvests'!P204</f>
        <v>839784.81191828009</v>
      </c>
      <c r="P205" s="32">
        <v>0.15778043999999999</v>
      </c>
      <c r="Q205" s="32">
        <v>6.0110550000000004E-3</v>
      </c>
      <c r="T205" s="13">
        <f t="shared" si="245"/>
        <v>302.60668004937673</v>
      </c>
      <c r="U205" s="14">
        <f t="shared" ref="U205:U280" si="246">(N205^2)*Q205+(P205^2)*O205-(Q205*O205)</f>
        <v>37968.815044053576</v>
      </c>
      <c r="V205">
        <f t="shared" si="217"/>
        <v>194.85588275454651</v>
      </c>
      <c r="W205" s="6">
        <f t="shared" si="218"/>
        <v>381.91753019891115</v>
      </c>
      <c r="Y205" s="13">
        <f t="shared" si="212"/>
        <v>2233.1015129593766</v>
      </c>
      <c r="Z205">
        <f t="shared" si="213"/>
        <v>39802.819046501572</v>
      </c>
      <c r="AA205">
        <f t="shared" si="219"/>
        <v>199.50643860913755</v>
      </c>
      <c r="AB205" s="6">
        <f t="shared" si="220"/>
        <v>391.03261967390961</v>
      </c>
      <c r="AC205" s="14">
        <f t="shared" si="211"/>
        <v>8.9340514728658851E-2</v>
      </c>
    </row>
    <row r="206" spans="1:29" hidden="1" x14ac:dyDescent="0.25">
      <c r="A206" t="str">
        <f>'rockfish harvests'!A205</f>
        <v>SC</v>
      </c>
      <c r="B206">
        <f>'rockfish harvests'!B205</f>
        <v>2001</v>
      </c>
      <c r="C206" t="str">
        <f>'rockfish harvests'!C205</f>
        <v>PWSO</v>
      </c>
      <c r="D206">
        <f>'rockfish harvests'!D205</f>
        <v>11235</v>
      </c>
      <c r="E206">
        <v>3024</v>
      </c>
      <c r="F206" t="s">
        <v>159</v>
      </c>
      <c r="G206">
        <v>0.81360226899999999</v>
      </c>
      <c r="H206">
        <v>5.5146800000000005E-4</v>
      </c>
      <c r="I206" s="13">
        <f t="shared" si="244"/>
        <v>2460.3332614559999</v>
      </c>
      <c r="J206">
        <f t="shared" si="214"/>
        <v>5042.9410375680009</v>
      </c>
      <c r="K206">
        <f t="shared" si="215"/>
        <v>71.013667963061877</v>
      </c>
      <c r="L206" s="6">
        <f t="shared" si="216"/>
        <v>139.18678920760127</v>
      </c>
      <c r="N206" s="2">
        <f>'rockfish harvests'!O205</f>
        <v>2330.979681778168</v>
      </c>
      <c r="O206">
        <f>'rockfish harvests'!P205</f>
        <v>1240492.9366742759</v>
      </c>
      <c r="P206">
        <f>IF([1]species_comp_Region2_forR!$D361&gt;49,[1]species_comp_Region2_forR!$J361,[1]species_comp_Region2_forR!$L361)</f>
        <v>0.348890796</v>
      </c>
      <c r="Q206">
        <f>IF([1]species_comp_Region2_forR!$D361&gt;49,[1]species_comp_Region2_forR!$K361,[1]species_comp_Region2_forR!$M361)</f>
        <v>4.454235E-3</v>
      </c>
      <c r="T206" s="13">
        <f t="shared" si="245"/>
        <v>813.25735663541172</v>
      </c>
      <c r="U206" s="14">
        <f t="shared" si="246"/>
        <v>169675.22775943458</v>
      </c>
      <c r="V206">
        <f t="shared" si="217"/>
        <v>411.91653008763143</v>
      </c>
      <c r="W206" s="6">
        <f t="shared" si="218"/>
        <v>807.35639897175759</v>
      </c>
      <c r="Y206" s="13">
        <f t="shared" si="212"/>
        <v>3273.5906180914117</v>
      </c>
      <c r="Z206">
        <f t="shared" si="213"/>
        <v>174718.16879700258</v>
      </c>
      <c r="AA206">
        <f t="shared" si="219"/>
        <v>417.99302481859979</v>
      </c>
      <c r="AB206" s="6">
        <f t="shared" si="220"/>
        <v>819.2663286444556</v>
      </c>
      <c r="AC206" s="14">
        <f t="shared" si="211"/>
        <v>0.12768640724609009</v>
      </c>
    </row>
    <row r="207" spans="1:29" hidden="1" x14ac:dyDescent="0.25">
      <c r="A207" t="str">
        <f>'rockfish harvests'!A206</f>
        <v>SC</v>
      </c>
      <c r="B207">
        <f>'rockfish harvests'!B206</f>
        <v>2002</v>
      </c>
      <c r="C207" t="str">
        <f>'rockfish harvests'!C206</f>
        <v>PWSO</v>
      </c>
      <c r="D207">
        <f>'rockfish harvests'!D206</f>
        <v>9018</v>
      </c>
      <c r="E207">
        <v>2386</v>
      </c>
      <c r="F207" t="s">
        <v>159</v>
      </c>
      <c r="G207">
        <v>0.88427394800000003</v>
      </c>
      <c r="H207">
        <v>3.61603E-4</v>
      </c>
      <c r="I207" s="13">
        <f t="shared" si="244"/>
        <v>2109.877639928</v>
      </c>
      <c r="J207">
        <f t="shared" si="214"/>
        <v>2058.6044325879998</v>
      </c>
      <c r="K207">
        <f t="shared" si="215"/>
        <v>45.371846255007078</v>
      </c>
      <c r="L207" s="6">
        <f t="shared" si="216"/>
        <v>88.928818659813871</v>
      </c>
      <c r="N207" s="2">
        <f>'rockfish harvests'!O206</f>
        <v>1871.0079902336911</v>
      </c>
      <c r="O207">
        <f>'rockfish harvests'!P206</f>
        <v>799224.16063675296</v>
      </c>
      <c r="P207" s="32">
        <v>0.15778043999999999</v>
      </c>
      <c r="Q207" s="32">
        <v>6.0110550000000004E-3</v>
      </c>
      <c r="T207" s="13">
        <f t="shared" si="245"/>
        <v>295.20846394258746</v>
      </c>
      <c r="U207" s="14">
        <f t="shared" si="246"/>
        <v>36134.96446147775</v>
      </c>
      <c r="V207">
        <f t="shared" si="217"/>
        <v>190.09198947214412</v>
      </c>
      <c r="W207" s="6">
        <f t="shared" si="218"/>
        <v>372.58029936540248</v>
      </c>
      <c r="Y207" s="13">
        <f t="shared" si="212"/>
        <v>2405.0861038705875</v>
      </c>
      <c r="Z207">
        <f t="shared" si="213"/>
        <v>38193.568894065749</v>
      </c>
      <c r="AA207">
        <f t="shared" si="219"/>
        <v>195.43174996419017</v>
      </c>
      <c r="AB207" s="6">
        <f t="shared" si="220"/>
        <v>383.04622992981274</v>
      </c>
      <c r="AC207" s="14">
        <f t="shared" si="211"/>
        <v>8.1257693705716047E-2</v>
      </c>
    </row>
    <row r="208" spans="1:29" hidden="1" x14ac:dyDescent="0.25">
      <c r="A208" t="str">
        <f>'rockfish harvests'!A207</f>
        <v>SC</v>
      </c>
      <c r="B208">
        <f>'rockfish harvests'!B207</f>
        <v>2003</v>
      </c>
      <c r="C208" t="str">
        <f>'rockfish harvests'!C207</f>
        <v>PWSO</v>
      </c>
      <c r="D208">
        <f>'rockfish harvests'!D207</f>
        <v>9696</v>
      </c>
      <c r="E208">
        <v>2448</v>
      </c>
      <c r="F208" t="s">
        <v>159</v>
      </c>
      <c r="G208">
        <v>0.84754753500000002</v>
      </c>
      <c r="H208">
        <v>4.5021200000000002E-4</v>
      </c>
      <c r="I208" s="13">
        <f t="shared" si="244"/>
        <v>2074.7963656800002</v>
      </c>
      <c r="J208">
        <f t="shared" si="214"/>
        <v>2697.9872532479999</v>
      </c>
      <c r="K208">
        <f t="shared" si="215"/>
        <v>51.942152951605692</v>
      </c>
      <c r="L208" s="6">
        <f t="shared" si="216"/>
        <v>101.80661978514715</v>
      </c>
      <c r="N208" s="2">
        <f>'rockfish harvests'!O207</f>
        <v>2011.675922965831</v>
      </c>
      <c r="O208">
        <f>'rockfish harvests'!P207</f>
        <v>923917.84611739591</v>
      </c>
      <c r="P208">
        <f>IF([1]species_comp_Region2_forR!$D363&gt;49,[1]species_comp_Region2_forR!$J363,[1]species_comp_Region2_forR!$L363)</f>
        <v>7.0760806999999995E-2</v>
      </c>
      <c r="Q208">
        <f>IF([1]species_comp_Region2_forR!$D363&gt;49,[1]species_comp_Region2_forR!$K363,[1]species_comp_Region2_forR!$M363)</f>
        <v>1.0958949999999999E-3</v>
      </c>
      <c r="T208" s="13">
        <f t="shared" si="245"/>
        <v>142.34781173153203</v>
      </c>
      <c r="U208" s="14">
        <f t="shared" si="246"/>
        <v>8048.5362726000749</v>
      </c>
      <c r="V208">
        <f t="shared" si="217"/>
        <v>89.713634819909487</v>
      </c>
      <c r="W208" s="6">
        <f t="shared" si="218"/>
        <v>175.83872424702258</v>
      </c>
      <c r="Y208" s="13">
        <f t="shared" si="212"/>
        <v>2217.1441774115324</v>
      </c>
      <c r="Z208">
        <f t="shared" si="213"/>
        <v>10746.523525848075</v>
      </c>
      <c r="AA208">
        <f t="shared" si="219"/>
        <v>103.66544036393265</v>
      </c>
      <c r="AB208" s="6">
        <f t="shared" si="220"/>
        <v>203.18426311330799</v>
      </c>
      <c r="AC208" s="14">
        <f t="shared" si="211"/>
        <v>4.6756291909243262E-2</v>
      </c>
    </row>
    <row r="209" spans="1:29" hidden="1" x14ac:dyDescent="0.25">
      <c r="A209" t="str">
        <f>'rockfish harvests'!A208</f>
        <v>SC</v>
      </c>
      <c r="B209">
        <f>'rockfish harvests'!B208</f>
        <v>2004</v>
      </c>
      <c r="C209" t="str">
        <f>'rockfish harvests'!C208</f>
        <v>PWSO</v>
      </c>
      <c r="D209">
        <f>'rockfish harvests'!D208</f>
        <v>12216</v>
      </c>
      <c r="E209">
        <v>2976</v>
      </c>
      <c r="F209" t="s">
        <v>159</v>
      </c>
      <c r="G209">
        <v>0.87092449199999999</v>
      </c>
      <c r="H209">
        <v>3.6617300000000002E-4</v>
      </c>
      <c r="I209" s="13">
        <f t="shared" si="244"/>
        <v>2591.8712881920001</v>
      </c>
      <c r="J209">
        <f t="shared" si="214"/>
        <v>3243.0390036480003</v>
      </c>
      <c r="K209">
        <f t="shared" si="215"/>
        <v>56.947686552203329</v>
      </c>
      <c r="L209" s="6">
        <f t="shared" si="216"/>
        <v>111.61746564231852</v>
      </c>
      <c r="N209" s="2">
        <f>'rockfish harvests'!O208</f>
        <v>2534.5124871029911</v>
      </c>
      <c r="O209">
        <f>'rockfish harvests'!P208</f>
        <v>1466581.4594766509</v>
      </c>
      <c r="P209">
        <f>IF([1]species_comp_Region2_forR!$D364&gt;49,[1]species_comp_Region2_forR!$J364,[1]species_comp_Region2_forR!$L364)</f>
        <v>7.6303002999999994E-2</v>
      </c>
      <c r="Q209">
        <f>IF([1]species_comp_Region2_forR!$D364&gt;49,[1]species_comp_Region2_forR!$K364,[1]species_comp_Region2_forR!$M364)</f>
        <v>1.305201E-3</v>
      </c>
      <c r="T209" s="13">
        <f t="shared" si="245"/>
        <v>193.39091390695697</v>
      </c>
      <c r="U209" s="14">
        <f t="shared" si="246"/>
        <v>15008.760668613719</v>
      </c>
      <c r="V209">
        <f t="shared" si="217"/>
        <v>122.51024719840262</v>
      </c>
      <c r="W209" s="6">
        <f t="shared" si="218"/>
        <v>240.12008450886913</v>
      </c>
      <c r="Y209" s="13">
        <f t="shared" si="212"/>
        <v>2785.262202098957</v>
      </c>
      <c r="Z209">
        <f t="shared" si="213"/>
        <v>18251.799672261717</v>
      </c>
      <c r="AA209">
        <f t="shared" si="219"/>
        <v>135.09922158273793</v>
      </c>
      <c r="AB209" s="6">
        <f t="shared" si="220"/>
        <v>264.79447430216635</v>
      </c>
      <c r="AC209" s="14">
        <f t="shared" si="211"/>
        <v>4.8505028173264249E-2</v>
      </c>
    </row>
    <row r="210" spans="1:29" hidden="1" x14ac:dyDescent="0.25">
      <c r="A210" t="str">
        <f>'rockfish harvests'!A209</f>
        <v>SC</v>
      </c>
      <c r="B210">
        <f>'rockfish harvests'!B209</f>
        <v>2005</v>
      </c>
      <c r="C210" t="str">
        <f>'rockfish harvests'!C209</f>
        <v>PWSO</v>
      </c>
      <c r="D210">
        <f>'rockfish harvests'!D209</f>
        <v>9664</v>
      </c>
      <c r="E210">
        <v>2177</v>
      </c>
      <c r="F210" t="s">
        <v>159</v>
      </c>
      <c r="G210">
        <v>0.71818884400000005</v>
      </c>
      <c r="H210">
        <v>1.9649870000000001E-3</v>
      </c>
      <c r="I210" s="13">
        <f t="shared" si="244"/>
        <v>1563.4971133880001</v>
      </c>
      <c r="J210">
        <f t="shared" si="214"/>
        <v>9312.719873723001</v>
      </c>
      <c r="K210">
        <f t="shared" si="215"/>
        <v>96.502434548165681</v>
      </c>
      <c r="L210" s="6">
        <f t="shared" si="216"/>
        <v>189.14477171440473</v>
      </c>
      <c r="N210" s="2">
        <f>'rockfish harvests'!O209</f>
        <v>2005.0367285005977</v>
      </c>
      <c r="O210">
        <f>'rockfish harvests'!P209</f>
        <v>917829.44196419709</v>
      </c>
      <c r="P210">
        <f>IF([1]species_comp_Region2_forR!$D365&gt;49,[1]species_comp_Region2_forR!$J365,[1]species_comp_Region2_forR!$L365)</f>
        <v>7.7582278000000005E-2</v>
      </c>
      <c r="Q210">
        <f>IF([1]species_comp_Region2_forR!$D365&gt;49,[1]species_comp_Region2_forR!$K365,[1]species_comp_Region2_forR!$M365)</f>
        <v>1.233849E-3</v>
      </c>
      <c r="T210" s="13">
        <f t="shared" si="245"/>
        <v>155.55531687074389</v>
      </c>
      <c r="U210" s="14">
        <f t="shared" si="246"/>
        <v>9352.2470722977923</v>
      </c>
      <c r="V210">
        <f t="shared" si="217"/>
        <v>96.707016665275077</v>
      </c>
      <c r="W210" s="6">
        <f t="shared" si="218"/>
        <v>189.54575266393914</v>
      </c>
      <c r="Y210" s="13">
        <f t="shared" si="212"/>
        <v>1719.0524302587439</v>
      </c>
      <c r="Z210">
        <f t="shared" si="213"/>
        <v>18664.966946020795</v>
      </c>
      <c r="AA210">
        <f t="shared" si="219"/>
        <v>136.61978973055403</v>
      </c>
      <c r="AB210" s="6">
        <f t="shared" si="220"/>
        <v>267.77478787188591</v>
      </c>
      <c r="AC210" s="14">
        <f t="shared" si="211"/>
        <v>7.9473893480951394E-2</v>
      </c>
    </row>
    <row r="211" spans="1:29" hidden="1" x14ac:dyDescent="0.25">
      <c r="A211" t="str">
        <f>'rockfish harvests'!A210</f>
        <v>SC</v>
      </c>
      <c r="B211">
        <f>'rockfish harvests'!B210</f>
        <v>2006</v>
      </c>
      <c r="C211" t="str">
        <f>'rockfish harvests'!C210</f>
        <v>PWSO</v>
      </c>
      <c r="D211">
        <f>'rockfish harvests'!D210</f>
        <v>9129</v>
      </c>
      <c r="E211">
        <v>2934</v>
      </c>
      <c r="F211">
        <v>2437</v>
      </c>
      <c r="I211" s="13">
        <f>F211</f>
        <v>2437</v>
      </c>
      <c r="J211">
        <f t="shared" si="214"/>
        <v>0</v>
      </c>
      <c r="K211">
        <f t="shared" si="215"/>
        <v>0</v>
      </c>
      <c r="L211" s="6">
        <f t="shared" si="216"/>
        <v>0</v>
      </c>
      <c r="N211" s="2">
        <f>'rockfish harvests'!O210</f>
        <v>1894.0376960349713</v>
      </c>
      <c r="O211">
        <f>'rockfish harvests'!P210</f>
        <v>819020.09295315738</v>
      </c>
      <c r="P211" s="32">
        <v>0.15778043999999999</v>
      </c>
      <c r="Q211" s="32">
        <v>6.0110550000000004E-3</v>
      </c>
      <c r="T211" s="13">
        <f t="shared" si="245"/>
        <v>298.84210105698401</v>
      </c>
      <c r="U211" s="14">
        <f t="shared" si="246"/>
        <v>37029.989094072931</v>
      </c>
      <c r="V211">
        <f t="shared" si="217"/>
        <v>192.43177776571346</v>
      </c>
      <c r="W211" s="6">
        <f t="shared" si="218"/>
        <v>377.16628442079838</v>
      </c>
      <c r="Y211" s="13">
        <f t="shared" si="212"/>
        <v>2735.8421010569841</v>
      </c>
      <c r="Z211">
        <f t="shared" si="213"/>
        <v>37029.989094072931</v>
      </c>
      <c r="AA211">
        <f t="shared" si="219"/>
        <v>192.43177776571346</v>
      </c>
      <c r="AB211" s="6">
        <f t="shared" si="220"/>
        <v>377.16628442079838</v>
      </c>
      <c r="AC211" s="14">
        <f t="shared" si="211"/>
        <v>7.0337311386270446E-2</v>
      </c>
    </row>
    <row r="212" spans="1:29" hidden="1" x14ac:dyDescent="0.25">
      <c r="A212" t="str">
        <f>'rockfish harvests'!A211</f>
        <v>SC</v>
      </c>
      <c r="B212">
        <f>'rockfish harvests'!B211</f>
        <v>2007</v>
      </c>
      <c r="C212" t="str">
        <f>'rockfish harvests'!C211</f>
        <v>PWSO</v>
      </c>
      <c r="D212">
        <f>'rockfish harvests'!D211</f>
        <v>12198</v>
      </c>
      <c r="E212">
        <v>3859</v>
      </c>
      <c r="F212">
        <v>3287</v>
      </c>
      <c r="I212" s="13">
        <f t="shared" ref="I212:I223" si="247">F212</f>
        <v>3287</v>
      </c>
      <c r="J212">
        <f t="shared" si="214"/>
        <v>0</v>
      </c>
      <c r="K212">
        <f t="shared" si="215"/>
        <v>0</v>
      </c>
      <c r="L212" s="6">
        <f t="shared" si="216"/>
        <v>0</v>
      </c>
      <c r="N212" s="2">
        <f>'rockfish harvests'!O211</f>
        <v>2530.7779402162978</v>
      </c>
      <c r="O212">
        <f>'rockfish harvests'!P211</f>
        <v>1462262.6943327789</v>
      </c>
      <c r="P212" s="32">
        <v>0.15778043999999999</v>
      </c>
      <c r="Q212" s="32">
        <v>6.0110550000000004E-3</v>
      </c>
      <c r="T212" s="13">
        <f t="shared" si="245"/>
        <v>399.30725694962115</v>
      </c>
      <c r="U212" s="14">
        <f t="shared" si="246"/>
        <v>66112.629091395691</v>
      </c>
      <c r="V212">
        <f t="shared" si="217"/>
        <v>257.1237622068324</v>
      </c>
      <c r="W212" s="6">
        <f t="shared" si="218"/>
        <v>503.9625739253915</v>
      </c>
      <c r="Y212" s="13">
        <f t="shared" si="212"/>
        <v>3686.3072569496212</v>
      </c>
      <c r="Z212">
        <f t="shared" si="213"/>
        <v>66112.629091395691</v>
      </c>
      <c r="AA212">
        <f t="shared" si="219"/>
        <v>257.1237622068324</v>
      </c>
      <c r="AB212" s="6">
        <f t="shared" si="220"/>
        <v>503.9625739253915</v>
      </c>
      <c r="AC212" s="14">
        <f t="shared" si="211"/>
        <v>6.9751039260791153E-2</v>
      </c>
    </row>
    <row r="213" spans="1:29" hidden="1" x14ac:dyDescent="0.25">
      <c r="A213" t="str">
        <f>'rockfish harvests'!A212</f>
        <v>SC</v>
      </c>
      <c r="B213">
        <f>'rockfish harvests'!B212</f>
        <v>2008</v>
      </c>
      <c r="C213" t="str">
        <f>'rockfish harvests'!C212</f>
        <v>PWSO</v>
      </c>
      <c r="D213">
        <f>'rockfish harvests'!D212</f>
        <v>13387</v>
      </c>
      <c r="E213">
        <v>3569</v>
      </c>
      <c r="F213">
        <v>2906</v>
      </c>
      <c r="I213" s="13">
        <f t="shared" si="247"/>
        <v>2906</v>
      </c>
      <c r="J213">
        <f t="shared" si="214"/>
        <v>0</v>
      </c>
      <c r="K213">
        <f t="shared" si="215"/>
        <v>0</v>
      </c>
      <c r="L213" s="6">
        <f t="shared" si="216"/>
        <v>0</v>
      </c>
      <c r="N213" s="2">
        <f>'rockfish harvests'!O212</f>
        <v>2777.4655095651397</v>
      </c>
      <c r="O213">
        <f>'rockfish harvests'!P212</f>
        <v>1761224.3005580062</v>
      </c>
      <c r="P213" s="32">
        <v>0.15778043999999999</v>
      </c>
      <c r="Q213" s="32">
        <v>6.0110550000000004E-3</v>
      </c>
      <c r="T213" s="13">
        <f t="shared" si="245"/>
        <v>438.22973018401194</v>
      </c>
      <c r="U213" s="14">
        <f t="shared" si="246"/>
        <v>79629.446460490246</v>
      </c>
      <c r="V213">
        <f t="shared" si="217"/>
        <v>282.18689987398466</v>
      </c>
      <c r="W213" s="6">
        <f t="shared" si="218"/>
        <v>553.08632375300988</v>
      </c>
      <c r="Y213" s="13">
        <f t="shared" si="212"/>
        <v>3344.2297301840117</v>
      </c>
      <c r="Z213">
        <f t="shared" si="213"/>
        <v>79629.446460490246</v>
      </c>
      <c r="AA213">
        <f t="shared" si="219"/>
        <v>282.18689987398466</v>
      </c>
      <c r="AB213" s="6">
        <f t="shared" si="220"/>
        <v>553.08632375300988</v>
      </c>
      <c r="AC213" s="14">
        <f t="shared" si="211"/>
        <v>8.4380237794984769E-2</v>
      </c>
    </row>
    <row r="214" spans="1:29" hidden="1" x14ac:dyDescent="0.25">
      <c r="A214" t="str">
        <f>'rockfish harvests'!A213</f>
        <v>SC</v>
      </c>
      <c r="B214">
        <f>'rockfish harvests'!B213</f>
        <v>2009</v>
      </c>
      <c r="C214" t="str">
        <f>'rockfish harvests'!C213</f>
        <v>PWSO</v>
      </c>
      <c r="D214">
        <f>'rockfish harvests'!D213</f>
        <v>13724</v>
      </c>
      <c r="E214">
        <v>3376</v>
      </c>
      <c r="F214">
        <v>2889</v>
      </c>
      <c r="I214" s="13">
        <f t="shared" si="247"/>
        <v>2889</v>
      </c>
      <c r="J214">
        <f t="shared" si="214"/>
        <v>0</v>
      </c>
      <c r="K214">
        <f t="shared" si="215"/>
        <v>0</v>
      </c>
      <c r="L214" s="6">
        <f t="shared" si="216"/>
        <v>0</v>
      </c>
      <c r="N214" s="2">
        <f>'rockfish harvests'!O213</f>
        <v>2847.384526277132</v>
      </c>
      <c r="O214">
        <f>'rockfish harvests'!P213</f>
        <v>1851013.392635928</v>
      </c>
      <c r="P214">
        <v>0.19363633899999999</v>
      </c>
      <c r="Q214">
        <v>1.577185E-3</v>
      </c>
      <c r="T214" s="13">
        <f t="shared" si="245"/>
        <v>551.35711539355316</v>
      </c>
      <c r="U214" s="14">
        <f t="shared" si="246"/>
        <v>79271.598388663289</v>
      </c>
      <c r="V214">
        <f t="shared" si="217"/>
        <v>281.5521237509376</v>
      </c>
      <c r="W214" s="6">
        <f t="shared" si="218"/>
        <v>551.84216255183765</v>
      </c>
      <c r="Y214" s="13">
        <f t="shared" si="212"/>
        <v>3440.3571153935532</v>
      </c>
      <c r="Z214">
        <f t="shared" si="213"/>
        <v>79271.598388663289</v>
      </c>
      <c r="AA214">
        <f t="shared" si="219"/>
        <v>281.5521237509376</v>
      </c>
      <c r="AB214" s="6">
        <f t="shared" si="220"/>
        <v>551.84216255183765</v>
      </c>
      <c r="AC214" s="14">
        <f t="shared" si="211"/>
        <v>8.1838051779903664E-2</v>
      </c>
    </row>
    <row r="215" spans="1:29" hidden="1" x14ac:dyDescent="0.25">
      <c r="A215" t="str">
        <f>'rockfish harvests'!A214</f>
        <v>SC</v>
      </c>
      <c r="B215">
        <f>'rockfish harvests'!B214</f>
        <v>2010</v>
      </c>
      <c r="C215" t="str">
        <f>'rockfish harvests'!C214</f>
        <v>PWSO</v>
      </c>
      <c r="D215">
        <f>'rockfish harvests'!D214</f>
        <v>13038</v>
      </c>
      <c r="E215">
        <v>4523</v>
      </c>
      <c r="F215">
        <v>3537</v>
      </c>
      <c r="I215" s="13">
        <f t="shared" si="247"/>
        <v>3537</v>
      </c>
      <c r="J215">
        <f t="shared" si="214"/>
        <v>0</v>
      </c>
      <c r="K215">
        <f t="shared" si="215"/>
        <v>0</v>
      </c>
      <c r="L215" s="6">
        <f t="shared" si="216"/>
        <v>0</v>
      </c>
      <c r="N215" s="2">
        <f>'rockfish harvests'!O214</f>
        <v>2705.0567949286833</v>
      </c>
      <c r="O215">
        <f>'rockfish harvests'!P214</f>
        <v>1670590.8394394808</v>
      </c>
      <c r="P215">
        <v>0.11916523599999999</v>
      </c>
      <c r="Q215">
        <v>1.029067E-3</v>
      </c>
      <c r="T215" s="13">
        <f t="shared" si="245"/>
        <v>322.34873136108013</v>
      </c>
      <c r="U215" s="14">
        <f t="shared" si="246"/>
        <v>29533.855682679761</v>
      </c>
      <c r="V215">
        <f t="shared" si="217"/>
        <v>171.85416981464186</v>
      </c>
      <c r="W215" s="6">
        <f t="shared" si="218"/>
        <v>336.83417283669803</v>
      </c>
      <c r="Y215" s="13">
        <f t="shared" si="212"/>
        <v>3859.3487313610804</v>
      </c>
      <c r="Z215">
        <f t="shared" si="213"/>
        <v>29533.855682679761</v>
      </c>
      <c r="AA215">
        <f t="shared" si="219"/>
        <v>171.85416981464186</v>
      </c>
      <c r="AB215" s="6">
        <f t="shared" si="220"/>
        <v>336.83417283669803</v>
      </c>
      <c r="AC215" s="14">
        <f t="shared" si="211"/>
        <v>4.452931874700887E-2</v>
      </c>
    </row>
    <row r="216" spans="1:29" hidden="1" x14ac:dyDescent="0.25">
      <c r="A216" t="str">
        <f>'rockfish harvests'!A215</f>
        <v>SC</v>
      </c>
      <c r="B216">
        <f>'rockfish harvests'!B215</f>
        <v>2011</v>
      </c>
      <c r="C216" t="str">
        <f>'rockfish harvests'!C215</f>
        <v>PWSO</v>
      </c>
      <c r="D216">
        <f>'rockfish harvests'!D215</f>
        <v>15590</v>
      </c>
      <c r="E216">
        <v>4260</v>
      </c>
      <c r="F216">
        <v>3189</v>
      </c>
      <c r="I216" s="13">
        <f t="shared" si="247"/>
        <v>3189</v>
      </c>
      <c r="J216">
        <f t="shared" si="214"/>
        <v>0</v>
      </c>
      <c r="K216">
        <f t="shared" si="215"/>
        <v>0</v>
      </c>
      <c r="L216" s="6">
        <f t="shared" si="216"/>
        <v>0</v>
      </c>
      <c r="N216" s="2">
        <f>'rockfish harvests'!O215</f>
        <v>3693.2731282159002</v>
      </c>
      <c r="O216">
        <f>'rockfish harvests'!P215</f>
        <v>1342172.6209808656</v>
      </c>
      <c r="P216">
        <v>0.119794738</v>
      </c>
      <c r="Q216">
        <v>7.6408699999999999E-4</v>
      </c>
      <c r="T216" s="13">
        <f t="shared" si="245"/>
        <v>442.43468675706418</v>
      </c>
      <c r="U216" s="14">
        <f t="shared" si="246"/>
        <v>28658.036583455534</v>
      </c>
      <c r="V216">
        <f t="shared" si="217"/>
        <v>169.28684704800764</v>
      </c>
      <c r="W216" s="6">
        <f t="shared" si="218"/>
        <v>331.80222021409497</v>
      </c>
      <c r="Y216" s="13">
        <f t="shared" si="212"/>
        <v>3631.4346867570644</v>
      </c>
      <c r="Z216">
        <f t="shared" si="213"/>
        <v>28658.036583455534</v>
      </c>
      <c r="AA216">
        <f t="shared" si="219"/>
        <v>169.28684704800764</v>
      </c>
      <c r="AB216" s="6">
        <f t="shared" si="220"/>
        <v>331.80222021409497</v>
      </c>
      <c r="AC216" s="14">
        <f t="shared" si="211"/>
        <v>4.6617070565899067E-2</v>
      </c>
    </row>
    <row r="217" spans="1:29" hidden="1" x14ac:dyDescent="0.25">
      <c r="A217" t="str">
        <f>'rockfish harvests'!A216</f>
        <v>SC</v>
      </c>
      <c r="B217">
        <f>'rockfish harvests'!B216</f>
        <v>2012</v>
      </c>
      <c r="C217" t="str">
        <f>'rockfish harvests'!C216</f>
        <v>PWSO</v>
      </c>
      <c r="D217">
        <f>'rockfish harvests'!D216</f>
        <v>16566</v>
      </c>
      <c r="E217">
        <v>5165</v>
      </c>
      <c r="F217">
        <v>3484</v>
      </c>
      <c r="I217" s="13">
        <f t="shared" si="247"/>
        <v>3484</v>
      </c>
      <c r="J217">
        <f t="shared" si="214"/>
        <v>0</v>
      </c>
      <c r="K217">
        <f t="shared" si="215"/>
        <v>0</v>
      </c>
      <c r="L217" s="6">
        <f t="shared" si="216"/>
        <v>0</v>
      </c>
      <c r="N217" s="2">
        <f>'rockfish harvests'!O216</f>
        <v>2004.0431802604508</v>
      </c>
      <c r="O217">
        <f>'rockfish harvests'!P216</f>
        <v>375586.44375818601</v>
      </c>
      <c r="P217">
        <v>0.20699561999999999</v>
      </c>
      <c r="Q217">
        <v>5.8624399999999998E-4</v>
      </c>
      <c r="T217" s="13">
        <f t="shared" si="245"/>
        <v>414.82816060478376</v>
      </c>
      <c r="U217" s="14">
        <f t="shared" si="246"/>
        <v>18227.103922439994</v>
      </c>
      <c r="V217">
        <f t="shared" si="217"/>
        <v>135.00779208045731</v>
      </c>
      <c r="W217" s="6">
        <f t="shared" si="218"/>
        <v>264.61527247769629</v>
      </c>
      <c r="Y217" s="13">
        <f t="shared" si="212"/>
        <v>3898.828160604784</v>
      </c>
      <c r="Z217">
        <f t="shared" si="213"/>
        <v>18227.103922439994</v>
      </c>
      <c r="AA217">
        <f t="shared" si="219"/>
        <v>135.00779208045731</v>
      </c>
      <c r="AB217" s="6">
        <f t="shared" si="220"/>
        <v>264.61527247769629</v>
      </c>
      <c r="AC217" s="14">
        <f t="shared" si="211"/>
        <v>3.4627787252751084E-2</v>
      </c>
    </row>
    <row r="218" spans="1:29" hidden="1" x14ac:dyDescent="0.25">
      <c r="A218" t="str">
        <f>'rockfish harvests'!A217</f>
        <v>SC</v>
      </c>
      <c r="B218">
        <f>'rockfish harvests'!B217</f>
        <v>2013</v>
      </c>
      <c r="C218" t="str">
        <f>'rockfish harvests'!C217</f>
        <v>PWSO</v>
      </c>
      <c r="D218">
        <f>'rockfish harvests'!D217</f>
        <v>19818</v>
      </c>
      <c r="E218">
        <v>5595</v>
      </c>
      <c r="F218">
        <v>3409</v>
      </c>
      <c r="I218" s="13">
        <f t="shared" si="247"/>
        <v>3409</v>
      </c>
      <c r="J218">
        <f t="shared" si="214"/>
        <v>0</v>
      </c>
      <c r="K218">
        <f t="shared" si="215"/>
        <v>0</v>
      </c>
      <c r="L218" s="6">
        <f t="shared" si="216"/>
        <v>0</v>
      </c>
      <c r="N218" s="2">
        <f>'rockfish harvests'!O217</f>
        <v>6885.7645042839649</v>
      </c>
      <c r="O218">
        <f>'rockfish harvests'!P217</f>
        <v>4343369.567205376</v>
      </c>
      <c r="P218">
        <v>8.3464936000000003E-2</v>
      </c>
      <c r="Q218">
        <v>2.34658E-4</v>
      </c>
      <c r="T218" s="13">
        <f t="shared" si="245"/>
        <v>574.71989366113291</v>
      </c>
      <c r="U218" s="14">
        <f t="shared" si="246"/>
        <v>40364.440378622865</v>
      </c>
      <c r="V218">
        <f t="shared" si="217"/>
        <v>200.90903508459459</v>
      </c>
      <c r="W218" s="6">
        <f t="shared" si="218"/>
        <v>393.78170876580538</v>
      </c>
      <c r="Y218" s="13">
        <f t="shared" si="212"/>
        <v>3983.719893661133</v>
      </c>
      <c r="Z218">
        <f t="shared" si="213"/>
        <v>40364.440378622865</v>
      </c>
      <c r="AA218">
        <f t="shared" si="219"/>
        <v>200.90903508459459</v>
      </c>
      <c r="AB218" s="6">
        <f t="shared" si="220"/>
        <v>393.78170876580538</v>
      </c>
      <c r="AC218" s="14">
        <f t="shared" si="211"/>
        <v>5.0432520470196619E-2</v>
      </c>
    </row>
    <row r="219" spans="1:29" hidden="1" x14ac:dyDescent="0.25">
      <c r="A219" t="str">
        <f>'rockfish harvests'!A218</f>
        <v>SC</v>
      </c>
      <c r="B219">
        <f>'rockfish harvests'!B218</f>
        <v>2014</v>
      </c>
      <c r="C219" t="str">
        <f>'rockfish harvests'!C218</f>
        <v>PWSO</v>
      </c>
      <c r="D219">
        <f>'rockfish harvests'!D218</f>
        <v>21309</v>
      </c>
      <c r="E219">
        <v>5557</v>
      </c>
      <c r="F219">
        <v>3473</v>
      </c>
      <c r="I219" s="13">
        <f t="shared" si="247"/>
        <v>3473</v>
      </c>
      <c r="J219">
        <f t="shared" si="214"/>
        <v>0</v>
      </c>
      <c r="K219">
        <f t="shared" si="215"/>
        <v>0</v>
      </c>
      <c r="L219" s="6">
        <f t="shared" si="216"/>
        <v>0</v>
      </c>
      <c r="N219" s="2">
        <f>'rockfish harvests'!O218</f>
        <v>7356.7256448320622</v>
      </c>
      <c r="O219">
        <f>'rockfish harvests'!P218</f>
        <v>3862984.9469756186</v>
      </c>
      <c r="P219">
        <v>0.173590098</v>
      </c>
      <c r="Q219">
        <v>5.3729099999999996E-4</v>
      </c>
      <c r="T219" s="13">
        <f t="shared" si="245"/>
        <v>1277.0547256455109</v>
      </c>
      <c r="U219" s="14">
        <f t="shared" si="246"/>
        <v>143408.74300738185</v>
      </c>
      <c r="V219">
        <f t="shared" si="217"/>
        <v>378.69346839809879</v>
      </c>
      <c r="W219" s="6">
        <f t="shared" si="218"/>
        <v>742.23919806027357</v>
      </c>
      <c r="Y219" s="13">
        <f t="shared" si="212"/>
        <v>4750.0547256455111</v>
      </c>
      <c r="Z219">
        <f t="shared" si="213"/>
        <v>143408.74300738185</v>
      </c>
      <c r="AA219">
        <f t="shared" si="219"/>
        <v>378.69346839809879</v>
      </c>
      <c r="AB219" s="6">
        <f t="shared" si="220"/>
        <v>742.23919806027357</v>
      </c>
      <c r="AC219" s="14">
        <f t="shared" si="211"/>
        <v>7.9724022199899186E-2</v>
      </c>
    </row>
    <row r="220" spans="1:29" hidden="1" x14ac:dyDescent="0.25">
      <c r="A220" t="str">
        <f>'rockfish harvests'!A219</f>
        <v>SC</v>
      </c>
      <c r="B220">
        <f>'rockfish harvests'!B219</f>
        <v>2015</v>
      </c>
      <c r="C220" t="str">
        <f>'rockfish harvests'!C219</f>
        <v>PWSO</v>
      </c>
      <c r="D220">
        <f>'rockfish harvests'!D219</f>
        <v>24516</v>
      </c>
      <c r="E220">
        <v>6130</v>
      </c>
      <c r="F220">
        <v>4084</v>
      </c>
      <c r="I220" s="13">
        <f t="shared" si="247"/>
        <v>4084</v>
      </c>
      <c r="J220">
        <f t="shared" si="214"/>
        <v>0</v>
      </c>
      <c r="K220">
        <f t="shared" si="215"/>
        <v>0</v>
      </c>
      <c r="L220" s="6">
        <f t="shared" si="216"/>
        <v>0</v>
      </c>
      <c r="N220" s="2">
        <f>'rockfish harvests'!O219</f>
        <v>2612.963774691143</v>
      </c>
      <c r="O220">
        <f>'rockfish harvests'!P219</f>
        <v>501421.42786728247</v>
      </c>
      <c r="P220">
        <v>0.147708798</v>
      </c>
      <c r="Q220">
        <v>6.2945500000000001E-4</v>
      </c>
      <c r="T220" s="13">
        <f t="shared" si="245"/>
        <v>385.95773837717155</v>
      </c>
      <c r="U220" s="14">
        <f t="shared" si="246"/>
        <v>14921.989006277945</v>
      </c>
      <c r="V220">
        <f t="shared" si="217"/>
        <v>122.15559343017389</v>
      </c>
      <c r="W220" s="6">
        <f t="shared" si="218"/>
        <v>239.42496312314083</v>
      </c>
      <c r="Y220" s="13">
        <f t="shared" si="212"/>
        <v>4469.9577383771712</v>
      </c>
      <c r="Z220">
        <f t="shared" si="213"/>
        <v>14921.989006277945</v>
      </c>
      <c r="AA220">
        <f t="shared" si="219"/>
        <v>122.15559343017389</v>
      </c>
      <c r="AB220" s="6">
        <f t="shared" si="220"/>
        <v>239.42496312314083</v>
      </c>
      <c r="AC220" s="14">
        <f t="shared" si="211"/>
        <v>2.7328131624466494E-2</v>
      </c>
    </row>
    <row r="221" spans="1:29" hidden="1" x14ac:dyDescent="0.25">
      <c r="A221" t="str">
        <f>'rockfish harvests'!A220</f>
        <v>SC</v>
      </c>
      <c r="B221">
        <f>'rockfish harvests'!B220</f>
        <v>2016</v>
      </c>
      <c r="C221" t="str">
        <f>'rockfish harvests'!C220</f>
        <v>PWSO</v>
      </c>
      <c r="D221">
        <f>'rockfish harvests'!D220</f>
        <v>29349</v>
      </c>
      <c r="E221">
        <v>7689</v>
      </c>
      <c r="F221">
        <v>5233</v>
      </c>
      <c r="I221" s="13">
        <f t="shared" si="247"/>
        <v>5233</v>
      </c>
      <c r="J221">
        <f t="shared" si="214"/>
        <v>0</v>
      </c>
      <c r="K221">
        <f t="shared" si="215"/>
        <v>0</v>
      </c>
      <c r="L221" s="6">
        <f t="shared" si="216"/>
        <v>0</v>
      </c>
      <c r="N221" s="2">
        <f>'rockfish harvests'!O220</f>
        <v>3728.736072598942</v>
      </c>
      <c r="O221">
        <f>'rockfish harvests'!P220</f>
        <v>690520.60458105023</v>
      </c>
      <c r="P221">
        <v>0.22273826699999999</v>
      </c>
      <c r="Q221">
        <v>7.7984699999999996E-4</v>
      </c>
      <c r="T221" s="13">
        <f t="shared" si="245"/>
        <v>830.53221091107446</v>
      </c>
      <c r="U221" s="14">
        <f t="shared" si="246"/>
        <v>44562.421015690197</v>
      </c>
      <c r="V221">
        <f t="shared" si="217"/>
        <v>211.0981312463239</v>
      </c>
      <c r="W221" s="6">
        <f t="shared" si="218"/>
        <v>413.75233724279485</v>
      </c>
      <c r="Y221" s="13">
        <f t="shared" si="212"/>
        <v>6063.5322109110748</v>
      </c>
      <c r="Z221">
        <f t="shared" si="213"/>
        <v>44562.421015690197</v>
      </c>
      <c r="AA221">
        <f t="shared" si="219"/>
        <v>211.0981312463239</v>
      </c>
      <c r="AB221" s="6">
        <f t="shared" si="220"/>
        <v>413.75233724279485</v>
      </c>
      <c r="AC221" s="14">
        <f t="shared" si="211"/>
        <v>3.4814382756384397E-2</v>
      </c>
    </row>
    <row r="222" spans="1:29" hidden="1" x14ac:dyDescent="0.25">
      <c r="A222" t="str">
        <f>'rockfish harvests'!A221</f>
        <v>SC</v>
      </c>
      <c r="B222">
        <f>'rockfish harvests'!B221</f>
        <v>2017</v>
      </c>
      <c r="C222" t="str">
        <f>'rockfish harvests'!C221</f>
        <v>PWSO</v>
      </c>
      <c r="D222">
        <f>'rockfish harvests'!D221</f>
        <v>28647</v>
      </c>
      <c r="E222">
        <v>7729</v>
      </c>
      <c r="F222">
        <v>5242</v>
      </c>
      <c r="I222" s="13">
        <f t="shared" si="247"/>
        <v>5242</v>
      </c>
      <c r="J222">
        <f t="shared" si="214"/>
        <v>0</v>
      </c>
      <c r="K222">
        <f t="shared" si="215"/>
        <v>0</v>
      </c>
      <c r="L222" s="6">
        <f t="shared" si="216"/>
        <v>0</v>
      </c>
      <c r="N222" s="2">
        <f>'rockfish harvests'!O221</f>
        <v>7308.8621616433084</v>
      </c>
      <c r="O222">
        <f>'rockfish harvests'!P221</f>
        <v>5936209.9806912215</v>
      </c>
      <c r="P222">
        <v>0.16015768599999999</v>
      </c>
      <c r="Q222">
        <v>9.6767800000000003E-4</v>
      </c>
      <c r="T222" s="13">
        <f t="shared" si="245"/>
        <v>1170.5704511017502</v>
      </c>
      <c r="U222" s="14">
        <f t="shared" si="246"/>
        <v>198215.16372804652</v>
      </c>
      <c r="V222">
        <f t="shared" si="217"/>
        <v>445.21361583856185</v>
      </c>
      <c r="W222" s="6">
        <f t="shared" si="218"/>
        <v>872.61868704358119</v>
      </c>
      <c r="Y222" s="13">
        <f t="shared" si="212"/>
        <v>6412.5704511017502</v>
      </c>
      <c r="Z222">
        <f t="shared" si="213"/>
        <v>198215.16372804652</v>
      </c>
      <c r="AA222">
        <f t="shared" si="219"/>
        <v>445.21361583856185</v>
      </c>
      <c r="AB222" s="6">
        <f t="shared" si="220"/>
        <v>872.61868704358119</v>
      </c>
      <c r="AC222" s="14">
        <f t="shared" si="211"/>
        <v>6.9428261137009298E-2</v>
      </c>
    </row>
    <row r="223" spans="1:29" hidden="1" x14ac:dyDescent="0.25">
      <c r="A223" t="str">
        <f>'rockfish harvests'!A222</f>
        <v>SC</v>
      </c>
      <c r="B223">
        <f>'rockfish harvests'!B222</f>
        <v>2018</v>
      </c>
      <c r="C223" t="str">
        <f>'rockfish harvests'!C222</f>
        <v>PWSO</v>
      </c>
      <c r="D223">
        <f>'rockfish harvests'!D222</f>
        <v>27142</v>
      </c>
      <c r="E223">
        <v>5333</v>
      </c>
      <c r="F223">
        <v>3304</v>
      </c>
      <c r="I223" s="13">
        <f t="shared" si="247"/>
        <v>3304</v>
      </c>
      <c r="J223">
        <f t="shared" si="214"/>
        <v>0</v>
      </c>
      <c r="K223">
        <f t="shared" si="215"/>
        <v>0</v>
      </c>
      <c r="L223" s="6">
        <f t="shared" si="216"/>
        <v>0</v>
      </c>
      <c r="N223" s="2">
        <f>'rockfish harvests'!O222</f>
        <v>4727.7448574203227</v>
      </c>
      <c r="O223">
        <f>'rockfish harvests'!P222</f>
        <v>2237274.0611776323</v>
      </c>
      <c r="P223">
        <v>0.208137559</v>
      </c>
      <c r="Q223">
        <v>1.471574E-3</v>
      </c>
      <c r="T223" s="13">
        <f t="shared" si="245"/>
        <v>984.021274198269</v>
      </c>
      <c r="U223" s="14">
        <f t="shared" si="246"/>
        <v>126521.17135184203</v>
      </c>
      <c r="V223">
        <f t="shared" si="217"/>
        <v>355.69814639922151</v>
      </c>
      <c r="W223" s="6">
        <f t="shared" si="218"/>
        <v>697.16836694247411</v>
      </c>
      <c r="Y223" s="13">
        <f t="shared" si="212"/>
        <v>4288.0212741982687</v>
      </c>
      <c r="Z223">
        <f t="shared" si="213"/>
        <v>126521.17135184203</v>
      </c>
      <c r="AA223">
        <f t="shared" si="219"/>
        <v>355.69814639922151</v>
      </c>
      <c r="AB223" s="6">
        <f t="shared" si="220"/>
        <v>697.16836694247411</v>
      </c>
      <c r="AC223" s="14">
        <f t="shared" si="211"/>
        <v>8.2951581546368697E-2</v>
      </c>
    </row>
    <row r="224" spans="1:29" hidden="1" x14ac:dyDescent="0.25">
      <c r="A224" t="str">
        <f>'rockfish harvests'!A223</f>
        <v>SC</v>
      </c>
      <c r="B224">
        <f>'rockfish harvests'!B223</f>
        <v>2019</v>
      </c>
      <c r="C224" t="str">
        <f>'rockfish harvests'!C223</f>
        <v>PWSO</v>
      </c>
      <c r="D224">
        <f>'rockfish harvests'!D223</f>
        <v>33682</v>
      </c>
      <c r="E224">
        <v>7623</v>
      </c>
      <c r="F224">
        <v>5092</v>
      </c>
      <c r="I224" s="13">
        <f>F224</f>
        <v>5092</v>
      </c>
      <c r="J224">
        <f>(E224^2)*H224</f>
        <v>0</v>
      </c>
      <c r="K224">
        <f>SQRT(J224)</f>
        <v>0</v>
      </c>
      <c r="L224" s="6">
        <f>(1.96*K224)</f>
        <v>0</v>
      </c>
      <c r="N224" s="2">
        <f>'rockfish harvests'!O223</f>
        <v>6995.3520303194382</v>
      </c>
      <c r="O224">
        <f>'rockfish harvests'!P223</f>
        <v>5326815.9562128652</v>
      </c>
      <c r="P224">
        <v>0.153464304</v>
      </c>
      <c r="Q224">
        <v>5.3025700000000002E-4</v>
      </c>
      <c r="T224" s="13">
        <f>N224*P224</f>
        <v>1073.5368305679594</v>
      </c>
      <c r="U224" s="14">
        <f>(N224^2)*Q224+(P224^2)*O224-(Q224*O224)</f>
        <v>148576.91957141412</v>
      </c>
      <c r="V224">
        <f>SQRT(U224)</f>
        <v>385.45676744793849</v>
      </c>
      <c r="W224" s="6">
        <f>(1.96*V224)</f>
        <v>755.49526419795939</v>
      </c>
      <c r="Y224" s="13">
        <f>T224+I224</f>
        <v>6165.5368305679594</v>
      </c>
      <c r="Z224">
        <f>U224+J224</f>
        <v>148576.91957141412</v>
      </c>
      <c r="AA224">
        <f>SQRT(Z224)</f>
        <v>385.45676744793849</v>
      </c>
      <c r="AB224" s="6">
        <f>(1.96*AA224)</f>
        <v>755.49526419795939</v>
      </c>
      <c r="AC224" s="14">
        <f t="shared" si="211"/>
        <v>6.2517957160987528E-2</v>
      </c>
    </row>
    <row r="225" spans="1:29" hidden="1" x14ac:dyDescent="0.25">
      <c r="A225" t="str">
        <f>'rockfish harvests'!A224</f>
        <v>SC</v>
      </c>
      <c r="B225">
        <f>'rockfish harvests'!B224</f>
        <v>2020</v>
      </c>
      <c r="C225" t="str">
        <f>'rockfish harvests'!C224</f>
        <v>PWSO</v>
      </c>
      <c r="D225">
        <f>'rockfish harvests'!D224</f>
        <v>29279</v>
      </c>
      <c r="E225">
        <v>5450</v>
      </c>
      <c r="F225">
        <v>3259</v>
      </c>
      <c r="I225" s="13">
        <f t="shared" ref="I225" si="248">F225</f>
        <v>3259</v>
      </c>
      <c r="J225">
        <f t="shared" ref="J225:J227" si="249">(E225^2)*H225</f>
        <v>0</v>
      </c>
      <c r="K225">
        <f t="shared" ref="K225:K227" si="250">SQRT(J225)</f>
        <v>0</v>
      </c>
      <c r="L225" s="6">
        <f t="shared" ref="L225:L227" si="251">(1.96*K225)</f>
        <v>0</v>
      </c>
      <c r="N225" s="2">
        <f>'rockfish harvests'!O224</f>
        <v>6546.1019423978578</v>
      </c>
      <c r="O225">
        <f>'rockfish harvests'!P224</f>
        <v>3018032.5104616564</v>
      </c>
      <c r="P225">
        <v>0.13973998479323602</v>
      </c>
      <c r="Q225">
        <v>6.8692983681841249E-4</v>
      </c>
      <c r="T225" s="13">
        <f t="shared" ref="T225:T226" si="252">N225*P225</f>
        <v>914.7521858856494</v>
      </c>
      <c r="U225" s="14">
        <f t="shared" ref="U225:U226" si="253">(N225^2)*Q225+(P225^2)*O225-(Q225*O225)</f>
        <v>86296.679046513542</v>
      </c>
      <c r="V225">
        <f t="shared" ref="V225:V226" si="254">SQRT(U225)</f>
        <v>293.76296404842043</v>
      </c>
      <c r="W225" s="6">
        <f t="shared" ref="W225:W226" si="255">(1.96*V225)</f>
        <v>575.77540953490404</v>
      </c>
      <c r="Y225" s="13">
        <f t="shared" ref="Y225" si="256">T225+I225</f>
        <v>4173.7521858856489</v>
      </c>
      <c r="Z225">
        <f t="shared" ref="Z225:Z226" si="257">U225+J225</f>
        <v>86296.679046513542</v>
      </c>
      <c r="AA225">
        <f t="shared" ref="AA225:AA226" si="258">SQRT(Z225)</f>
        <v>293.76296404842043</v>
      </c>
      <c r="AB225" s="6">
        <f t="shared" ref="AB225:AB226" si="259">(1.96*AA225)</f>
        <v>575.77540953490404</v>
      </c>
      <c r="AC225" s="14">
        <f t="shared" ref="AC225:AC226" si="260">AA225/Y225</f>
        <v>7.038342262912417E-2</v>
      </c>
    </row>
    <row r="226" spans="1:29" hidden="1" x14ac:dyDescent="0.25">
      <c r="A226" t="str">
        <f>'rockfish harvests'!A225</f>
        <v>SC</v>
      </c>
      <c r="B226">
        <f>'rockfish harvests'!B225</f>
        <v>2021</v>
      </c>
      <c r="C226" t="str">
        <f>'rockfish harvests'!C225</f>
        <v>PWSO</v>
      </c>
      <c r="D226">
        <f>'rockfish harvests'!D225</f>
        <v>38638</v>
      </c>
      <c r="E226">
        <v>5963</v>
      </c>
      <c r="F226">
        <v>3753</v>
      </c>
      <c r="I226" s="13">
        <f>F226</f>
        <v>3753</v>
      </c>
      <c r="J226">
        <f t="shared" si="249"/>
        <v>0</v>
      </c>
      <c r="K226">
        <f t="shared" si="250"/>
        <v>0</v>
      </c>
      <c r="L226" s="6">
        <f t="shared" si="251"/>
        <v>0</v>
      </c>
      <c r="N226" s="2">
        <f>'rockfish harvests'!O225</f>
        <v>8140.8816955045913</v>
      </c>
      <c r="O226">
        <f>'rockfish harvests'!P225</f>
        <v>4846611.7748930994</v>
      </c>
      <c r="P226">
        <v>0.26300720732145494</v>
      </c>
      <c r="Q226">
        <v>2.3930174841780764E-3</v>
      </c>
      <c r="T226" s="13">
        <f t="shared" si="252"/>
        <v>2141.1105598690137</v>
      </c>
      <c r="U226" s="14">
        <f t="shared" si="253"/>
        <v>482250.36968047696</v>
      </c>
      <c r="V226">
        <f t="shared" si="254"/>
        <v>694.44248838941076</v>
      </c>
      <c r="W226" s="6">
        <f t="shared" si="255"/>
        <v>1361.1072772432451</v>
      </c>
      <c r="Y226" s="13">
        <f>T226+I226</f>
        <v>5894.1105598690137</v>
      </c>
      <c r="Z226">
        <f t="shared" si="257"/>
        <v>482250.36968047696</v>
      </c>
      <c r="AA226">
        <f t="shared" si="258"/>
        <v>694.44248838941076</v>
      </c>
      <c r="AB226" s="6">
        <f t="shared" si="259"/>
        <v>1361.1072772432451</v>
      </c>
      <c r="AC226" s="14">
        <f t="shared" si="260"/>
        <v>0.11781972552697477</v>
      </c>
    </row>
    <row r="227" spans="1:29" s="51" customFormat="1" hidden="1" x14ac:dyDescent="0.25">
      <c r="A227" s="51" t="s">
        <v>81</v>
      </c>
      <c r="B227" s="51">
        <v>2022</v>
      </c>
      <c r="C227" s="51" t="s">
        <v>52</v>
      </c>
      <c r="D227" s="43">
        <v>36656</v>
      </c>
      <c r="E227" s="51">
        <v>3746</v>
      </c>
      <c r="F227" s="43">
        <v>1380</v>
      </c>
      <c r="I227" s="13">
        <f>F227</f>
        <v>1380</v>
      </c>
      <c r="J227" s="51">
        <f t="shared" si="249"/>
        <v>0</v>
      </c>
      <c r="K227" s="51">
        <f t="shared" si="250"/>
        <v>0</v>
      </c>
      <c r="L227" s="78">
        <f t="shared" si="251"/>
        <v>0</v>
      </c>
      <c r="N227" s="2">
        <f>'rockfish harvests'!O226</f>
        <v>13333.02302338033</v>
      </c>
      <c r="O227">
        <f>'rockfish harvests'!P226</f>
        <v>23551712.984039951</v>
      </c>
      <c r="P227" s="91">
        <v>0.15870998748713316</v>
      </c>
      <c r="Q227" s="91">
        <v>1.1921529228479215E-3</v>
      </c>
      <c r="T227" s="13">
        <f t="shared" ref="T227" si="261">N227*P227</f>
        <v>2116.0839172063506</v>
      </c>
      <c r="U227" s="14">
        <f t="shared" ref="U227" si="262">(N227^2)*Q227+(P227^2)*O227-(Q227*O227)</f>
        <v>777091.99318720947</v>
      </c>
      <c r="V227">
        <f t="shared" ref="V227" si="263">SQRT(U227)</f>
        <v>881.52821462912323</v>
      </c>
      <c r="W227" s="6">
        <f t="shared" ref="W227" si="264">(1.96*V227)</f>
        <v>1727.7953006730816</v>
      </c>
      <c r="X227"/>
      <c r="Y227" s="13">
        <f>T227+I227</f>
        <v>3496.0839172063506</v>
      </c>
      <c r="Z227">
        <f t="shared" ref="Z227" si="265">U227+J227</f>
        <v>777091.99318720947</v>
      </c>
      <c r="AA227">
        <f t="shared" ref="AA227" si="266">SQRT(Z227)</f>
        <v>881.52821462912323</v>
      </c>
      <c r="AB227" s="6">
        <f t="shared" ref="AB227" si="267">(1.96*AA227)</f>
        <v>1727.7953006730816</v>
      </c>
      <c r="AC227" s="14">
        <f t="shared" ref="AC227" si="268">AA227/Y227</f>
        <v>0.2521473269822237</v>
      </c>
    </row>
    <row r="228" spans="1:29" hidden="1" x14ac:dyDescent="0.25">
      <c r="A228" t="str">
        <f>'rockfish harvests'!A227</f>
        <v>SE</v>
      </c>
      <c r="B228">
        <f>'rockfish harvests'!B227</f>
        <v>1998</v>
      </c>
      <c r="C228" t="str">
        <f>'rockfish harvests'!C227</f>
        <v>CSEO</v>
      </c>
      <c r="D228">
        <f>'rockfish harvests'!D227</f>
        <v>9366</v>
      </c>
      <c r="E228">
        <v>4902</v>
      </c>
      <c r="F228" t="s">
        <v>159</v>
      </c>
      <c r="G228" s="32">
        <v>0.47160923900000001</v>
      </c>
      <c r="H228" s="32">
        <v>2.4346362999999999E-2</v>
      </c>
      <c r="I228" s="13">
        <f t="shared" ref="I228:I233" si="269">E228*G228</f>
        <v>2311.8284895780002</v>
      </c>
      <c r="J228">
        <f t="shared" ref="J228:J233" si="270">(E228^2)*H228</f>
        <v>585033.46173025202</v>
      </c>
      <c r="K228">
        <f t="shared" ref="K228:K233" si="271">SQRT(J228)</f>
        <v>764.87480134349573</v>
      </c>
      <c r="L228" s="6">
        <f t="shared" ref="L228:L233" si="272">(1.96*K228)</f>
        <v>1499.1546106332517</v>
      </c>
      <c r="N228" s="2">
        <f>'rockfish harvests'!O227</f>
        <v>1419.5566561478372</v>
      </c>
      <c r="O228">
        <f>'rockfish harvests'!P227</f>
        <v>224247.08472663842</v>
      </c>
      <c r="P228" s="32">
        <v>0.143502775</v>
      </c>
      <c r="Q228" s="32">
        <v>1.71893E-3</v>
      </c>
      <c r="T228" s="13">
        <f t="shared" ref="T228:T263" si="273">N228*P228</f>
        <v>203.71031942693546</v>
      </c>
      <c r="U228" s="14">
        <f t="shared" si="246"/>
        <v>7696.3520778706825</v>
      </c>
      <c r="V228">
        <f t="shared" ref="V228:V233" si="274">SQRT(U228)</f>
        <v>87.728855446031446</v>
      </c>
      <c r="W228" s="6">
        <f t="shared" ref="W228:W233" si="275">(1.96*V228)</f>
        <v>171.94855667422163</v>
      </c>
      <c r="Y228" s="13">
        <f t="shared" ref="Y228:Z232" si="276">T228+I228</f>
        <v>2515.5388090049355</v>
      </c>
      <c r="Z228">
        <f t="shared" si="276"/>
        <v>592729.81380812265</v>
      </c>
      <c r="AA228">
        <f t="shared" ref="AA228:AA233" si="277">SQRT(Z228)</f>
        <v>769.8894815544129</v>
      </c>
      <c r="AB228" s="6">
        <f t="shared" ref="AB228:AB233" si="278">(1.96*AA228)</f>
        <v>1508.9833838466493</v>
      </c>
      <c r="AC228" s="14">
        <f t="shared" si="211"/>
        <v>0.30605350980808593</v>
      </c>
    </row>
    <row r="229" spans="1:29" hidden="1" x14ac:dyDescent="0.25">
      <c r="A229" t="str">
        <f>'rockfish harvests'!A228</f>
        <v>SE</v>
      </c>
      <c r="B229">
        <f>'rockfish harvests'!B228</f>
        <v>1999</v>
      </c>
      <c r="C229" t="str">
        <f>'rockfish harvests'!C228</f>
        <v>CSEO</v>
      </c>
      <c r="D229">
        <f>'rockfish harvests'!D228</f>
        <v>9636</v>
      </c>
      <c r="E229">
        <v>5800</v>
      </c>
      <c r="F229" t="s">
        <v>159</v>
      </c>
      <c r="G229" s="32">
        <v>0.47160923900000001</v>
      </c>
      <c r="H229" s="32">
        <v>2.4346362999999999E-2</v>
      </c>
      <c r="I229" s="13">
        <f t="shared" si="269"/>
        <v>2735.3335861999999</v>
      </c>
      <c r="J229">
        <f t="shared" si="270"/>
        <v>819011.65131999995</v>
      </c>
      <c r="K229">
        <f t="shared" si="271"/>
        <v>904.99262500862403</v>
      </c>
      <c r="L229" s="6">
        <f t="shared" si="272"/>
        <v>1773.7855450169031</v>
      </c>
      <c r="N229" s="2">
        <f>'rockfish harvests'!O228</f>
        <v>1460.4791734615155</v>
      </c>
      <c r="O229">
        <f>'rockfish harvests'!P228</f>
        <v>237362.48582500662</v>
      </c>
      <c r="P229" s="32">
        <v>0.143502775</v>
      </c>
      <c r="Q229" s="32">
        <v>1.71893E-3</v>
      </c>
      <c r="T229" s="13">
        <f t="shared" si="273"/>
        <v>209.58281422143384</v>
      </c>
      <c r="U229" s="14">
        <f t="shared" si="246"/>
        <v>8146.4838805586942</v>
      </c>
      <c r="V229">
        <f t="shared" si="274"/>
        <v>90.257874341016333</v>
      </c>
      <c r="W229" s="6">
        <f t="shared" si="275"/>
        <v>176.905433708392</v>
      </c>
      <c r="Y229" s="13">
        <f t="shared" si="276"/>
        <v>2944.9164004214335</v>
      </c>
      <c r="Z229">
        <f t="shared" si="276"/>
        <v>827158.1352005587</v>
      </c>
      <c r="AA229">
        <f t="shared" si="277"/>
        <v>909.48234463378049</v>
      </c>
      <c r="AB229" s="6">
        <f t="shared" si="278"/>
        <v>1782.5853954822096</v>
      </c>
      <c r="AC229" s="14">
        <f t="shared" si="211"/>
        <v>0.30883129466888387</v>
      </c>
    </row>
    <row r="230" spans="1:29" hidden="1" x14ac:dyDescent="0.25">
      <c r="A230" t="str">
        <f>'rockfish harvests'!A229</f>
        <v>SE</v>
      </c>
      <c r="B230">
        <f>'rockfish harvests'!B229</f>
        <v>2000</v>
      </c>
      <c r="C230" t="str">
        <f>'rockfish harvests'!C229</f>
        <v>CSEO</v>
      </c>
      <c r="D230">
        <f>'rockfish harvests'!D229</f>
        <v>16855</v>
      </c>
      <c r="E230">
        <v>11078</v>
      </c>
      <c r="F230" t="s">
        <v>159</v>
      </c>
      <c r="G230" s="32">
        <v>0.47160923900000001</v>
      </c>
      <c r="H230" s="32">
        <v>2.4346362999999999E-2</v>
      </c>
      <c r="I230" s="13">
        <f t="shared" si="269"/>
        <v>5224.4871496420001</v>
      </c>
      <c r="J230">
        <f t="shared" si="270"/>
        <v>2987836.405180492</v>
      </c>
      <c r="K230">
        <f t="shared" si="271"/>
        <v>1728.5359137664718</v>
      </c>
      <c r="L230" s="6">
        <f t="shared" si="272"/>
        <v>3387.9303909822847</v>
      </c>
      <c r="N230" s="2">
        <f>'rockfish harvests'!O229</f>
        <v>2554.6260345261362</v>
      </c>
      <c r="O230">
        <f>'rockfish harvests'!P229</f>
        <v>726233.05564746587</v>
      </c>
      <c r="P230" s="32">
        <v>0.143502775</v>
      </c>
      <c r="Q230" s="32">
        <v>1.71893E-3</v>
      </c>
      <c r="T230" s="13">
        <f t="shared" si="273"/>
        <v>366.59592504174634</v>
      </c>
      <c r="U230" s="14">
        <f t="shared" si="246"/>
        <v>24924.940690597025</v>
      </c>
      <c r="V230">
        <f t="shared" si="274"/>
        <v>157.87634620359387</v>
      </c>
      <c r="W230" s="6">
        <f t="shared" si="275"/>
        <v>309.43763855904399</v>
      </c>
      <c r="Y230" s="13">
        <f t="shared" si="276"/>
        <v>5591.0830746837464</v>
      </c>
      <c r="Z230">
        <f t="shared" si="276"/>
        <v>3012761.345871089</v>
      </c>
      <c r="AA230">
        <f t="shared" si="277"/>
        <v>1735.7307815070542</v>
      </c>
      <c r="AB230" s="6">
        <f t="shared" si="278"/>
        <v>3402.0323317538259</v>
      </c>
      <c r="AC230" s="14">
        <f t="shared" si="211"/>
        <v>0.31044625134732662</v>
      </c>
    </row>
    <row r="231" spans="1:29" hidden="1" x14ac:dyDescent="0.25">
      <c r="A231" t="str">
        <f>'rockfish harvests'!A230</f>
        <v>SE</v>
      </c>
      <c r="B231">
        <f>'rockfish harvests'!B230</f>
        <v>2001</v>
      </c>
      <c r="C231" t="str">
        <f>'rockfish harvests'!C230</f>
        <v>CSEO</v>
      </c>
      <c r="D231">
        <f>'rockfish harvests'!D230</f>
        <v>15083</v>
      </c>
      <c r="E231">
        <v>11046</v>
      </c>
      <c r="F231" t="s">
        <v>159</v>
      </c>
      <c r="G231" s="32">
        <v>0.47160923900000001</v>
      </c>
      <c r="H231" s="32">
        <v>2.4346362999999999E-2</v>
      </c>
      <c r="I231" s="13">
        <f t="shared" si="269"/>
        <v>5209.395653994</v>
      </c>
      <c r="J231">
        <f t="shared" si="270"/>
        <v>2970599.9592601079</v>
      </c>
      <c r="K231">
        <f t="shared" si="271"/>
        <v>1723.5428510078036</v>
      </c>
      <c r="L231" s="6">
        <f t="shared" si="272"/>
        <v>3378.1439879752952</v>
      </c>
      <c r="N231" s="2">
        <f>'rockfish harvests'!O230</f>
        <v>2286.0530690452506</v>
      </c>
      <c r="O231">
        <f>'rockfish harvests'!P230</f>
        <v>581559.24091147329</v>
      </c>
      <c r="P231" s="32">
        <v>0.143502775</v>
      </c>
      <c r="Q231" s="32">
        <v>1.71893E-3</v>
      </c>
      <c r="T231" s="13">
        <f t="shared" si="273"/>
        <v>328.05495920526005</v>
      </c>
      <c r="U231" s="14">
        <f t="shared" si="246"/>
        <v>19959.611415462114</v>
      </c>
      <c r="V231">
        <f t="shared" si="274"/>
        <v>141.27848886317446</v>
      </c>
      <c r="W231" s="6">
        <f t="shared" si="275"/>
        <v>276.90583817182193</v>
      </c>
      <c r="Y231" s="13">
        <f t="shared" si="276"/>
        <v>5537.4506131992603</v>
      </c>
      <c r="Z231">
        <f t="shared" si="276"/>
        <v>2990559.5706755701</v>
      </c>
      <c r="AA231">
        <f t="shared" si="277"/>
        <v>1729.3234430480522</v>
      </c>
      <c r="AB231" s="6">
        <f t="shared" si="278"/>
        <v>3389.4739483741823</v>
      </c>
      <c r="AC231" s="14">
        <f t="shared" si="211"/>
        <v>0.31229595780519948</v>
      </c>
    </row>
    <row r="232" spans="1:29" hidden="1" x14ac:dyDescent="0.25">
      <c r="A232" t="str">
        <f>'rockfish harvests'!A231</f>
        <v>SE</v>
      </c>
      <c r="B232">
        <f>'rockfish harvests'!B231</f>
        <v>2002</v>
      </c>
      <c r="C232" t="str">
        <f>'rockfish harvests'!C231</f>
        <v>CSEO</v>
      </c>
      <c r="D232">
        <f>'rockfish harvests'!D231</f>
        <v>14004</v>
      </c>
      <c r="E232">
        <v>8798</v>
      </c>
      <c r="F232" t="s">
        <v>159</v>
      </c>
      <c r="G232" s="32">
        <v>0.47160923900000001</v>
      </c>
      <c r="H232" s="32">
        <v>2.4346362999999999E-2</v>
      </c>
      <c r="I232" s="13">
        <f t="shared" si="269"/>
        <v>4149.2180847219997</v>
      </c>
      <c r="J232">
        <f t="shared" si="270"/>
        <v>1884525.456127852</v>
      </c>
      <c r="K232">
        <f t="shared" si="271"/>
        <v>1372.7801922113576</v>
      </c>
      <c r="L232" s="6">
        <f t="shared" si="272"/>
        <v>2690.6491767342609</v>
      </c>
      <c r="N232" s="2">
        <f>'rockfish harvests'!O231</f>
        <v>2122.5145646694764</v>
      </c>
      <c r="O232">
        <f>'rockfish harvests'!P231</f>
        <v>501328.85623143055</v>
      </c>
      <c r="P232" s="32">
        <v>0.143502775</v>
      </c>
      <c r="Q232" s="32">
        <v>1.71893E-3</v>
      </c>
      <c r="T232" s="13">
        <f t="shared" si="273"/>
        <v>304.58673000798683</v>
      </c>
      <c r="U232" s="14">
        <f t="shared" si="246"/>
        <v>17206.035873584591</v>
      </c>
      <c r="V232">
        <f t="shared" si="274"/>
        <v>131.17178001988304</v>
      </c>
      <c r="W232" s="6">
        <f t="shared" si="275"/>
        <v>257.09668883897075</v>
      </c>
      <c r="Y232" s="13">
        <f t="shared" si="276"/>
        <v>4453.8048147299869</v>
      </c>
      <c r="Z232">
        <f t="shared" si="276"/>
        <v>1901731.4920014367</v>
      </c>
      <c r="AA232">
        <f t="shared" si="277"/>
        <v>1379.03281034261</v>
      </c>
      <c r="AB232" s="6">
        <f t="shared" si="278"/>
        <v>2702.9043082715157</v>
      </c>
      <c r="AC232" s="14">
        <f t="shared" si="211"/>
        <v>0.30963027517096398</v>
      </c>
    </row>
    <row r="233" spans="1:29" hidden="1" x14ac:dyDescent="0.25">
      <c r="A233" t="str">
        <f>'rockfish harvests'!A232</f>
        <v>SE</v>
      </c>
      <c r="B233">
        <f>'rockfish harvests'!B232</f>
        <v>2003</v>
      </c>
      <c r="C233" t="str">
        <f>'rockfish harvests'!C232</f>
        <v>CSEO</v>
      </c>
      <c r="D233">
        <f>'rockfish harvests'!D232</f>
        <v>15272</v>
      </c>
      <c r="E233">
        <v>8561</v>
      </c>
      <c r="F233" t="s">
        <v>159</v>
      </c>
      <c r="G233" s="32">
        <v>0.47160923900000001</v>
      </c>
      <c r="H233" s="32">
        <v>2.4346362999999999E-2</v>
      </c>
      <c r="I233" s="13">
        <f t="shared" si="269"/>
        <v>4037.4466950790002</v>
      </c>
      <c r="J233">
        <f t="shared" si="270"/>
        <v>1784362.4979977231</v>
      </c>
      <c r="K233">
        <f t="shared" si="271"/>
        <v>1335.8003211549708</v>
      </c>
      <c r="L233" s="6">
        <f t="shared" si="272"/>
        <v>2618.1686294637425</v>
      </c>
      <c r="N233" s="2">
        <f>'rockfish harvests'!O232</f>
        <v>2314.6988311648274</v>
      </c>
      <c r="O233">
        <f>'rockfish harvests'!P232</f>
        <v>596225.20240177307</v>
      </c>
      <c r="P233" s="32">
        <v>0.143502775</v>
      </c>
      <c r="Q233" s="32">
        <v>1.71893E-3</v>
      </c>
      <c r="T233" s="13">
        <f t="shared" si="273"/>
        <v>332.1657055614092</v>
      </c>
      <c r="U233" s="14">
        <f t="shared" si="246"/>
        <v>20462.959779287845</v>
      </c>
      <c r="V233">
        <f t="shared" si="274"/>
        <v>143.04880208966395</v>
      </c>
      <c r="W233" s="6">
        <f t="shared" si="275"/>
        <v>280.37565209574132</v>
      </c>
      <c r="Y233" s="13">
        <f t="shared" ref="Y233:Y283" si="279">T233+I233</f>
        <v>4369.6124006404098</v>
      </c>
      <c r="Z233">
        <f t="shared" ref="Z233:Z283" si="280">U233+J233</f>
        <v>1804825.457777011</v>
      </c>
      <c r="AA233">
        <f t="shared" si="277"/>
        <v>1343.4379247948195</v>
      </c>
      <c r="AB233" s="6">
        <f t="shared" si="278"/>
        <v>2633.1383325978463</v>
      </c>
      <c r="AC233" s="14">
        <f t="shared" si="211"/>
        <v>0.30745013553099709</v>
      </c>
    </row>
    <row r="234" spans="1:29" hidden="1" x14ac:dyDescent="0.25">
      <c r="A234" t="str">
        <f>'rockfish harvests'!A233</f>
        <v>SE</v>
      </c>
      <c r="B234">
        <f>'rockfish harvests'!B233</f>
        <v>2004</v>
      </c>
      <c r="C234" t="str">
        <f>'rockfish harvests'!C233</f>
        <v>CSEO</v>
      </c>
      <c r="D234">
        <f>'rockfish harvests'!D233</f>
        <v>21796</v>
      </c>
      <c r="E234">
        <v>12007</v>
      </c>
      <c r="F234" t="s">
        <v>159</v>
      </c>
      <c r="G234" s="32">
        <v>0.47160923900000001</v>
      </c>
      <c r="H234" s="32">
        <v>2.4346362999999999E-2</v>
      </c>
      <c r="I234" s="13">
        <f>E234*G234</f>
        <v>5662.6121326729999</v>
      </c>
      <c r="J234">
        <f t="shared" ref="J234:J284" si="281">(E234^2)*H234</f>
        <v>3509967.653955787</v>
      </c>
      <c r="K234">
        <f t="shared" ref="K234:K284" si="282">SQRT(J234)</f>
        <v>1873.49076697906</v>
      </c>
      <c r="L234" s="6">
        <f t="shared" ref="L234:L284" si="283">(1.96*K234)</f>
        <v>3672.0419032789578</v>
      </c>
      <c r="N234" s="2">
        <f>'rockfish harvests'!O233</f>
        <v>3303.5081013664603</v>
      </c>
      <c r="O234">
        <f>'rockfish harvests'!P233</f>
        <v>1214428.9103843591</v>
      </c>
      <c r="P234" s="32">
        <v>0.143502775</v>
      </c>
      <c r="Q234" s="32">
        <v>1.71893E-3</v>
      </c>
      <c r="T234" s="13">
        <f t="shared" si="273"/>
        <v>474.06257978106834</v>
      </c>
      <c r="U234" s="14">
        <f t="shared" si="246"/>
        <v>41680.240700817441</v>
      </c>
      <c r="V234">
        <f t="shared" ref="V234:V284" si="284">SQRT(U234)</f>
        <v>204.1573919818174</v>
      </c>
      <c r="W234" s="6">
        <f t="shared" ref="W234:W284" si="285">(1.96*V234)</f>
        <v>400.14848828436209</v>
      </c>
      <c r="Y234" s="13">
        <f t="shared" si="279"/>
        <v>6136.674712454068</v>
      </c>
      <c r="Z234">
        <f t="shared" si="280"/>
        <v>3551647.8946566046</v>
      </c>
      <c r="AA234">
        <f t="shared" ref="AA234:AA284" si="286">SQRT(Z234)</f>
        <v>1884.581623240714</v>
      </c>
      <c r="AB234" s="6">
        <f t="shared" ref="AB234:AB284" si="287">(1.96*AA234)</f>
        <v>3693.7799815517992</v>
      </c>
      <c r="AC234" s="14">
        <f t="shared" si="211"/>
        <v>0.30710143710502558</v>
      </c>
    </row>
    <row r="235" spans="1:29" hidden="1" x14ac:dyDescent="0.25">
      <c r="A235" t="str">
        <f>'rockfish harvests'!A234</f>
        <v>SE</v>
      </c>
      <c r="B235">
        <f>'rockfish harvests'!B234</f>
        <v>2005</v>
      </c>
      <c r="C235" t="str">
        <f>'rockfish harvests'!C234</f>
        <v>CSEO</v>
      </c>
      <c r="D235">
        <f>'rockfish harvests'!D234</f>
        <v>27304</v>
      </c>
      <c r="E235">
        <v>14418</v>
      </c>
      <c r="F235" t="s">
        <v>159</v>
      </c>
      <c r="G235" s="32">
        <v>0.47160923900000001</v>
      </c>
      <c r="H235" s="32">
        <v>2.4346362999999999E-2</v>
      </c>
      <c r="I235" s="13">
        <f>E235*G235</f>
        <v>6799.6620079020004</v>
      </c>
      <c r="J235">
        <f t="shared" si="281"/>
        <v>5061090.8744808119</v>
      </c>
      <c r="K235">
        <f t="shared" si="282"/>
        <v>2249.6868392024726</v>
      </c>
      <c r="L235" s="6">
        <f t="shared" si="283"/>
        <v>4409.3862048368464</v>
      </c>
      <c r="N235" s="2">
        <f>'rockfish harvests'!O234</f>
        <v>4138.3274545655077</v>
      </c>
      <c r="O235">
        <f>'rockfish harvests'!P234</f>
        <v>1905772.4719131205</v>
      </c>
      <c r="P235" s="32">
        <v>0.143502775</v>
      </c>
      <c r="Q235" s="32">
        <v>1.71893E-3</v>
      </c>
      <c r="T235" s="13">
        <f t="shared" si="273"/>
        <v>593.86147358883682</v>
      </c>
      <c r="U235" s="14">
        <f t="shared" si="246"/>
        <v>65407.744060696517</v>
      </c>
      <c r="V235">
        <f t="shared" si="284"/>
        <v>255.74937743950917</v>
      </c>
      <c r="W235" s="6">
        <f t="shared" si="285"/>
        <v>501.26877978143796</v>
      </c>
      <c r="Y235" s="13">
        <f t="shared" si="279"/>
        <v>7393.5234814908372</v>
      </c>
      <c r="Z235">
        <f t="shared" si="280"/>
        <v>5126498.618541508</v>
      </c>
      <c r="AA235">
        <f t="shared" si="286"/>
        <v>2264.1772498065402</v>
      </c>
      <c r="AB235" s="6">
        <f t="shared" si="287"/>
        <v>4437.7874096208188</v>
      </c>
      <c r="AC235" s="14">
        <f t="shared" si="211"/>
        <v>0.3062379196434214</v>
      </c>
    </row>
    <row r="236" spans="1:29" hidden="1" x14ac:dyDescent="0.25">
      <c r="A236" t="str">
        <f>'rockfish harvests'!A235</f>
        <v>SE</v>
      </c>
      <c r="B236">
        <f>'rockfish harvests'!B235</f>
        <v>2006</v>
      </c>
      <c r="C236" t="str">
        <f>'rockfish harvests'!C235</f>
        <v>CSEO</v>
      </c>
      <c r="D236">
        <f>'rockfish harvests'!D235</f>
        <v>33748</v>
      </c>
      <c r="E236">
        <v>13609</v>
      </c>
      <c r="F236">
        <v>9779</v>
      </c>
      <c r="I236" s="13">
        <f>F236</f>
        <v>9779</v>
      </c>
      <c r="J236">
        <f t="shared" si="281"/>
        <v>0</v>
      </c>
      <c r="K236">
        <f t="shared" si="282"/>
        <v>0</v>
      </c>
      <c r="L236" s="6">
        <f t="shared" si="283"/>
        <v>0</v>
      </c>
      <c r="N236" s="2">
        <f>'rockfish harvests'!O235</f>
        <v>5115.01153445198</v>
      </c>
      <c r="O236">
        <f>'rockfish harvests'!P235</f>
        <v>2911485.1530098896</v>
      </c>
      <c r="P236">
        <f>IF([2]species_comp_Region1_forR!$D32&gt;49,[2]species_comp_Region1_forR!$J32,[2]species_comp_Region1_forR!$L32)</f>
        <v>0.175675676</v>
      </c>
      <c r="Q236">
        <f>IF([2]species_comp_Region1_forR!$D32&gt;49,[2]species_comp_Region1_forR!$K32,[2]species_comp_Region1_forR!$M32)</f>
        <v>2.8010399999999999E-4</v>
      </c>
      <c r="T236" s="13">
        <f t="shared" si="273"/>
        <v>898.58310906264887</v>
      </c>
      <c r="U236" s="14">
        <f t="shared" si="246"/>
        <v>96367.027629182907</v>
      </c>
      <c r="V236">
        <f t="shared" si="284"/>
        <v>310.43039095614159</v>
      </c>
      <c r="W236" s="6">
        <f t="shared" si="285"/>
        <v>608.44356627403749</v>
      </c>
      <c r="Y236" s="13">
        <f t="shared" si="279"/>
        <v>10677.583109062649</v>
      </c>
      <c r="Z236">
        <f t="shared" si="280"/>
        <v>96367.027629182907</v>
      </c>
      <c r="AA236">
        <f t="shared" si="286"/>
        <v>310.43039095614159</v>
      </c>
      <c r="AB236" s="6">
        <f t="shared" si="287"/>
        <v>608.44356627403749</v>
      </c>
      <c r="AC236" s="14">
        <f t="shared" si="211"/>
        <v>2.9073095267473249E-2</v>
      </c>
    </row>
    <row r="237" spans="1:29" hidden="1" x14ac:dyDescent="0.25">
      <c r="A237" t="str">
        <f>'rockfish harvests'!A236</f>
        <v>SE</v>
      </c>
      <c r="B237">
        <f>'rockfish harvests'!B236</f>
        <v>2007</v>
      </c>
      <c r="C237" t="str">
        <f>'rockfish harvests'!C236</f>
        <v>CSEO</v>
      </c>
      <c r="D237">
        <f>'rockfish harvests'!D236</f>
        <v>38443</v>
      </c>
      <c r="E237">
        <v>14388</v>
      </c>
      <c r="F237">
        <v>9950</v>
      </c>
      <c r="I237" s="13">
        <f t="shared" ref="I237:I248" si="288">F237</f>
        <v>9950</v>
      </c>
      <c r="J237">
        <f t="shared" si="281"/>
        <v>0</v>
      </c>
      <c r="K237">
        <f t="shared" si="282"/>
        <v>0</v>
      </c>
      <c r="L237" s="6">
        <f t="shared" si="283"/>
        <v>0</v>
      </c>
      <c r="N237" s="2">
        <f>'rockfish harvests'!O236</f>
        <v>5826.6086410731732</v>
      </c>
      <c r="O237">
        <f>'rockfish harvests'!P236</f>
        <v>3777922.4788372577</v>
      </c>
      <c r="P237">
        <f>IF([2]species_comp_Region1_forR!$D33&gt;49,[2]species_comp_Region1_forR!$J33,[2]species_comp_Region1_forR!$L33)</f>
        <v>0.18820224699999999</v>
      </c>
      <c r="Q237">
        <f>IF([2]species_comp_Region1_forR!$D33&gt;49,[2]species_comp_Region1_forR!$K33,[2]species_comp_Region1_forR!$M33)</f>
        <v>4.3037199999999999E-4</v>
      </c>
      <c r="T237" s="13">
        <f t="shared" si="273"/>
        <v>1096.5808386395877</v>
      </c>
      <c r="U237" s="14">
        <f t="shared" si="246"/>
        <v>146799.28371703124</v>
      </c>
      <c r="V237">
        <f t="shared" si="284"/>
        <v>383.14394647055462</v>
      </c>
      <c r="W237" s="6">
        <f t="shared" si="285"/>
        <v>750.96213508228709</v>
      </c>
      <c r="Y237" s="13">
        <f t="shared" si="279"/>
        <v>11046.580838639587</v>
      </c>
      <c r="Z237">
        <f t="shared" si="280"/>
        <v>146799.28371703124</v>
      </c>
      <c r="AA237">
        <f t="shared" si="286"/>
        <v>383.14394647055462</v>
      </c>
      <c r="AB237" s="6">
        <f t="shared" si="287"/>
        <v>750.96213508228709</v>
      </c>
      <c r="AC237" s="14">
        <f t="shared" si="211"/>
        <v>3.4684392579680763E-2</v>
      </c>
    </row>
    <row r="238" spans="1:29" hidden="1" x14ac:dyDescent="0.25">
      <c r="A238" t="str">
        <f>'rockfish harvests'!A237</f>
        <v>SE</v>
      </c>
      <c r="B238">
        <f>'rockfish harvests'!B237</f>
        <v>2008</v>
      </c>
      <c r="C238" t="str">
        <f>'rockfish harvests'!C237</f>
        <v>CSEO</v>
      </c>
      <c r="D238">
        <f>'rockfish harvests'!D237</f>
        <v>52901</v>
      </c>
      <c r="E238">
        <v>15276</v>
      </c>
      <c r="F238">
        <v>8863</v>
      </c>
      <c r="I238" s="13">
        <f t="shared" si="288"/>
        <v>8863</v>
      </c>
      <c r="J238">
        <f t="shared" si="281"/>
        <v>0</v>
      </c>
      <c r="K238">
        <f t="shared" si="282"/>
        <v>0</v>
      </c>
      <c r="L238" s="6">
        <f t="shared" si="283"/>
        <v>0</v>
      </c>
      <c r="N238" s="2">
        <f>'rockfish harvests'!O237</f>
        <v>8017.9336607812002</v>
      </c>
      <c r="O238">
        <f>'rockfish harvests'!P237</f>
        <v>7153955.9598475369</v>
      </c>
      <c r="P238">
        <f>IF([2]species_comp_Region1_forR!$D34&gt;49,[2]species_comp_Region1_forR!$J34,[2]species_comp_Region1_forR!$L34)</f>
        <v>0.10836501900000001</v>
      </c>
      <c r="Q238">
        <f>IF([2]species_comp_Region1_forR!$D34&gt;49,[2]species_comp_Region1_forR!$K34,[2]species_comp_Region1_forR!$M34)</f>
        <v>1.8404200000000001E-4</v>
      </c>
      <c r="T238" s="13">
        <f t="shared" si="273"/>
        <v>868.86353349129433</v>
      </c>
      <c r="U238" s="14">
        <f t="shared" si="246"/>
        <v>94523.670325266314</v>
      </c>
      <c r="V238">
        <f t="shared" si="284"/>
        <v>307.44702035516025</v>
      </c>
      <c r="W238" s="6">
        <f t="shared" si="285"/>
        <v>602.59615989611405</v>
      </c>
      <c r="Y238" s="13">
        <f t="shared" si="279"/>
        <v>9731.8635334912942</v>
      </c>
      <c r="Z238">
        <f t="shared" si="280"/>
        <v>94523.670325266314</v>
      </c>
      <c r="AA238">
        <f t="shared" si="286"/>
        <v>307.44702035516025</v>
      </c>
      <c r="AB238" s="6">
        <f t="shared" si="287"/>
        <v>602.59615989611405</v>
      </c>
      <c r="AC238" s="14">
        <f t="shared" si="211"/>
        <v>3.159179321587384E-2</v>
      </c>
    </row>
    <row r="239" spans="1:29" hidden="1" x14ac:dyDescent="0.25">
      <c r="A239" t="str">
        <f>'rockfish harvests'!A238</f>
        <v>SE</v>
      </c>
      <c r="B239">
        <f>'rockfish harvests'!B238</f>
        <v>2009</v>
      </c>
      <c r="C239" t="str">
        <f>'rockfish harvests'!C238</f>
        <v>CSEO</v>
      </c>
      <c r="D239">
        <f>'rockfish harvests'!D238</f>
        <v>31717</v>
      </c>
      <c r="E239">
        <v>9427</v>
      </c>
      <c r="F239">
        <v>6423</v>
      </c>
      <c r="I239" s="13">
        <f t="shared" si="288"/>
        <v>6423</v>
      </c>
      <c r="J239">
        <f t="shared" si="281"/>
        <v>0</v>
      </c>
      <c r="K239">
        <f t="shared" si="282"/>
        <v>0</v>
      </c>
      <c r="L239" s="6">
        <f t="shared" si="283"/>
        <v>0</v>
      </c>
      <c r="N239" s="2">
        <f>'rockfish harvests'!O238</f>
        <v>4807.1832653257516</v>
      </c>
      <c r="O239">
        <f>'rockfish harvests'!P238</f>
        <v>2571595.7734261826</v>
      </c>
      <c r="P239">
        <f>IF([2]species_comp_Region1_forR!$D35&gt;49,[2]species_comp_Region1_forR!$J35,[2]species_comp_Region1_forR!$L35)</f>
        <v>0.1</v>
      </c>
      <c r="Q239">
        <f>IF([2]species_comp_Region1_forR!$D35&gt;49,[2]species_comp_Region1_forR!$K35,[2]species_comp_Region1_forR!$M35)</f>
        <v>2.3136200000000001E-4</v>
      </c>
      <c r="T239" s="13">
        <f t="shared" si="273"/>
        <v>480.71832653257519</v>
      </c>
      <c r="U239" s="14">
        <f t="shared" si="246"/>
        <v>30467.53518351787</v>
      </c>
      <c r="V239">
        <f t="shared" si="284"/>
        <v>174.54952071981714</v>
      </c>
      <c r="W239" s="6">
        <f t="shared" si="285"/>
        <v>342.11706061084158</v>
      </c>
      <c r="Y239" s="13">
        <f t="shared" si="279"/>
        <v>6903.7183265325748</v>
      </c>
      <c r="Z239">
        <f t="shared" si="280"/>
        <v>30467.53518351787</v>
      </c>
      <c r="AA239">
        <f t="shared" si="286"/>
        <v>174.54952071981714</v>
      </c>
      <c r="AB239" s="6">
        <f t="shared" si="287"/>
        <v>342.11706061084158</v>
      </c>
      <c r="AC239" s="14">
        <f t="shared" si="211"/>
        <v>2.5283407066157847E-2</v>
      </c>
    </row>
    <row r="240" spans="1:29" hidden="1" x14ac:dyDescent="0.25">
      <c r="A240" t="str">
        <f>'rockfish harvests'!A239</f>
        <v>SE</v>
      </c>
      <c r="B240">
        <f>'rockfish harvests'!B239</f>
        <v>2010</v>
      </c>
      <c r="C240" t="str">
        <f>'rockfish harvests'!C239</f>
        <v>CSEO</v>
      </c>
      <c r="D240">
        <f>'rockfish harvests'!D239</f>
        <v>43813</v>
      </c>
      <c r="E240">
        <v>13028</v>
      </c>
      <c r="F240">
        <v>7150</v>
      </c>
      <c r="I240" s="13">
        <f t="shared" si="288"/>
        <v>7150</v>
      </c>
      <c r="J240">
        <f t="shared" si="281"/>
        <v>0</v>
      </c>
      <c r="K240">
        <f t="shared" si="282"/>
        <v>0</v>
      </c>
      <c r="L240" s="6">
        <f t="shared" si="283"/>
        <v>0</v>
      </c>
      <c r="N240" s="2">
        <f>'rockfish harvests'!O239</f>
        <v>6640.5120409785595</v>
      </c>
      <c r="O240">
        <f>'rockfish harvests'!P239</f>
        <v>4907095.1826566225</v>
      </c>
      <c r="P240">
        <f>IF([2]species_comp_Region1_forR!$D36&gt;49,[2]species_comp_Region1_forR!$J36,[2]species_comp_Region1_forR!$L36)</f>
        <v>0.100110011</v>
      </c>
      <c r="Q240">
        <f>IF([2]species_comp_Region1_forR!$D36&gt;49,[2]species_comp_Region1_forR!$K36,[2]species_comp_Region1_forR!$M36)</f>
        <v>9.92159E-5</v>
      </c>
      <c r="T240" s="13">
        <f t="shared" si="273"/>
        <v>664.78173346799599</v>
      </c>
      <c r="U240" s="14">
        <f t="shared" si="246"/>
        <v>53067.180268256263</v>
      </c>
      <c r="V240">
        <f t="shared" si="284"/>
        <v>230.36314867672795</v>
      </c>
      <c r="W240" s="6">
        <f t="shared" si="285"/>
        <v>451.51177140638674</v>
      </c>
      <c r="Y240" s="13">
        <f t="shared" si="279"/>
        <v>7814.7817334679958</v>
      </c>
      <c r="Z240">
        <f t="shared" si="280"/>
        <v>53067.180268256263</v>
      </c>
      <c r="AA240">
        <f t="shared" si="286"/>
        <v>230.36314867672795</v>
      </c>
      <c r="AB240" s="6">
        <f t="shared" si="287"/>
        <v>451.51177140638674</v>
      </c>
      <c r="AC240" s="14">
        <f t="shared" si="211"/>
        <v>2.9477873667304436E-2</v>
      </c>
    </row>
    <row r="241" spans="1:29" hidden="1" x14ac:dyDescent="0.25">
      <c r="A241" t="str">
        <f>'rockfish harvests'!A240</f>
        <v>SE</v>
      </c>
      <c r="B241">
        <f>'rockfish harvests'!B240</f>
        <v>2011</v>
      </c>
      <c r="C241" t="str">
        <f>'rockfish harvests'!C240</f>
        <v>CSEO</v>
      </c>
      <c r="D241">
        <f>'rockfish harvests'!D240</f>
        <v>58843</v>
      </c>
      <c r="E241">
        <v>12339</v>
      </c>
      <c r="F241">
        <v>4215</v>
      </c>
      <c r="I241" s="13">
        <f t="shared" si="288"/>
        <v>4215</v>
      </c>
      <c r="J241">
        <f t="shared" si="281"/>
        <v>0</v>
      </c>
      <c r="K241">
        <f t="shared" si="282"/>
        <v>0</v>
      </c>
      <c r="L241" s="6">
        <f t="shared" si="283"/>
        <v>0</v>
      </c>
      <c r="N241" s="2">
        <f>'rockfish harvests'!O240</f>
        <v>9637.9680383923114</v>
      </c>
      <c r="O241">
        <f>'rockfish harvests'!P240</f>
        <v>7141508.8030922944</v>
      </c>
      <c r="P241">
        <f>IF([2]species_comp_Region1_forR!$D37&gt;49,[2]species_comp_Region1_forR!$J37,[2]species_comp_Region1_forR!$L37)</f>
        <v>0.17507002799999999</v>
      </c>
      <c r="Q241">
        <f>IF([2]species_comp_Region1_forR!$D37&gt;49,[2]species_comp_Region1_forR!$K37,[2]species_comp_Region1_forR!$M37)</f>
        <v>2.0255300000000001E-4</v>
      </c>
      <c r="T241" s="13">
        <f t="shared" si="273"/>
        <v>1687.3193343444468</v>
      </c>
      <c r="U241" s="14">
        <f t="shared" si="246"/>
        <v>236252.47988023041</v>
      </c>
      <c r="V241">
        <f t="shared" si="284"/>
        <v>486.05810339940882</v>
      </c>
      <c r="W241" s="6">
        <f t="shared" si="285"/>
        <v>952.67388266284127</v>
      </c>
      <c r="Y241" s="13">
        <f t="shared" si="279"/>
        <v>5902.3193343444473</v>
      </c>
      <c r="Z241">
        <f t="shared" si="280"/>
        <v>236252.47988023041</v>
      </c>
      <c r="AA241">
        <f t="shared" si="286"/>
        <v>486.05810339940882</v>
      </c>
      <c r="AB241" s="6">
        <f t="shared" si="287"/>
        <v>952.67388266284127</v>
      </c>
      <c r="AC241" s="14">
        <f t="shared" si="211"/>
        <v>8.2350356845508399E-2</v>
      </c>
    </row>
    <row r="242" spans="1:29" hidden="1" x14ac:dyDescent="0.25">
      <c r="A242" t="str">
        <f>'rockfish harvests'!A241</f>
        <v>SE</v>
      </c>
      <c r="B242">
        <f>'rockfish harvests'!B241</f>
        <v>2012</v>
      </c>
      <c r="C242" t="str">
        <f>'rockfish harvests'!C241</f>
        <v>CSEO</v>
      </c>
      <c r="D242">
        <f>'rockfish harvests'!D241</f>
        <v>57675</v>
      </c>
      <c r="E242">
        <v>14295</v>
      </c>
      <c r="F242">
        <v>4550</v>
      </c>
      <c r="I242" s="13">
        <f t="shared" si="288"/>
        <v>4550</v>
      </c>
      <c r="J242">
        <f t="shared" si="281"/>
        <v>0</v>
      </c>
      <c r="K242">
        <f t="shared" si="282"/>
        <v>0</v>
      </c>
      <c r="L242" s="6">
        <f t="shared" si="283"/>
        <v>0</v>
      </c>
      <c r="N242" s="2">
        <f>'rockfish harvests'!O241</f>
        <v>6152.5876396981548</v>
      </c>
      <c r="O242">
        <f>'rockfish harvests'!P241</f>
        <v>1027468.7062518544</v>
      </c>
      <c r="P242">
        <f>IF([2]species_comp_Region1_forR!$D38&gt;49,[2]species_comp_Region1_forR!$J38,[2]species_comp_Region1_forR!$L38)</f>
        <v>0.14499252600000001</v>
      </c>
      <c r="Q242">
        <f>IF([2]species_comp_Region1_forR!$D38&gt;49,[2]species_comp_Region1_forR!$K38,[2]species_comp_Region1_forR!$M38)</f>
        <v>1.8558299999999999E-4</v>
      </c>
      <c r="T242" s="13">
        <f t="shared" si="273"/>
        <v>892.07922331621342</v>
      </c>
      <c r="U242" s="14">
        <f t="shared" si="246"/>
        <v>28434.742874085961</v>
      </c>
      <c r="V242">
        <f t="shared" si="284"/>
        <v>168.62604447144562</v>
      </c>
      <c r="W242" s="6">
        <f t="shared" si="285"/>
        <v>330.50704716403339</v>
      </c>
      <c r="Y242" s="13">
        <f t="shared" si="279"/>
        <v>5442.0792233162138</v>
      </c>
      <c r="Z242">
        <f t="shared" si="280"/>
        <v>28434.742874085961</v>
      </c>
      <c r="AA242">
        <f t="shared" si="286"/>
        <v>168.62604447144562</v>
      </c>
      <c r="AB242" s="6">
        <f t="shared" si="287"/>
        <v>330.50704716403339</v>
      </c>
      <c r="AC242" s="14">
        <f t="shared" si="211"/>
        <v>3.0985591637287997E-2</v>
      </c>
    </row>
    <row r="243" spans="1:29" hidden="1" x14ac:dyDescent="0.25">
      <c r="A243" t="str">
        <f>'rockfish harvests'!A242</f>
        <v>SE</v>
      </c>
      <c r="B243">
        <f>'rockfish harvests'!B242</f>
        <v>2013</v>
      </c>
      <c r="C243" t="str">
        <f>'rockfish harvests'!C242</f>
        <v>CSEO</v>
      </c>
      <c r="D243">
        <f>'rockfish harvests'!D242</f>
        <v>60735</v>
      </c>
      <c r="E243">
        <v>12452</v>
      </c>
      <c r="F243">
        <v>4216</v>
      </c>
      <c r="I243" s="13">
        <f t="shared" si="288"/>
        <v>4216</v>
      </c>
      <c r="J243">
        <f t="shared" si="281"/>
        <v>0</v>
      </c>
      <c r="K243">
        <f t="shared" si="282"/>
        <v>0</v>
      </c>
      <c r="L243" s="6">
        <f t="shared" si="283"/>
        <v>0</v>
      </c>
      <c r="N243" s="2">
        <f>'rockfish harvests'!O242</f>
        <v>9629.9871638141776</v>
      </c>
      <c r="O243">
        <f>'rockfish harvests'!P242</f>
        <v>3833914.1323344847</v>
      </c>
      <c r="P243">
        <f>IF([2]species_comp_Region1_forR!$D39&gt;49,[2]species_comp_Region1_forR!$J39,[2]species_comp_Region1_forR!$L39)</f>
        <v>9.9128540000000001E-2</v>
      </c>
      <c r="Q243">
        <f>IF([2]species_comp_Region1_forR!$D39&gt;49,[2]species_comp_Region1_forR!$K39,[2]species_comp_Region1_forR!$M39)</f>
        <v>9.7385000000000004E-5</v>
      </c>
      <c r="T243" s="13">
        <f t="shared" si="273"/>
        <v>954.60656776764029</v>
      </c>
      <c r="U243" s="14">
        <f t="shared" si="246"/>
        <v>46331.625601584572</v>
      </c>
      <c r="V243">
        <f t="shared" si="284"/>
        <v>215.24782368605861</v>
      </c>
      <c r="W243" s="6">
        <f t="shared" si="285"/>
        <v>421.88573442467487</v>
      </c>
      <c r="Y243" s="13">
        <f t="shared" si="279"/>
        <v>5170.6065677676406</v>
      </c>
      <c r="Z243">
        <f t="shared" si="280"/>
        <v>46331.625601584572</v>
      </c>
      <c r="AA243">
        <f t="shared" si="286"/>
        <v>215.24782368605861</v>
      </c>
      <c r="AB243" s="6">
        <f t="shared" si="287"/>
        <v>421.88573442467487</v>
      </c>
      <c r="AC243" s="14">
        <f t="shared" si="211"/>
        <v>4.1629124332890365E-2</v>
      </c>
    </row>
    <row r="244" spans="1:29" hidden="1" x14ac:dyDescent="0.25">
      <c r="A244" t="str">
        <f>'rockfish harvests'!A243</f>
        <v>SE</v>
      </c>
      <c r="B244">
        <f>'rockfish harvests'!B243</f>
        <v>2014</v>
      </c>
      <c r="C244" t="str">
        <f>'rockfish harvests'!C243</f>
        <v>CSEO</v>
      </c>
      <c r="D244">
        <f>'rockfish harvests'!D243</f>
        <v>73709</v>
      </c>
      <c r="E244">
        <v>13508</v>
      </c>
      <c r="F244">
        <v>4240</v>
      </c>
      <c r="I244" s="13">
        <f t="shared" si="288"/>
        <v>4240</v>
      </c>
      <c r="J244">
        <f t="shared" si="281"/>
        <v>0</v>
      </c>
      <c r="K244">
        <f t="shared" si="282"/>
        <v>0</v>
      </c>
      <c r="L244" s="6">
        <f t="shared" si="283"/>
        <v>0</v>
      </c>
      <c r="N244" s="2">
        <f>'rockfish harvests'!O243</f>
        <v>12999.052896462119</v>
      </c>
      <c r="O244">
        <f>'rockfish harvests'!P243</f>
        <v>10006306.818414057</v>
      </c>
      <c r="P244">
        <f>IF([2]species_comp_Region1_forR!$D40&gt;49,[2]species_comp_Region1_forR!$J40,[2]species_comp_Region1_forR!$L40)</f>
        <v>9.4339622999999997E-2</v>
      </c>
      <c r="Q244">
        <f>IF([2]species_comp_Region1_forR!$D40&gt;49,[2]species_comp_Region1_forR!$K40,[2]species_comp_Region1_forR!$M40)</f>
        <v>8.0679600000000006E-5</v>
      </c>
      <c r="T244" s="13">
        <f t="shared" si="273"/>
        <v>1226.3257496092942</v>
      </c>
      <c r="U244" s="14">
        <f t="shared" si="246"/>
        <v>101881.33606809477</v>
      </c>
      <c r="V244">
        <f t="shared" si="284"/>
        <v>319.18855879886229</v>
      </c>
      <c r="W244" s="6">
        <f t="shared" si="285"/>
        <v>625.60957524577009</v>
      </c>
      <c r="Y244" s="13">
        <f t="shared" si="279"/>
        <v>5466.3257496092938</v>
      </c>
      <c r="Z244">
        <f t="shared" si="280"/>
        <v>101881.33606809477</v>
      </c>
      <c r="AA244">
        <f t="shared" si="286"/>
        <v>319.18855879886229</v>
      </c>
      <c r="AB244" s="6">
        <f t="shared" si="287"/>
        <v>625.60957524577009</v>
      </c>
      <c r="AC244" s="14">
        <f t="shared" si="211"/>
        <v>5.839179247992609E-2</v>
      </c>
    </row>
    <row r="245" spans="1:29" hidden="1" x14ac:dyDescent="0.25">
      <c r="A245" t="str">
        <f>'rockfish harvests'!A244</f>
        <v>SE</v>
      </c>
      <c r="B245">
        <f>'rockfish harvests'!B244</f>
        <v>2015</v>
      </c>
      <c r="C245" t="str">
        <f>'rockfish harvests'!C244</f>
        <v>CSEO</v>
      </c>
      <c r="D245">
        <f>'rockfish harvests'!D244</f>
        <v>80105</v>
      </c>
      <c r="E245">
        <v>16888</v>
      </c>
      <c r="F245">
        <v>5352</v>
      </c>
      <c r="I245" s="13">
        <f t="shared" si="288"/>
        <v>5352</v>
      </c>
      <c r="J245">
        <f t="shared" si="281"/>
        <v>0</v>
      </c>
      <c r="K245">
        <f t="shared" si="282"/>
        <v>0</v>
      </c>
      <c r="L245" s="6">
        <f t="shared" si="283"/>
        <v>0</v>
      </c>
      <c r="N245" s="2">
        <f>'rockfish harvests'!O244</f>
        <v>8154.5459903117735</v>
      </c>
      <c r="O245">
        <f>'rockfish harvests'!P244</f>
        <v>3137762.110543259</v>
      </c>
      <c r="P245">
        <f>IF([2]species_comp_Region1_forR!$D41&gt;49,[2]species_comp_Region1_forR!$J41,[2]species_comp_Region1_forR!$L41)</f>
        <v>0.121836926</v>
      </c>
      <c r="Q245">
        <f>IF([2]species_comp_Region1_forR!$D41&gt;49,[2]species_comp_Region1_forR!$K41,[2]species_comp_Region1_forR!$M41)</f>
        <v>1.00368E-4</v>
      </c>
      <c r="T245" s="13">
        <f t="shared" si="273"/>
        <v>993.52481638521226</v>
      </c>
      <c r="U245" s="14">
        <f t="shared" si="246"/>
        <v>52936.884845720102</v>
      </c>
      <c r="V245">
        <f t="shared" si="284"/>
        <v>230.08017047481536</v>
      </c>
      <c r="W245" s="6">
        <f t="shared" si="285"/>
        <v>450.95713413063811</v>
      </c>
      <c r="Y245" s="13">
        <f t="shared" si="279"/>
        <v>6345.524816385212</v>
      </c>
      <c r="Z245">
        <f t="shared" si="280"/>
        <v>52936.884845720102</v>
      </c>
      <c r="AA245">
        <f t="shared" si="286"/>
        <v>230.08017047481536</v>
      </c>
      <c r="AB245" s="6">
        <f t="shared" si="287"/>
        <v>450.95713413063811</v>
      </c>
      <c r="AC245" s="14">
        <f t="shared" si="211"/>
        <v>3.6258651117510358E-2</v>
      </c>
    </row>
    <row r="246" spans="1:29" hidden="1" x14ac:dyDescent="0.25">
      <c r="A246" t="str">
        <f>'rockfish harvests'!A245</f>
        <v>SE</v>
      </c>
      <c r="B246">
        <f>'rockfish harvests'!B245</f>
        <v>2016</v>
      </c>
      <c r="C246" t="str">
        <f>'rockfish harvests'!C245</f>
        <v>CSEO</v>
      </c>
      <c r="D246">
        <f>'rockfish harvests'!D245</f>
        <v>54908</v>
      </c>
      <c r="E246">
        <v>12620</v>
      </c>
      <c r="F246">
        <v>5433</v>
      </c>
      <c r="I246" s="13">
        <f t="shared" si="288"/>
        <v>5433</v>
      </c>
      <c r="J246">
        <f t="shared" si="281"/>
        <v>0</v>
      </c>
      <c r="K246">
        <f t="shared" si="282"/>
        <v>0</v>
      </c>
      <c r="L246" s="6">
        <f t="shared" si="283"/>
        <v>0</v>
      </c>
      <c r="N246" s="2">
        <f>'rockfish harvests'!O245</f>
        <v>8439.7721422199611</v>
      </c>
      <c r="O246">
        <f>'rockfish harvests'!P245</f>
        <v>2423165.6191606135</v>
      </c>
      <c r="P246">
        <f>IF([2]species_comp_Region1_forR!$D42&gt;49,[2]species_comp_Region1_forR!$J42,[2]species_comp_Region1_forR!$L42)</f>
        <v>0.12372013699999999</v>
      </c>
      <c r="Q246">
        <f>IF([2]species_comp_Region1_forR!$D42&gt;49,[2]species_comp_Region1_forR!$K42,[2]species_comp_Region1_forR!$M42)</f>
        <v>9.2582000000000002E-5</v>
      </c>
      <c r="T246" s="13">
        <f t="shared" si="273"/>
        <v>1044.1697656842371</v>
      </c>
      <c r="U246" s="14">
        <f t="shared" si="246"/>
        <v>43460.853607543191</v>
      </c>
      <c r="V246">
        <f t="shared" si="284"/>
        <v>208.47266873032348</v>
      </c>
      <c r="W246" s="6">
        <f t="shared" si="285"/>
        <v>408.60643071143403</v>
      </c>
      <c r="Y246" s="13">
        <f t="shared" si="279"/>
        <v>6477.1697656842371</v>
      </c>
      <c r="Z246">
        <f t="shared" si="280"/>
        <v>43460.853607543191</v>
      </c>
      <c r="AA246">
        <f t="shared" si="286"/>
        <v>208.47266873032348</v>
      </c>
      <c r="AB246" s="6">
        <f t="shared" si="287"/>
        <v>408.60643071143403</v>
      </c>
      <c r="AC246" s="14">
        <f t="shared" si="211"/>
        <v>3.2185765739042783E-2</v>
      </c>
    </row>
    <row r="247" spans="1:29" hidden="1" x14ac:dyDescent="0.25">
      <c r="A247" t="str">
        <f>'rockfish harvests'!A246</f>
        <v>SE</v>
      </c>
      <c r="B247">
        <f>'rockfish harvests'!B246</f>
        <v>2017</v>
      </c>
      <c r="C247" t="str">
        <f>'rockfish harvests'!C246</f>
        <v>CSEO</v>
      </c>
      <c r="D247">
        <f>'rockfish harvests'!D246</f>
        <v>57388</v>
      </c>
      <c r="E247">
        <v>11329</v>
      </c>
      <c r="F247">
        <v>4871</v>
      </c>
      <c r="I247" s="13">
        <f t="shared" si="288"/>
        <v>4871</v>
      </c>
      <c r="J247">
        <f t="shared" si="281"/>
        <v>0</v>
      </c>
      <c r="K247">
        <f t="shared" si="282"/>
        <v>0</v>
      </c>
      <c r="L247" s="6">
        <f t="shared" si="283"/>
        <v>0</v>
      </c>
      <c r="N247" s="2">
        <f>'rockfish harvests'!O246</f>
        <v>14552.082903438393</v>
      </c>
      <c r="O247">
        <f>'rockfish harvests'!P246</f>
        <v>13249322.287968032</v>
      </c>
      <c r="P247">
        <f>IF([2]species_comp_Region1_forR!$D43&gt;49,[2]species_comp_Region1_forR!$J43,[2]species_comp_Region1_forR!$L43)</f>
        <v>0.20811518300000001</v>
      </c>
      <c r="Q247">
        <f>IF([2]species_comp_Region1_forR!$D43&gt;49,[2]species_comp_Region1_forR!$K43,[2]species_comp_Region1_forR!$M43)</f>
        <v>2.1599400000000001E-4</v>
      </c>
      <c r="T247" s="13">
        <f t="shared" si="273"/>
        <v>3028.5093964802527</v>
      </c>
      <c r="U247" s="14">
        <f t="shared" si="246"/>
        <v>616731.50000770472</v>
      </c>
      <c r="V247">
        <f t="shared" si="284"/>
        <v>785.32254520528363</v>
      </c>
      <c r="W247" s="6">
        <f t="shared" si="285"/>
        <v>1539.2321886023558</v>
      </c>
      <c r="Y247" s="13">
        <f t="shared" si="279"/>
        <v>7899.5093964802527</v>
      </c>
      <c r="Z247">
        <f t="shared" si="280"/>
        <v>616731.50000770472</v>
      </c>
      <c r="AA247">
        <f t="shared" si="286"/>
        <v>785.32254520528363</v>
      </c>
      <c r="AB247" s="6">
        <f t="shared" si="287"/>
        <v>1539.2321886023558</v>
      </c>
      <c r="AC247" s="14">
        <f t="shared" si="211"/>
        <v>9.9414090899771088E-2</v>
      </c>
    </row>
    <row r="248" spans="1:29" hidden="1" x14ac:dyDescent="0.25">
      <c r="A248" t="str">
        <f>'rockfish harvests'!A247</f>
        <v>SE</v>
      </c>
      <c r="B248">
        <f>'rockfish harvests'!B247</f>
        <v>2018</v>
      </c>
      <c r="C248" t="str">
        <f>'rockfish harvests'!C247</f>
        <v>CSEO</v>
      </c>
      <c r="D248">
        <f>'rockfish harvests'!D247</f>
        <v>55460</v>
      </c>
      <c r="E248">
        <v>10517</v>
      </c>
      <c r="F248">
        <v>4329</v>
      </c>
      <c r="I248" s="13">
        <f t="shared" si="288"/>
        <v>4329</v>
      </c>
      <c r="J248">
        <f t="shared" si="281"/>
        <v>0</v>
      </c>
      <c r="K248">
        <f t="shared" si="282"/>
        <v>0</v>
      </c>
      <c r="L248" s="6">
        <f t="shared" si="283"/>
        <v>0</v>
      </c>
      <c r="N248" s="2">
        <f>'rockfish harvests'!O247</f>
        <v>6239.0473207200412</v>
      </c>
      <c r="O248">
        <f>'rockfish harvests'!P247</f>
        <v>1305580.4963851175</v>
      </c>
      <c r="P248">
        <f>IF([2]species_comp_Region1_forR!$D44&gt;49,[2]species_comp_Region1_forR!$J44,[2]species_comp_Region1_forR!$L44)</f>
        <v>0.17302798999999999</v>
      </c>
      <c r="Q248">
        <f>IF([2]species_comp_Region1_forR!$D44&gt;49,[2]species_comp_Region1_forR!$K44,[2]species_comp_Region1_forR!$M44)</f>
        <v>1.8227900000000001E-4</v>
      </c>
      <c r="T248" s="13">
        <f t="shared" si="273"/>
        <v>1079.5298174190741</v>
      </c>
      <c r="U248" s="14">
        <f t="shared" si="246"/>
        <v>45944.723499467829</v>
      </c>
      <c r="V248">
        <f t="shared" si="284"/>
        <v>214.34720315289357</v>
      </c>
      <c r="W248" s="6">
        <f t="shared" si="285"/>
        <v>420.12051817967136</v>
      </c>
      <c r="Y248" s="13">
        <f t="shared" si="279"/>
        <v>5408.5298174190739</v>
      </c>
      <c r="Z248">
        <f t="shared" si="280"/>
        <v>45944.723499467829</v>
      </c>
      <c r="AA248">
        <f t="shared" si="286"/>
        <v>214.34720315289357</v>
      </c>
      <c r="AB248" s="6">
        <f t="shared" si="287"/>
        <v>420.12051817967136</v>
      </c>
      <c r="AC248" s="14">
        <f t="shared" si="211"/>
        <v>3.9631325034495068E-2</v>
      </c>
    </row>
    <row r="249" spans="1:29" hidden="1" x14ac:dyDescent="0.25">
      <c r="A249" t="str">
        <f>'rockfish harvests'!A248</f>
        <v>SE</v>
      </c>
      <c r="B249">
        <f>'rockfish harvests'!B248</f>
        <v>2019</v>
      </c>
      <c r="C249" t="str">
        <f>'rockfish harvests'!C248</f>
        <v>CSEO</v>
      </c>
      <c r="D249">
        <f>'rockfish harvests'!D248</f>
        <v>59842</v>
      </c>
      <c r="E249">
        <v>8780</v>
      </c>
      <c r="F249">
        <v>3968</v>
      </c>
      <c r="I249" s="13">
        <f>F249</f>
        <v>3968</v>
      </c>
      <c r="J249">
        <f>(E249^2)*H249</f>
        <v>0</v>
      </c>
      <c r="K249">
        <f>SQRT(J249)</f>
        <v>0</v>
      </c>
      <c r="L249" s="6">
        <f>(1.96*K249)</f>
        <v>0</v>
      </c>
      <c r="N249" s="2">
        <f>'rockfish harvests'!O248</f>
        <v>9834.2503043694014</v>
      </c>
      <c r="O249">
        <f>'rockfish harvests'!P248</f>
        <v>3923387.5515685715</v>
      </c>
      <c r="P249">
        <v>0.18926174496644296</v>
      </c>
      <c r="Q249">
        <v>2.0623889362728502E-4</v>
      </c>
      <c r="T249" s="13">
        <f>N249*P249</f>
        <v>1861.2473730417257</v>
      </c>
      <c r="U249" s="14">
        <f>(N249^2)*Q249+(P249^2)*O249-(Q249*O249)</f>
        <v>159672.49347811282</v>
      </c>
      <c r="V249">
        <f>SQRT(U249)</f>
        <v>399.59040713975207</v>
      </c>
      <c r="W249" s="6">
        <f>(1.96*V249)</f>
        <v>783.19719799391407</v>
      </c>
      <c r="Y249" s="13">
        <f>T249+I249</f>
        <v>5829.247373041726</v>
      </c>
      <c r="Z249">
        <f>U249+J249</f>
        <v>159672.49347811282</v>
      </c>
      <c r="AA249">
        <f>SQRT(Z249)</f>
        <v>399.59040713975207</v>
      </c>
      <c r="AB249" s="6">
        <f>(1.96*AA249)</f>
        <v>783.19719799391407</v>
      </c>
      <c r="AC249" s="14">
        <f>AA249/Y249</f>
        <v>6.8549227982281372E-2</v>
      </c>
    </row>
    <row r="250" spans="1:29" hidden="1" x14ac:dyDescent="0.25">
      <c r="A250" t="str">
        <f>'rockfish harvests'!A249</f>
        <v>SE</v>
      </c>
      <c r="B250">
        <f>'rockfish harvests'!B249</f>
        <v>2020</v>
      </c>
      <c r="C250" t="str">
        <f>'rockfish harvests'!C249</f>
        <v>CSEO</v>
      </c>
      <c r="D250">
        <f>'rockfish harvests'!D249</f>
        <v>24728</v>
      </c>
      <c r="E250">
        <v>824</v>
      </c>
      <c r="F250">
        <v>9</v>
      </c>
      <c r="I250" s="13">
        <f t="shared" ref="I250:I252" si="289">F250</f>
        <v>9</v>
      </c>
      <c r="J250">
        <f t="shared" ref="J250:J252" si="290">(E250^2)*H250</f>
        <v>0</v>
      </c>
      <c r="K250">
        <f t="shared" ref="K250:K252" si="291">SQRT(J250)</f>
        <v>0</v>
      </c>
      <c r="L250" s="6">
        <f t="shared" ref="L250:L252" si="292">(1.96*K250)</f>
        <v>0</v>
      </c>
      <c r="N250" s="2">
        <f>'rockfish harvests'!O249</f>
        <v>5579.5825129317564</v>
      </c>
      <c r="O250">
        <f>'rockfish harvests'!P249</f>
        <v>3148769.5238355137</v>
      </c>
      <c r="P250" t="s">
        <v>283</v>
      </c>
      <c r="Q250" t="s">
        <v>284</v>
      </c>
      <c r="T250" s="13">
        <f t="shared" ref="T250:T251" si="293">N250*P250</f>
        <v>15.079952737653379</v>
      </c>
      <c r="U250" s="14">
        <f t="shared" ref="U250:U251" si="294">(N250^2)*Q250+(P250^2)*O250-(Q250*O250)</f>
        <v>227.40497456985997</v>
      </c>
      <c r="V250">
        <f t="shared" ref="V250:V251" si="295">SQRT(U250)</f>
        <v>15.07995273765339</v>
      </c>
      <c r="W250" s="6">
        <f t="shared" ref="W250:W251" si="296">(1.96*V250)</f>
        <v>29.556707365800644</v>
      </c>
      <c r="Y250" s="13">
        <f t="shared" ref="Y250:Y251" si="297">T250+I250</f>
        <v>24.079952737653379</v>
      </c>
      <c r="Z250">
        <f t="shared" ref="Z250:Z251" si="298">U250+J250</f>
        <v>227.40497456985997</v>
      </c>
      <c r="AA250">
        <f t="shared" ref="AA250:AA251" si="299">SQRT(Z250)</f>
        <v>15.07995273765339</v>
      </c>
      <c r="AB250" s="6">
        <f t="shared" ref="AB250:AB251" si="300">(1.96*AA250)</f>
        <v>29.556707365800644</v>
      </c>
      <c r="AC250" s="14">
        <f t="shared" ref="AC250:AC251" si="301">AA250/Y250</f>
        <v>0.62624511359912871</v>
      </c>
    </row>
    <row r="251" spans="1:29" hidden="1" x14ac:dyDescent="0.25">
      <c r="A251" t="str">
        <f>'rockfish harvests'!A250</f>
        <v>SE</v>
      </c>
      <c r="B251">
        <f>'rockfish harvests'!B250</f>
        <v>2021</v>
      </c>
      <c r="C251" t="str">
        <f>'rockfish harvests'!C250</f>
        <v>CSEO</v>
      </c>
      <c r="D251">
        <f>'rockfish harvests'!D250</f>
        <v>56521</v>
      </c>
      <c r="E251">
        <v>2821</v>
      </c>
      <c r="F251">
        <v>10</v>
      </c>
      <c r="I251" s="13">
        <f t="shared" si="289"/>
        <v>10</v>
      </c>
      <c r="J251">
        <f t="shared" si="290"/>
        <v>0</v>
      </c>
      <c r="K251">
        <f t="shared" si="291"/>
        <v>0</v>
      </c>
      <c r="L251" s="6">
        <f t="shared" si="292"/>
        <v>0</v>
      </c>
      <c r="N251" s="2">
        <f>'rockfish harvests'!O250</f>
        <v>6300.3832456916716</v>
      </c>
      <c r="O251">
        <f>'rockfish harvests'!P250</f>
        <v>1468791.0672018982</v>
      </c>
      <c r="P251" t="s">
        <v>273</v>
      </c>
      <c r="Q251" t="s">
        <v>273</v>
      </c>
      <c r="T251" s="13">
        <f t="shared" si="293"/>
        <v>0</v>
      </c>
      <c r="U251" s="14">
        <f t="shared" si="294"/>
        <v>0</v>
      </c>
      <c r="V251">
        <f t="shared" si="295"/>
        <v>0</v>
      </c>
      <c r="W251" s="6">
        <f t="shared" si="296"/>
        <v>0</v>
      </c>
      <c r="Y251" s="13">
        <f t="shared" si="297"/>
        <v>10</v>
      </c>
      <c r="Z251">
        <f t="shared" si="298"/>
        <v>0</v>
      </c>
      <c r="AA251">
        <f t="shared" si="299"/>
        <v>0</v>
      </c>
      <c r="AB251" s="6">
        <f t="shared" si="300"/>
        <v>0</v>
      </c>
      <c r="AC251" s="14">
        <f t="shared" si="301"/>
        <v>0</v>
      </c>
    </row>
    <row r="252" spans="1:29" s="51" customFormat="1" hidden="1" x14ac:dyDescent="0.25">
      <c r="A252" s="51" t="s">
        <v>151</v>
      </c>
      <c r="B252" s="51">
        <v>2022</v>
      </c>
      <c r="C252" s="51" t="s">
        <v>42</v>
      </c>
      <c r="D252">
        <f>'rockfish harvests'!D251</f>
        <v>67729</v>
      </c>
      <c r="E252" s="51">
        <v>3398</v>
      </c>
      <c r="F252" s="51">
        <v>32</v>
      </c>
      <c r="I252" s="71">
        <f t="shared" si="289"/>
        <v>32</v>
      </c>
      <c r="J252" s="51">
        <f t="shared" si="290"/>
        <v>0</v>
      </c>
      <c r="K252" s="51">
        <f t="shared" si="291"/>
        <v>0</v>
      </c>
      <c r="L252" s="78">
        <f t="shared" si="292"/>
        <v>0</v>
      </c>
      <c r="N252" s="2">
        <f>'rockfish harvests'!O251</f>
        <v>11225.939425595861</v>
      </c>
      <c r="O252">
        <f>'rockfish harvests'!P251</f>
        <v>5307635.0491281012</v>
      </c>
      <c r="P252" t="s">
        <v>204</v>
      </c>
      <c r="Q252" t="s">
        <v>205</v>
      </c>
      <c r="T252" s="13">
        <f t="shared" ref="T252" si="302">N252*P252</f>
        <v>19.523372914079776</v>
      </c>
      <c r="U252" s="14">
        <f t="shared" ref="U252" si="303">(N252^2)*Q252+(P252^2)*O252-(Q252*O252)</f>
        <v>381.16208994222376</v>
      </c>
      <c r="V252">
        <f t="shared" ref="V252" si="304">SQRT(U252)</f>
        <v>19.523372914079772</v>
      </c>
      <c r="W252" s="6">
        <f t="shared" ref="W252" si="305">(1.96*V252)</f>
        <v>38.265810911596354</v>
      </c>
      <c r="X252"/>
      <c r="Y252" s="13">
        <f t="shared" ref="Y252" si="306">T252+I252</f>
        <v>51.523372914079772</v>
      </c>
      <c r="Z252">
        <f t="shared" ref="Z252" si="307">U252+J252</f>
        <v>381.16208994222376</v>
      </c>
      <c r="AA252">
        <f t="shared" ref="AA252" si="308">SQRT(Z252)</f>
        <v>19.523372914079772</v>
      </c>
      <c r="AB252" s="6">
        <f t="shared" ref="AB252" si="309">(1.96*AA252)</f>
        <v>38.265810911596354</v>
      </c>
      <c r="AC252" s="14">
        <f t="shared" ref="AC252" si="310">AA252/Y252</f>
        <v>0.37892264830248773</v>
      </c>
    </row>
    <row r="253" spans="1:29" hidden="1" x14ac:dyDescent="0.25">
      <c r="A253" t="str">
        <f>'rockfish harvests'!A252</f>
        <v>SE</v>
      </c>
      <c r="B253">
        <f>'rockfish harvests'!B252</f>
        <v>1998</v>
      </c>
      <c r="C253" t="str">
        <f>'rockfish harvests'!C252</f>
        <v>EWYKT</v>
      </c>
      <c r="D253">
        <f>'rockfish harvests'!D252</f>
        <v>1305</v>
      </c>
      <c r="E253">
        <v>606</v>
      </c>
      <c r="F253" t="s">
        <v>159</v>
      </c>
      <c r="G253" s="32">
        <v>0.19165747799999999</v>
      </c>
      <c r="H253" s="32">
        <v>1.9487E-3</v>
      </c>
      <c r="I253" s="13">
        <f t="shared" ref="I253:I260" si="311">E253*G253</f>
        <v>116.144431668</v>
      </c>
      <c r="J253">
        <f t="shared" si="281"/>
        <v>715.63279320000004</v>
      </c>
      <c r="K253">
        <f t="shared" si="282"/>
        <v>26.751313859322874</v>
      </c>
      <c r="L253" s="6">
        <f t="shared" si="283"/>
        <v>52.432575164272833</v>
      </c>
      <c r="N253" s="2">
        <f>'rockfish harvests'!O252</f>
        <v>340.03895326402039</v>
      </c>
      <c r="O253">
        <f>'rockfish harvests'!P252</f>
        <v>27091.93854220381</v>
      </c>
      <c r="P253" s="32">
        <v>1.5299544999999999E-2</v>
      </c>
      <c r="Q253" s="32">
        <v>2.3553699999999999E-4</v>
      </c>
      <c r="T253" s="13">
        <f t="shared" si="273"/>
        <v>5.2024412672157769</v>
      </c>
      <c r="U253" s="14">
        <f t="shared" si="246"/>
        <v>27.194737282635828</v>
      </c>
      <c r="V253">
        <f t="shared" si="284"/>
        <v>5.2148573597593089</v>
      </c>
      <c r="W253" s="6">
        <f t="shared" si="285"/>
        <v>10.221120425128245</v>
      </c>
      <c r="Y253" s="13">
        <f t="shared" si="279"/>
        <v>121.34687293521577</v>
      </c>
      <c r="Z253">
        <f t="shared" si="280"/>
        <v>742.82753048263589</v>
      </c>
      <c r="AA253">
        <f t="shared" si="286"/>
        <v>27.25486251080045</v>
      </c>
      <c r="AB253" s="6">
        <f t="shared" si="287"/>
        <v>53.41953052116888</v>
      </c>
      <c r="AC253" s="14">
        <f t="shared" si="211"/>
        <v>0.22460292425789313</v>
      </c>
    </row>
    <row r="254" spans="1:29" hidden="1" x14ac:dyDescent="0.25">
      <c r="A254" t="str">
        <f>'rockfish harvests'!A253</f>
        <v>SE</v>
      </c>
      <c r="B254">
        <f>'rockfish harvests'!B253</f>
        <v>1999</v>
      </c>
      <c r="C254" t="str">
        <f>'rockfish harvests'!C253</f>
        <v>EWYKT</v>
      </c>
      <c r="D254">
        <f>'rockfish harvests'!D253</f>
        <v>663</v>
      </c>
      <c r="E254">
        <v>116</v>
      </c>
      <c r="F254" t="s">
        <v>159</v>
      </c>
      <c r="G254" s="32">
        <v>0.19165747799999999</v>
      </c>
      <c r="H254" s="32">
        <v>1.9487E-3</v>
      </c>
      <c r="I254" s="13">
        <f t="shared" si="311"/>
        <v>22.232267447999998</v>
      </c>
      <c r="J254">
        <f t="shared" si="281"/>
        <v>26.221707200000001</v>
      </c>
      <c r="K254">
        <f t="shared" si="282"/>
        <v>5.120713544028801</v>
      </c>
      <c r="L254" s="6">
        <f t="shared" si="283"/>
        <v>10.03659854629645</v>
      </c>
      <c r="N254" s="2">
        <f>'rockfish harvests'!O253</f>
        <v>172.7554222329851</v>
      </c>
      <c r="O254">
        <f>'rockfish harvests'!P253</f>
        <v>6992.7196212962144</v>
      </c>
      <c r="P254" s="32">
        <v>1.5299544999999999E-2</v>
      </c>
      <c r="Q254" s="32">
        <v>2.3553699999999999E-4</v>
      </c>
      <c r="T254" s="13">
        <f t="shared" si="273"/>
        <v>2.6430793564475561</v>
      </c>
      <c r="U254" s="14">
        <f t="shared" si="246"/>
        <v>7.0192530776653035</v>
      </c>
      <c r="V254">
        <f t="shared" si="284"/>
        <v>2.6493873023145</v>
      </c>
      <c r="W254" s="6">
        <f t="shared" si="285"/>
        <v>5.1927991125364201</v>
      </c>
      <c r="Y254" s="13">
        <f t="shared" si="279"/>
        <v>24.875346804447553</v>
      </c>
      <c r="Z254">
        <f t="shared" si="280"/>
        <v>33.240960277665302</v>
      </c>
      <c r="AA254">
        <f t="shared" si="286"/>
        <v>5.7654974007162041</v>
      </c>
      <c r="AB254" s="6">
        <f t="shared" si="287"/>
        <v>11.300374905403761</v>
      </c>
      <c r="AC254" s="14">
        <f t="shared" ref="AC254:AC328" si="312">AA254/Y254</f>
        <v>0.23177555858981513</v>
      </c>
    </row>
    <row r="255" spans="1:29" hidden="1" x14ac:dyDescent="0.25">
      <c r="A255" t="str">
        <f>'rockfish harvests'!A254</f>
        <v>SE</v>
      </c>
      <c r="B255">
        <f>'rockfish harvests'!B254</f>
        <v>2000</v>
      </c>
      <c r="C255" t="str">
        <f>'rockfish harvests'!C254</f>
        <v>EWYKT</v>
      </c>
      <c r="D255">
        <f>'rockfish harvests'!D254</f>
        <v>1199</v>
      </c>
      <c r="E255">
        <v>142</v>
      </c>
      <c r="F255" t="s">
        <v>159</v>
      </c>
      <c r="G255" s="32">
        <v>0.19165747799999999</v>
      </c>
      <c r="H255" s="32">
        <v>1.9487E-3</v>
      </c>
      <c r="I255" s="13">
        <f t="shared" si="311"/>
        <v>27.215361875999999</v>
      </c>
      <c r="J255">
        <f t="shared" si="281"/>
        <v>39.2935868</v>
      </c>
      <c r="K255">
        <f t="shared" si="282"/>
        <v>6.26845968320767</v>
      </c>
      <c r="L255" s="6">
        <f t="shared" si="283"/>
        <v>12.286180979087034</v>
      </c>
      <c r="N255" s="2">
        <f>'rockfish harvests'!O254</f>
        <v>312.41893100655966</v>
      </c>
      <c r="O255">
        <f>'rockfish harvests'!P254</f>
        <v>22869.539754384543</v>
      </c>
      <c r="P255" s="32">
        <v>1.5299544999999999E-2</v>
      </c>
      <c r="Q255" s="32">
        <v>2.3553699999999999E-4</v>
      </c>
      <c r="T255" s="13">
        <f t="shared" si="273"/>
        <v>4.7798674937867549</v>
      </c>
      <c r="U255" s="14">
        <f t="shared" si="246"/>
        <v>22.956316855157453</v>
      </c>
      <c r="V255">
        <f t="shared" si="284"/>
        <v>4.7912750761313481</v>
      </c>
      <c r="W255" s="6">
        <f t="shared" si="285"/>
        <v>9.3908991492174412</v>
      </c>
      <c r="Y255" s="13">
        <f t="shared" si="279"/>
        <v>31.995229369786756</v>
      </c>
      <c r="Z255">
        <f t="shared" si="280"/>
        <v>62.249903655157453</v>
      </c>
      <c r="AA255">
        <f t="shared" si="286"/>
        <v>7.8898608134210741</v>
      </c>
      <c r="AB255" s="6">
        <f t="shared" si="287"/>
        <v>15.464127194305306</v>
      </c>
      <c r="AC255" s="14">
        <f t="shared" si="312"/>
        <v>0.24659491333015748</v>
      </c>
    </row>
    <row r="256" spans="1:29" hidden="1" x14ac:dyDescent="0.25">
      <c r="A256" t="str">
        <f>'rockfish harvests'!A255</f>
        <v>SE</v>
      </c>
      <c r="B256">
        <f>'rockfish harvests'!B255</f>
        <v>2001</v>
      </c>
      <c r="C256" t="str">
        <f>'rockfish harvests'!C255</f>
        <v>EWYKT</v>
      </c>
      <c r="D256">
        <f>'rockfish harvests'!D255</f>
        <v>1043</v>
      </c>
      <c r="E256">
        <v>152</v>
      </c>
      <c r="F256" t="s">
        <v>159</v>
      </c>
      <c r="G256" s="32">
        <v>0.19165747799999999</v>
      </c>
      <c r="H256" s="32">
        <v>1.9487E-3</v>
      </c>
      <c r="I256" s="13">
        <f t="shared" si="311"/>
        <v>29.131936656000001</v>
      </c>
      <c r="J256">
        <f t="shared" si="281"/>
        <v>45.022764800000004</v>
      </c>
      <c r="K256">
        <f t="shared" si="282"/>
        <v>6.7099005059687737</v>
      </c>
      <c r="L256" s="6">
        <f t="shared" si="283"/>
        <v>13.151404991698797</v>
      </c>
      <c r="N256" s="2">
        <f>'rockfish harvests'!O255</f>
        <v>271.77059636350441</v>
      </c>
      <c r="O256">
        <f>'rockfish harvests'!P255</f>
        <v>17305.640405277591</v>
      </c>
      <c r="P256" s="32">
        <v>1.5299544999999999E-2</v>
      </c>
      <c r="Q256" s="32">
        <v>2.3553699999999999E-4</v>
      </c>
      <c r="T256" s="13">
        <f t="shared" si="273"/>
        <v>4.1579664687402715</v>
      </c>
      <c r="U256" s="14">
        <f t="shared" si="246"/>
        <v>17.37130562274664</v>
      </c>
      <c r="V256">
        <f t="shared" si="284"/>
        <v>4.1678898285279375</v>
      </c>
      <c r="W256" s="6">
        <f t="shared" si="285"/>
        <v>8.1690640639147567</v>
      </c>
      <c r="Y256" s="13">
        <f t="shared" si="279"/>
        <v>33.28990312474027</v>
      </c>
      <c r="Z256">
        <f t="shared" si="280"/>
        <v>62.394070422746644</v>
      </c>
      <c r="AA256">
        <f t="shared" si="286"/>
        <v>7.8989917345662946</v>
      </c>
      <c r="AB256" s="6">
        <f t="shared" si="287"/>
        <v>15.482023799749937</v>
      </c>
      <c r="AC256" s="14">
        <f t="shared" si="312"/>
        <v>0.23727890420612099</v>
      </c>
    </row>
    <row r="257" spans="1:29" hidden="1" x14ac:dyDescent="0.25">
      <c r="A257" t="str">
        <f>'rockfish harvests'!A256</f>
        <v>SE</v>
      </c>
      <c r="B257">
        <f>'rockfish harvests'!B256</f>
        <v>2002</v>
      </c>
      <c r="C257" t="str">
        <f>'rockfish harvests'!C256</f>
        <v>EWYKT</v>
      </c>
      <c r="D257">
        <f>'rockfish harvests'!D256</f>
        <v>893</v>
      </c>
      <c r="E257">
        <v>102</v>
      </c>
      <c r="F257" t="s">
        <v>159</v>
      </c>
      <c r="G257" s="32">
        <v>0.19165747799999999</v>
      </c>
      <c r="H257" s="32">
        <v>1.9487E-3</v>
      </c>
      <c r="I257" s="13">
        <f t="shared" si="311"/>
        <v>19.549062755999998</v>
      </c>
      <c r="J257">
        <f t="shared" si="281"/>
        <v>20.274274800000001</v>
      </c>
      <c r="K257">
        <f t="shared" si="282"/>
        <v>4.5026963921632559</v>
      </c>
      <c r="L257" s="6">
        <f t="shared" si="283"/>
        <v>8.8252849286399808</v>
      </c>
      <c r="N257" s="2">
        <f>'rockfish harvests'!O256</f>
        <v>232.6856592067204</v>
      </c>
      <c r="O257">
        <f>'rockfish harvests'!P256</f>
        <v>12685.920229322461</v>
      </c>
      <c r="P257" s="32">
        <v>1.5299544999999999E-2</v>
      </c>
      <c r="Q257" s="32">
        <v>2.3553699999999999E-4</v>
      </c>
      <c r="T257" s="13">
        <f t="shared" si="273"/>
        <v>3.5599847138878831</v>
      </c>
      <c r="U257" s="14">
        <f t="shared" si="246"/>
        <v>12.734056194888886</v>
      </c>
      <c r="V257">
        <f t="shared" si="284"/>
        <v>3.5684809366015795</v>
      </c>
      <c r="W257" s="6">
        <f t="shared" si="285"/>
        <v>6.9942226357390958</v>
      </c>
      <c r="Y257" s="13">
        <f t="shared" si="279"/>
        <v>23.10904746988788</v>
      </c>
      <c r="Z257">
        <f t="shared" si="280"/>
        <v>33.008330994888887</v>
      </c>
      <c r="AA257">
        <f t="shared" si="286"/>
        <v>5.7452877208098885</v>
      </c>
      <c r="AB257" s="6">
        <f t="shared" si="287"/>
        <v>11.260763932787381</v>
      </c>
      <c r="AC257" s="14">
        <f t="shared" si="312"/>
        <v>0.24861637972297451</v>
      </c>
    </row>
    <row r="258" spans="1:29" hidden="1" x14ac:dyDescent="0.25">
      <c r="A258" t="str">
        <f>'rockfish harvests'!A257</f>
        <v>SE</v>
      </c>
      <c r="B258">
        <f>'rockfish harvests'!B257</f>
        <v>2003</v>
      </c>
      <c r="C258" t="str">
        <f>'rockfish harvests'!C257</f>
        <v>EWYKT</v>
      </c>
      <c r="D258">
        <f>'rockfish harvests'!D257</f>
        <v>1627</v>
      </c>
      <c r="E258">
        <v>443</v>
      </c>
      <c r="F258" t="s">
        <v>159</v>
      </c>
      <c r="G258" s="32">
        <v>0.19165747799999999</v>
      </c>
      <c r="H258" s="32">
        <v>1.9487E-3</v>
      </c>
      <c r="I258" s="13">
        <f t="shared" si="311"/>
        <v>84.904262754000001</v>
      </c>
      <c r="J258">
        <f t="shared" si="281"/>
        <v>382.43042630000002</v>
      </c>
      <c r="K258">
        <f t="shared" si="282"/>
        <v>19.555828448316888</v>
      </c>
      <c r="L258" s="6">
        <f t="shared" si="283"/>
        <v>38.329423758701097</v>
      </c>
      <c r="N258" s="2">
        <f>'rockfish harvests'!O257</f>
        <v>423.94128502725016</v>
      </c>
      <c r="O258">
        <f>'rockfish harvests'!P257</f>
        <v>42110.865184765593</v>
      </c>
      <c r="P258" s="32">
        <v>1.5299544999999999E-2</v>
      </c>
      <c r="Q258" s="32">
        <v>2.3553699999999999E-4</v>
      </c>
      <c r="T258" s="13">
        <f t="shared" si="273"/>
        <v>6.4861087676322402</v>
      </c>
      <c r="U258" s="14">
        <f t="shared" si="246"/>
        <v>42.270652344062228</v>
      </c>
      <c r="V258">
        <f t="shared" si="284"/>
        <v>6.5015884477612262</v>
      </c>
      <c r="W258" s="6">
        <f t="shared" si="285"/>
        <v>12.743113357612003</v>
      </c>
      <c r="Y258" s="13">
        <f t="shared" si="279"/>
        <v>91.390371521632247</v>
      </c>
      <c r="Z258">
        <f t="shared" si="280"/>
        <v>424.70107864406225</v>
      </c>
      <c r="AA258">
        <f t="shared" si="286"/>
        <v>20.608276945054438</v>
      </c>
      <c r="AB258" s="6">
        <f t="shared" si="287"/>
        <v>40.392222812306699</v>
      </c>
      <c r="AC258" s="14">
        <f t="shared" si="312"/>
        <v>0.22549724442444602</v>
      </c>
    </row>
    <row r="259" spans="1:29" hidden="1" x14ac:dyDescent="0.25">
      <c r="A259" t="str">
        <f>'rockfish harvests'!A258</f>
        <v>SE</v>
      </c>
      <c r="B259">
        <f>'rockfish harvests'!B258</f>
        <v>2004</v>
      </c>
      <c r="C259" t="str">
        <f>'rockfish harvests'!C258</f>
        <v>EWYKT</v>
      </c>
      <c r="D259">
        <f>'rockfish harvests'!D258</f>
        <v>1501</v>
      </c>
      <c r="E259">
        <v>378</v>
      </c>
      <c r="F259" t="s">
        <v>159</v>
      </c>
      <c r="G259" s="32">
        <v>0.19165747799999999</v>
      </c>
      <c r="H259" s="32">
        <v>1.9487E-3</v>
      </c>
      <c r="I259" s="13">
        <f t="shared" si="311"/>
        <v>72.446526683999991</v>
      </c>
      <c r="J259">
        <f t="shared" si="281"/>
        <v>278.43805079999998</v>
      </c>
      <c r="K259">
        <f t="shared" si="282"/>
        <v>16.686463100369711</v>
      </c>
      <c r="L259" s="6">
        <f t="shared" si="283"/>
        <v>32.705467676724631</v>
      </c>
      <c r="N259" s="2">
        <f>'rockfish harvests'!O258</f>
        <v>391.10993781555135</v>
      </c>
      <c r="O259">
        <f>'rockfish harvests'!P258</f>
        <v>35841.026777365994</v>
      </c>
      <c r="P259" s="32">
        <v>1.5299544999999999E-2</v>
      </c>
      <c r="Q259" s="32">
        <v>2.3553699999999999E-4</v>
      </c>
      <c r="T259" s="13">
        <f t="shared" si="273"/>
        <v>5.9838040935562296</v>
      </c>
      <c r="U259" s="14">
        <f t="shared" si="246"/>
        <v>35.977023409824149</v>
      </c>
      <c r="V259">
        <f t="shared" si="284"/>
        <v>5.9980849785430808</v>
      </c>
      <c r="W259" s="6">
        <f t="shared" si="285"/>
        <v>11.756246557944438</v>
      </c>
      <c r="Y259" s="13">
        <f t="shared" si="279"/>
        <v>78.430330777556222</v>
      </c>
      <c r="Z259">
        <f t="shared" si="280"/>
        <v>314.41507420982413</v>
      </c>
      <c r="AA259">
        <f t="shared" si="286"/>
        <v>17.731753275122685</v>
      </c>
      <c r="AB259" s="6">
        <f t="shared" si="287"/>
        <v>34.754236419240463</v>
      </c>
      <c r="AC259" s="14">
        <f t="shared" si="312"/>
        <v>0.22608285722284419</v>
      </c>
    </row>
    <row r="260" spans="1:29" hidden="1" x14ac:dyDescent="0.25">
      <c r="A260" t="str">
        <f>'rockfish harvests'!A259</f>
        <v>SE</v>
      </c>
      <c r="B260">
        <f>'rockfish harvests'!B259</f>
        <v>2005</v>
      </c>
      <c r="C260" t="str">
        <f>'rockfish harvests'!C259</f>
        <v>EWYKT</v>
      </c>
      <c r="D260">
        <f>'rockfish harvests'!D259</f>
        <v>1676</v>
      </c>
      <c r="E260">
        <v>284</v>
      </c>
      <c r="F260" t="s">
        <v>159</v>
      </c>
      <c r="G260" s="32">
        <v>0.19165747799999999</v>
      </c>
      <c r="H260" s="32">
        <v>1.9487E-3</v>
      </c>
      <c r="I260" s="13">
        <f t="shared" si="311"/>
        <v>54.430723751999999</v>
      </c>
      <c r="J260">
        <f t="shared" si="281"/>
        <v>157.1743472</v>
      </c>
      <c r="K260">
        <f t="shared" si="282"/>
        <v>12.53691936641534</v>
      </c>
      <c r="L260" s="6">
        <f t="shared" si="283"/>
        <v>24.572361958174067</v>
      </c>
      <c r="N260" s="2">
        <f>'rockfish harvests'!O259</f>
        <v>436.70903116513273</v>
      </c>
      <c r="O260">
        <f>'rockfish harvests'!P259</f>
        <v>44685.54786836687</v>
      </c>
      <c r="P260" s="32">
        <v>1.5299544999999999E-2</v>
      </c>
      <c r="Q260" s="32">
        <v>2.3553699999999999E-4</v>
      </c>
      <c r="T260" s="13">
        <f t="shared" si="273"/>
        <v>6.6814494742173505</v>
      </c>
      <c r="U260" s="14">
        <f t="shared" si="246"/>
        <v>44.855104507114852</v>
      </c>
      <c r="V260">
        <f t="shared" si="284"/>
        <v>6.6973953524571668</v>
      </c>
      <c r="W260" s="6">
        <f t="shared" si="285"/>
        <v>13.126894890816047</v>
      </c>
      <c r="Y260" s="13">
        <f t="shared" si="279"/>
        <v>61.112173226217351</v>
      </c>
      <c r="Z260">
        <f t="shared" si="280"/>
        <v>202.02945170711484</v>
      </c>
      <c r="AA260">
        <f t="shared" si="286"/>
        <v>14.213706473229101</v>
      </c>
      <c r="AB260" s="6">
        <f t="shared" si="287"/>
        <v>27.858864687529035</v>
      </c>
      <c r="AC260" s="14">
        <f t="shared" si="312"/>
        <v>0.23258388178431474</v>
      </c>
    </row>
    <row r="261" spans="1:29" hidden="1" x14ac:dyDescent="0.25">
      <c r="A261" t="str">
        <f>'rockfish harvests'!A260</f>
        <v>SE</v>
      </c>
      <c r="B261">
        <f>'rockfish harvests'!B260</f>
        <v>2006</v>
      </c>
      <c r="C261" t="str">
        <f>'rockfish harvests'!C260</f>
        <v>EWYKT</v>
      </c>
      <c r="D261">
        <f>'rockfish harvests'!D260</f>
        <v>2529</v>
      </c>
      <c r="E261">
        <v>440</v>
      </c>
      <c r="F261">
        <v>167</v>
      </c>
      <c r="I261" s="13">
        <f>F261</f>
        <v>167</v>
      </c>
      <c r="J261">
        <f t="shared" si="281"/>
        <v>0</v>
      </c>
      <c r="K261">
        <f t="shared" si="282"/>
        <v>0</v>
      </c>
      <c r="L261" s="6">
        <f t="shared" si="283"/>
        <v>0</v>
      </c>
      <c r="N261" s="2">
        <f>'rockfish harvests'!O260</f>
        <v>658.97204046337765</v>
      </c>
      <c r="O261">
        <f>'rockfish harvests'!P260</f>
        <v>101745.85299552699</v>
      </c>
      <c r="P261">
        <f>IF([2]species_comp_Region1_forR!$D340&gt;49,[2]species_comp_Region1_forR!$J340,[2]species_comp_Region1_forR!$L340)</f>
        <v>0</v>
      </c>
      <c r="Q261">
        <f>IF([2]species_comp_Region1_forR!$D340&gt;49,[2]species_comp_Region1_forR!$K340,[2]species_comp_Region1_forR!$M340)</f>
        <v>0</v>
      </c>
      <c r="T261" s="13">
        <f t="shared" si="273"/>
        <v>0</v>
      </c>
      <c r="U261" s="14">
        <f t="shared" si="246"/>
        <v>0</v>
      </c>
      <c r="V261">
        <f t="shared" si="284"/>
        <v>0</v>
      </c>
      <c r="W261" s="6">
        <f t="shared" si="285"/>
        <v>0</v>
      </c>
      <c r="Y261" s="13">
        <f t="shared" si="279"/>
        <v>167</v>
      </c>
      <c r="Z261">
        <f t="shared" si="280"/>
        <v>0</v>
      </c>
      <c r="AA261">
        <f t="shared" si="286"/>
        <v>0</v>
      </c>
      <c r="AB261" s="6">
        <f t="shared" si="287"/>
        <v>0</v>
      </c>
      <c r="AC261" s="14">
        <f t="shared" si="312"/>
        <v>0</v>
      </c>
    </row>
    <row r="262" spans="1:29" hidden="1" x14ac:dyDescent="0.25">
      <c r="A262" t="str">
        <f>'rockfish harvests'!A261</f>
        <v>SE</v>
      </c>
      <c r="B262">
        <f>'rockfish harvests'!B261</f>
        <v>2007</v>
      </c>
      <c r="C262" t="str">
        <f>'rockfish harvests'!C261</f>
        <v>EWYKT</v>
      </c>
      <c r="D262">
        <f>'rockfish harvests'!D261</f>
        <v>2290</v>
      </c>
      <c r="E262">
        <v>334</v>
      </c>
      <c r="F262">
        <v>108</v>
      </c>
      <c r="I262" s="13">
        <f t="shared" ref="I262:I274" si="313">F262</f>
        <v>108</v>
      </c>
      <c r="J262">
        <f t="shared" si="281"/>
        <v>0</v>
      </c>
      <c r="K262">
        <f t="shared" si="282"/>
        <v>0</v>
      </c>
      <c r="L262" s="6">
        <f t="shared" si="283"/>
        <v>0</v>
      </c>
      <c r="N262" s="2">
        <f>'rockfish harvests'!O261</f>
        <v>596.69670726023514</v>
      </c>
      <c r="O262">
        <f>'rockfish harvests'!P261</f>
        <v>83423.810519029968</v>
      </c>
      <c r="P262">
        <f>IF([2]species_comp_Region1_forR!$D341&gt;49,[2]species_comp_Region1_forR!$J341,[2]species_comp_Region1_forR!$L341)</f>
        <v>6.3694270000000004E-3</v>
      </c>
      <c r="Q262">
        <f>IF([2]species_comp_Region1_forR!$D341&gt;49,[2]species_comp_Region1_forR!$K341,[2]species_comp_Region1_forR!$M341)</f>
        <v>4.0569599999999999E-5</v>
      </c>
      <c r="T262" s="13">
        <f t="shared" si="273"/>
        <v>3.800616118034438</v>
      </c>
      <c r="U262" s="14">
        <f t="shared" si="246"/>
        <v>14.444682792605535</v>
      </c>
      <c r="V262">
        <f t="shared" si="284"/>
        <v>3.8006161069760172</v>
      </c>
      <c r="W262" s="6">
        <f t="shared" si="285"/>
        <v>7.4492075696729936</v>
      </c>
      <c r="Y262" s="13">
        <f t="shared" si="279"/>
        <v>111.80061611803444</v>
      </c>
      <c r="Z262">
        <f t="shared" si="280"/>
        <v>14.444682792605535</v>
      </c>
      <c r="AA262">
        <f t="shared" si="286"/>
        <v>3.8006161069760172</v>
      </c>
      <c r="AB262" s="6">
        <f t="shared" si="287"/>
        <v>7.4492075696729936</v>
      </c>
      <c r="AC262" s="14">
        <f t="shared" si="312"/>
        <v>3.399459000264797E-2</v>
      </c>
    </row>
    <row r="263" spans="1:29" hidden="1" x14ac:dyDescent="0.25">
      <c r="A263" t="str">
        <f>'rockfish harvests'!A262</f>
        <v>SE</v>
      </c>
      <c r="B263">
        <f>'rockfish harvests'!B262</f>
        <v>2008</v>
      </c>
      <c r="C263" t="str">
        <f>'rockfish harvests'!C262</f>
        <v>EWYKT</v>
      </c>
      <c r="D263">
        <f>'rockfish harvests'!D262</f>
        <v>2857</v>
      </c>
      <c r="E263">
        <v>401</v>
      </c>
      <c r="F263">
        <v>161</v>
      </c>
      <c r="I263" s="13">
        <f t="shared" si="313"/>
        <v>161</v>
      </c>
      <c r="J263">
        <f t="shared" si="281"/>
        <v>0</v>
      </c>
      <c r="K263">
        <f t="shared" si="282"/>
        <v>0</v>
      </c>
      <c r="L263" s="6">
        <f t="shared" si="283"/>
        <v>0</v>
      </c>
      <c r="N263" s="2">
        <f>'rockfish harvests'!O262</f>
        <v>744.43776971287843</v>
      </c>
      <c r="O263">
        <f>'rockfish harvests'!P262</f>
        <v>129849.277997606</v>
      </c>
      <c r="P263">
        <f>IF([2]species_comp_Region1_forR!$D342&gt;49,[2]species_comp_Region1_forR!$J342,[2]species_comp_Region1_forR!$L342)</f>
        <v>4.4776119000000003E-2</v>
      </c>
      <c r="Q263">
        <f>IF([2]species_comp_Region1_forR!$D342&gt;49,[2]species_comp_Region1_forR!$K342,[2]species_comp_Region1_forR!$M342)</f>
        <v>6.4804900000000004E-4</v>
      </c>
      <c r="T263" s="13">
        <f t="shared" si="273"/>
        <v>33.333034164758445</v>
      </c>
      <c r="U263" s="14">
        <f t="shared" si="246"/>
        <v>535.32694626601472</v>
      </c>
      <c r="V263">
        <f t="shared" si="284"/>
        <v>23.137133492851156</v>
      </c>
      <c r="W263" s="6">
        <f t="shared" si="285"/>
        <v>45.348781645988268</v>
      </c>
      <c r="Y263" s="13">
        <f t="shared" si="279"/>
        <v>194.33303416475843</v>
      </c>
      <c r="Z263">
        <f t="shared" si="280"/>
        <v>535.32694626601472</v>
      </c>
      <c r="AA263">
        <f t="shared" si="286"/>
        <v>23.137133492851156</v>
      </c>
      <c r="AB263" s="6">
        <f t="shared" si="287"/>
        <v>45.348781645988268</v>
      </c>
      <c r="AC263" s="14">
        <f t="shared" si="312"/>
        <v>0.11905918925361475</v>
      </c>
    </row>
    <row r="264" spans="1:29" hidden="1" x14ac:dyDescent="0.25">
      <c r="A264" t="str">
        <f>'rockfish harvests'!A263</f>
        <v>SE</v>
      </c>
      <c r="B264">
        <f>'rockfish harvests'!B263</f>
        <v>2009</v>
      </c>
      <c r="C264" t="str">
        <f>'rockfish harvests'!C263</f>
        <v>EWYKT</v>
      </c>
      <c r="D264">
        <f>'rockfish harvests'!D263</f>
        <v>2494</v>
      </c>
      <c r="E264">
        <v>301</v>
      </c>
      <c r="F264">
        <v>79</v>
      </c>
      <c r="I264" s="13">
        <f t="shared" si="313"/>
        <v>79</v>
      </c>
      <c r="J264">
        <f t="shared" si="281"/>
        <v>0</v>
      </c>
      <c r="K264">
        <f t="shared" si="282"/>
        <v>0</v>
      </c>
      <c r="L264" s="6">
        <f t="shared" si="283"/>
        <v>0</v>
      </c>
      <c r="N264" s="2">
        <f>'rockfish harvests'!O263</f>
        <v>649.85222179346101</v>
      </c>
      <c r="O264">
        <f>'rockfish harvests'!P263</f>
        <v>98949.124670686113</v>
      </c>
      <c r="P264">
        <f>IF([2]species_comp_Region1_forR!$D343&gt;49,[2]species_comp_Region1_forR!$J343,[2]species_comp_Region1_forR!$L343)</f>
        <v>1.5625E-2</v>
      </c>
      <c r="Q264">
        <f>IF([2]species_comp_Region1_forR!$D343&gt;49,[2]species_comp_Region1_forR!$K343,[2]species_comp_Region1_forR!$M343)</f>
        <v>8.0528100000000006E-5</v>
      </c>
      <c r="T264" s="13">
        <f t="shared" ref="T264:T278" si="314">N264*P264</f>
        <v>10.153940965522828</v>
      </c>
      <c r="U264" s="14">
        <f t="shared" si="246"/>
        <v>50.196969754863289</v>
      </c>
      <c r="V264">
        <f t="shared" si="284"/>
        <v>7.0849819869117017</v>
      </c>
      <c r="W264" s="6">
        <f t="shared" si="285"/>
        <v>13.886564694346935</v>
      </c>
      <c r="Y264" s="13">
        <f t="shared" si="279"/>
        <v>89.153940965522821</v>
      </c>
      <c r="Z264">
        <f t="shared" si="280"/>
        <v>50.196969754863289</v>
      </c>
      <c r="AA264">
        <f t="shared" si="286"/>
        <v>7.0849819869117017</v>
      </c>
      <c r="AB264" s="6">
        <f t="shared" si="287"/>
        <v>13.886564694346935</v>
      </c>
      <c r="AC264" s="14">
        <f t="shared" si="312"/>
        <v>7.9469083589379083E-2</v>
      </c>
    </row>
    <row r="265" spans="1:29" hidden="1" x14ac:dyDescent="0.25">
      <c r="A265" t="str">
        <f>'rockfish harvests'!A264</f>
        <v>SE</v>
      </c>
      <c r="B265">
        <f>'rockfish harvests'!B264</f>
        <v>2010</v>
      </c>
      <c r="C265" t="str">
        <f>'rockfish harvests'!C264</f>
        <v>EWYKT</v>
      </c>
      <c r="D265">
        <f>'rockfish harvests'!D264</f>
        <v>2435</v>
      </c>
      <c r="E265">
        <v>503</v>
      </c>
      <c r="F265">
        <v>119</v>
      </c>
      <c r="I265" s="13">
        <f t="shared" si="313"/>
        <v>119</v>
      </c>
      <c r="J265">
        <f t="shared" si="281"/>
        <v>0</v>
      </c>
      <c r="K265">
        <f t="shared" si="282"/>
        <v>0</v>
      </c>
      <c r="L265" s="6">
        <f t="shared" si="283"/>
        <v>0</v>
      </c>
      <c r="N265" s="2">
        <f>'rockfish harvests'!O264</f>
        <v>634.4788131784594</v>
      </c>
      <c r="O265">
        <f>'rockfish harvests'!P264</f>
        <v>94322.866254399312</v>
      </c>
      <c r="P265">
        <f>IF([2]species_comp_Region1_forR!$D344&gt;49,[2]species_comp_Region1_forR!$J344,[2]species_comp_Region1_forR!$L344)</f>
        <v>1.4925373E-2</v>
      </c>
      <c r="Q265">
        <f>IF([2]species_comp_Region1_forR!$D344&gt;49,[2]species_comp_Region1_forR!$K344,[2]species_comp_Region1_forR!$M344)</f>
        <v>7.3512999999999999E-5</v>
      </c>
      <c r="T265" s="13">
        <f t="shared" si="314"/>
        <v>9.4698329472858216</v>
      </c>
      <c r="U265" s="14">
        <f t="shared" si="246"/>
        <v>43.671682971066836</v>
      </c>
      <c r="V265">
        <f t="shared" si="284"/>
        <v>6.6084554149261558</v>
      </c>
      <c r="W265" s="6">
        <f t="shared" si="285"/>
        <v>12.952572613255265</v>
      </c>
      <c r="Y265" s="13">
        <f t="shared" si="279"/>
        <v>128.46983294728582</v>
      </c>
      <c r="Z265">
        <f t="shared" si="280"/>
        <v>43.671682971066836</v>
      </c>
      <c r="AA265">
        <f t="shared" si="286"/>
        <v>6.6084554149261558</v>
      </c>
      <c r="AB265" s="6">
        <f t="shared" si="287"/>
        <v>12.952572613255265</v>
      </c>
      <c r="AC265" s="14">
        <f t="shared" si="312"/>
        <v>5.1439744750331855E-2</v>
      </c>
    </row>
    <row r="266" spans="1:29" hidden="1" x14ac:dyDescent="0.25">
      <c r="A266" t="str">
        <f>'rockfish harvests'!A265</f>
        <v>SE</v>
      </c>
      <c r="B266">
        <f>'rockfish harvests'!B265</f>
        <v>2011</v>
      </c>
      <c r="C266" t="str">
        <f>'rockfish harvests'!C265</f>
        <v>EWYKT</v>
      </c>
      <c r="D266">
        <f>'rockfish harvests'!D265</f>
        <v>2848</v>
      </c>
      <c r="E266">
        <v>485</v>
      </c>
      <c r="F266">
        <v>111</v>
      </c>
      <c r="I266" s="13">
        <f t="shared" si="313"/>
        <v>111</v>
      </c>
      <c r="J266">
        <f t="shared" si="281"/>
        <v>0</v>
      </c>
      <c r="K266">
        <f t="shared" si="282"/>
        <v>0</v>
      </c>
      <c r="L266" s="6">
        <f t="shared" si="283"/>
        <v>0</v>
      </c>
      <c r="N266" s="2">
        <f>'rockfish harvests'!O265</f>
        <v>1436.4366812227072</v>
      </c>
      <c r="O266">
        <f>'rockfish harvests'!P265</f>
        <v>404683.38862902793</v>
      </c>
      <c r="P266">
        <f>IF([2]species_comp_Region1_forR!$D345&gt;49,[2]species_comp_Region1_forR!$J345,[2]species_comp_Region1_forR!$L345)</f>
        <v>1.8115941999999999E-2</v>
      </c>
      <c r="Q266">
        <f>IF([2]species_comp_Region1_forR!$D345&gt;49,[2]species_comp_Region1_forR!$K345,[2]species_comp_Region1_forR!$M345)</f>
        <v>6.4682699999999997E-5</v>
      </c>
      <c r="T266" s="13">
        <f t="shared" si="314"/>
        <v>26.022403603703051</v>
      </c>
      <c r="U266" s="14">
        <f t="shared" si="246"/>
        <v>240.09902750466935</v>
      </c>
      <c r="V266">
        <f t="shared" si="284"/>
        <v>15.495129154178398</v>
      </c>
      <c r="W266" s="6">
        <f t="shared" si="285"/>
        <v>30.37045314218966</v>
      </c>
      <c r="Y266" s="13">
        <f t="shared" si="279"/>
        <v>137.02240360370305</v>
      </c>
      <c r="Z266">
        <f t="shared" si="280"/>
        <v>240.09902750466935</v>
      </c>
      <c r="AA266">
        <f t="shared" si="286"/>
        <v>15.495129154178398</v>
      </c>
      <c r="AB266" s="6">
        <f t="shared" si="287"/>
        <v>30.37045314218966</v>
      </c>
      <c r="AC266" s="14">
        <f t="shared" si="312"/>
        <v>0.11308463978630455</v>
      </c>
    </row>
    <row r="267" spans="1:29" hidden="1" x14ac:dyDescent="0.25">
      <c r="A267" t="str">
        <f>'rockfish harvests'!A266</f>
        <v>SE</v>
      </c>
      <c r="B267">
        <f>'rockfish harvests'!B266</f>
        <v>2012</v>
      </c>
      <c r="C267" t="str">
        <f>'rockfish harvests'!C266</f>
        <v>EWYKT</v>
      </c>
      <c r="D267">
        <f>'rockfish harvests'!D266</f>
        <v>3241</v>
      </c>
      <c r="E267">
        <v>514</v>
      </c>
      <c r="F267">
        <v>147</v>
      </c>
      <c r="I267" s="13">
        <f t="shared" si="313"/>
        <v>147</v>
      </c>
      <c r="J267">
        <f t="shared" si="281"/>
        <v>0</v>
      </c>
      <c r="K267">
        <f t="shared" si="282"/>
        <v>0</v>
      </c>
      <c r="L267" s="6">
        <f t="shared" si="283"/>
        <v>0</v>
      </c>
      <c r="N267" s="2">
        <f>'rockfish harvests'!O266</f>
        <v>535.14427701186287</v>
      </c>
      <c r="O267">
        <f>'rockfish harvests'!P266</f>
        <v>48300.340637739224</v>
      </c>
      <c r="P267">
        <f>IF([2]species_comp_Region1_forR!$D346&gt;49,[2]species_comp_Region1_forR!$J346,[2]species_comp_Region1_forR!$L346)</f>
        <v>2.2222222E-2</v>
      </c>
      <c r="Q267">
        <f>IF([2]species_comp_Region1_forR!$D346&gt;49,[2]species_comp_Region1_forR!$K346,[2]species_comp_Region1_forR!$M346)</f>
        <v>1.6215199999999999E-4</v>
      </c>
      <c r="T267" s="13">
        <f t="shared" si="314"/>
        <v>11.892094925787113</v>
      </c>
      <c r="U267" s="14">
        <f t="shared" si="246"/>
        <v>62.457014773670508</v>
      </c>
      <c r="V267">
        <f t="shared" si="284"/>
        <v>7.90297505839861</v>
      </c>
      <c r="W267" s="6">
        <f t="shared" si="285"/>
        <v>15.489831114461275</v>
      </c>
      <c r="Y267" s="13">
        <f t="shared" si="279"/>
        <v>158.89209492578712</v>
      </c>
      <c r="Z267">
        <f t="shared" si="280"/>
        <v>62.457014773670508</v>
      </c>
      <c r="AA267">
        <f t="shared" si="286"/>
        <v>7.90297505839861</v>
      </c>
      <c r="AB267" s="6">
        <f t="shared" si="287"/>
        <v>15.489831114461275</v>
      </c>
      <c r="AC267" s="14">
        <f t="shared" si="312"/>
        <v>4.9738000257909684E-2</v>
      </c>
    </row>
    <row r="268" spans="1:29" hidden="1" x14ac:dyDescent="0.25">
      <c r="A268" t="str">
        <f>'rockfish harvests'!A267</f>
        <v>SE</v>
      </c>
      <c r="B268">
        <f>'rockfish harvests'!B267</f>
        <v>2013</v>
      </c>
      <c r="C268" t="str">
        <f>'rockfish harvests'!C267</f>
        <v>EWYKT</v>
      </c>
      <c r="D268">
        <f>'rockfish harvests'!D267</f>
        <v>3884</v>
      </c>
      <c r="E268">
        <v>452</v>
      </c>
      <c r="F268">
        <v>56</v>
      </c>
      <c r="I268" s="13">
        <f t="shared" si="313"/>
        <v>56</v>
      </c>
      <c r="J268">
        <f t="shared" si="281"/>
        <v>0</v>
      </c>
      <c r="K268">
        <f t="shared" si="282"/>
        <v>0</v>
      </c>
      <c r="L268" s="6">
        <f t="shared" si="283"/>
        <v>0</v>
      </c>
      <c r="N268" s="2">
        <f>'rockfish harvests'!O267</f>
        <v>591.36648814078035</v>
      </c>
      <c r="O268">
        <f>'rockfish harvests'!P267</f>
        <v>87012.297802534755</v>
      </c>
      <c r="P268" s="32">
        <v>1.5299544999999999E-2</v>
      </c>
      <c r="Q268" s="32">
        <v>2.3553699999999999E-4</v>
      </c>
      <c r="T268" s="13">
        <f t="shared" si="314"/>
        <v>9.0476381968018345</v>
      </c>
      <c r="U268" s="14">
        <f t="shared" si="246"/>
        <v>82.243544317031592</v>
      </c>
      <c r="V268">
        <f t="shared" si="284"/>
        <v>9.0688226533013427</v>
      </c>
      <c r="W268" s="6">
        <f t="shared" si="285"/>
        <v>17.77489240047063</v>
      </c>
      <c r="Y268" s="13">
        <f t="shared" si="279"/>
        <v>65.047638196801842</v>
      </c>
      <c r="Z268">
        <f t="shared" si="280"/>
        <v>82.243544317031592</v>
      </c>
      <c r="AA268">
        <f t="shared" si="286"/>
        <v>9.0688226533013427</v>
      </c>
      <c r="AB268" s="6">
        <f t="shared" si="287"/>
        <v>17.77489240047063</v>
      </c>
      <c r="AC268" s="14">
        <f t="shared" si="312"/>
        <v>0.13941816958616685</v>
      </c>
    </row>
    <row r="269" spans="1:29" hidden="1" x14ac:dyDescent="0.25">
      <c r="A269" t="str">
        <f>'rockfish harvests'!A268</f>
        <v>SE</v>
      </c>
      <c r="B269">
        <f>'rockfish harvests'!B268</f>
        <v>2014</v>
      </c>
      <c r="C269" t="str">
        <f>'rockfish harvests'!C268</f>
        <v>EWYKT</v>
      </c>
      <c r="D269">
        <f>'rockfish harvests'!D268</f>
        <v>4695</v>
      </c>
      <c r="E269">
        <v>675</v>
      </c>
      <c r="F269">
        <v>125</v>
      </c>
      <c r="I269" s="13">
        <f t="shared" si="313"/>
        <v>125</v>
      </c>
      <c r="J269">
        <f t="shared" si="281"/>
        <v>0</v>
      </c>
      <c r="K269">
        <f t="shared" si="282"/>
        <v>0</v>
      </c>
      <c r="L269" s="6">
        <f t="shared" si="283"/>
        <v>0</v>
      </c>
      <c r="N269" s="2">
        <f>'rockfish harvests'!O268</f>
        <v>1023.1397849462364</v>
      </c>
      <c r="O269">
        <f>'rockfish harvests'!P268</f>
        <v>234030.60206548884</v>
      </c>
      <c r="P269" s="32">
        <v>1.5299544999999999E-2</v>
      </c>
      <c r="Q269" s="32">
        <v>2.3553699999999999E-4</v>
      </c>
      <c r="T269" s="13">
        <f t="shared" si="314"/>
        <v>15.653573181075267</v>
      </c>
      <c r="U269" s="14">
        <f t="shared" si="246"/>
        <v>246.22176861654205</v>
      </c>
      <c r="V269">
        <f t="shared" si="284"/>
        <v>15.691455274019107</v>
      </c>
      <c r="W269" s="6">
        <f t="shared" si="285"/>
        <v>30.755252337077451</v>
      </c>
      <c r="Y269" s="13">
        <f t="shared" si="279"/>
        <v>140.65357318107527</v>
      </c>
      <c r="Z269">
        <f t="shared" si="280"/>
        <v>246.22176861654205</v>
      </c>
      <c r="AA269">
        <f t="shared" si="286"/>
        <v>15.691455274019107</v>
      </c>
      <c r="AB269" s="6">
        <f t="shared" si="287"/>
        <v>30.755252337077451</v>
      </c>
      <c r="AC269" s="14">
        <f t="shared" si="312"/>
        <v>0.1115610141934906</v>
      </c>
    </row>
    <row r="270" spans="1:29" hidden="1" x14ac:dyDescent="0.25">
      <c r="A270" t="str">
        <f>'rockfish harvests'!A269</f>
        <v>SE</v>
      </c>
      <c r="B270">
        <f>'rockfish harvests'!B269</f>
        <v>2015</v>
      </c>
      <c r="C270" t="str">
        <f>'rockfish harvests'!C269</f>
        <v>EWYKT</v>
      </c>
      <c r="D270">
        <f>'rockfish harvests'!D269</f>
        <v>5729</v>
      </c>
      <c r="E270">
        <v>1014</v>
      </c>
      <c r="F270">
        <v>215</v>
      </c>
      <c r="I270" s="13">
        <f t="shared" si="313"/>
        <v>215</v>
      </c>
      <c r="J270">
        <f t="shared" si="281"/>
        <v>0</v>
      </c>
      <c r="K270">
        <f t="shared" si="282"/>
        <v>0</v>
      </c>
      <c r="L270" s="6">
        <f t="shared" si="283"/>
        <v>0</v>
      </c>
      <c r="N270" s="2">
        <f>'rockfish harvests'!O269</f>
        <v>2397.5678935972783</v>
      </c>
      <c r="O270">
        <f>'rockfish harvests'!P269</f>
        <v>1115072.9274274483</v>
      </c>
      <c r="P270">
        <f>IF([2]species_comp_Region1_forR!$D349&gt;49,[2]species_comp_Region1_forR!$J349,[2]species_comp_Region1_forR!$L349)</f>
        <v>0</v>
      </c>
      <c r="Q270">
        <f>IF([2]species_comp_Region1_forR!$D349&gt;49,[2]species_comp_Region1_forR!$K349,[2]species_comp_Region1_forR!$M349)</f>
        <v>0</v>
      </c>
      <c r="T270" s="13">
        <f t="shared" si="314"/>
        <v>0</v>
      </c>
      <c r="U270" s="14">
        <f t="shared" si="246"/>
        <v>0</v>
      </c>
      <c r="V270">
        <f t="shared" si="284"/>
        <v>0</v>
      </c>
      <c r="W270" s="6">
        <f t="shared" si="285"/>
        <v>0</v>
      </c>
      <c r="Y270" s="13">
        <f t="shared" si="279"/>
        <v>215</v>
      </c>
      <c r="Z270">
        <f t="shared" si="280"/>
        <v>0</v>
      </c>
      <c r="AA270">
        <f t="shared" si="286"/>
        <v>0</v>
      </c>
      <c r="AB270" s="6">
        <f t="shared" si="287"/>
        <v>0</v>
      </c>
      <c r="AC270" s="14">
        <f t="shared" si="312"/>
        <v>0</v>
      </c>
    </row>
    <row r="271" spans="1:29" hidden="1" x14ac:dyDescent="0.25">
      <c r="A271" t="str">
        <f>'rockfish harvests'!A270</f>
        <v>SE</v>
      </c>
      <c r="B271">
        <f>'rockfish harvests'!B270</f>
        <v>2016</v>
      </c>
      <c r="C271" t="str">
        <f>'rockfish harvests'!C270</f>
        <v>EWYKT</v>
      </c>
      <c r="D271">
        <f>'rockfish harvests'!D270</f>
        <v>7499</v>
      </c>
      <c r="E271">
        <v>1262</v>
      </c>
      <c r="F271">
        <v>314</v>
      </c>
      <c r="I271" s="13">
        <f t="shared" si="313"/>
        <v>314</v>
      </c>
      <c r="J271">
        <f t="shared" si="281"/>
        <v>0</v>
      </c>
      <c r="K271">
        <f t="shared" si="282"/>
        <v>0</v>
      </c>
      <c r="L271" s="6">
        <f t="shared" si="283"/>
        <v>0</v>
      </c>
      <c r="N271" s="2">
        <f>'rockfish harvests'!O270</f>
        <v>2107.8674308497375</v>
      </c>
      <c r="O271">
        <f>'rockfish harvests'!P270</f>
        <v>521828.91183042602</v>
      </c>
      <c r="P271">
        <f>IF([2]species_comp_Region1_forR!$D350&gt;49,[2]species_comp_Region1_forR!$J350,[2]species_comp_Region1_forR!$L350)</f>
        <v>3.7499999999999999E-2</v>
      </c>
      <c r="Q271">
        <f>IF([2]species_comp_Region1_forR!$D350&gt;49,[2]species_comp_Region1_forR!$K350,[2]species_comp_Region1_forR!$M350)</f>
        <v>4.56883E-4</v>
      </c>
      <c r="T271" s="13">
        <f t="shared" si="314"/>
        <v>79.045028656865156</v>
      </c>
      <c r="U271" s="14">
        <f t="shared" si="246"/>
        <v>2525.3863386992521</v>
      </c>
      <c r="V271">
        <f t="shared" si="284"/>
        <v>50.253222172307041</v>
      </c>
      <c r="W271" s="6">
        <f t="shared" si="285"/>
        <v>98.496315457721792</v>
      </c>
      <c r="Y271" s="13">
        <f t="shared" si="279"/>
        <v>393.04502865686516</v>
      </c>
      <c r="Z271">
        <f t="shared" si="280"/>
        <v>2525.3863386992521</v>
      </c>
      <c r="AA271">
        <f t="shared" si="286"/>
        <v>50.253222172307041</v>
      </c>
      <c r="AB271" s="6">
        <f t="shared" si="287"/>
        <v>98.496315457721792</v>
      </c>
      <c r="AC271" s="14">
        <f t="shared" si="312"/>
        <v>0.12785614499192391</v>
      </c>
    </row>
    <row r="272" spans="1:29" hidden="1" x14ac:dyDescent="0.25">
      <c r="A272" t="str">
        <f>'rockfish harvests'!A271</f>
        <v>SE</v>
      </c>
      <c r="B272">
        <f>'rockfish harvests'!B271</f>
        <v>2017</v>
      </c>
      <c r="C272" t="str">
        <f>'rockfish harvests'!C271</f>
        <v>EWYKT</v>
      </c>
      <c r="D272">
        <f>'rockfish harvests'!D271</f>
        <v>6324</v>
      </c>
      <c r="E272">
        <v>797</v>
      </c>
      <c r="F272">
        <v>230</v>
      </c>
      <c r="I272" s="13">
        <f t="shared" si="313"/>
        <v>230</v>
      </c>
      <c r="J272">
        <f t="shared" si="281"/>
        <v>0</v>
      </c>
      <c r="K272">
        <f t="shared" si="282"/>
        <v>0</v>
      </c>
      <c r="L272" s="6">
        <f t="shared" si="283"/>
        <v>0</v>
      </c>
      <c r="N272" s="2">
        <f>'rockfish harvests'!O271</f>
        <v>1256.0488400488402</v>
      </c>
      <c r="O272">
        <f>'rockfish harvests'!P271</f>
        <v>191271.46761998921</v>
      </c>
      <c r="P272">
        <f>IF([2]species_comp_Region1_forR!$D351&gt;49,[2]species_comp_Region1_forR!$J351,[2]species_comp_Region1_forR!$L351)</f>
        <v>0</v>
      </c>
      <c r="Q272">
        <f>IF([2]species_comp_Region1_forR!$D351&gt;49,[2]species_comp_Region1_forR!$K351,[2]species_comp_Region1_forR!$M351)</f>
        <v>0</v>
      </c>
      <c r="T272" s="13">
        <f t="shared" si="314"/>
        <v>0</v>
      </c>
      <c r="U272" s="14">
        <f t="shared" si="246"/>
        <v>0</v>
      </c>
      <c r="V272">
        <f t="shared" si="284"/>
        <v>0</v>
      </c>
      <c r="W272" s="6">
        <f t="shared" si="285"/>
        <v>0</v>
      </c>
      <c r="Y272" s="13">
        <f t="shared" si="279"/>
        <v>230</v>
      </c>
      <c r="Z272">
        <f t="shared" si="280"/>
        <v>0</v>
      </c>
      <c r="AA272">
        <f t="shared" si="286"/>
        <v>0</v>
      </c>
      <c r="AB272" s="6">
        <f t="shared" si="287"/>
        <v>0</v>
      </c>
      <c r="AC272" s="14">
        <f t="shared" si="312"/>
        <v>0</v>
      </c>
    </row>
    <row r="273" spans="1:29" hidden="1" x14ac:dyDescent="0.25">
      <c r="A273" t="str">
        <f>'rockfish harvests'!A272</f>
        <v>SE</v>
      </c>
      <c r="B273">
        <f>'rockfish harvests'!B272</f>
        <v>2018</v>
      </c>
      <c r="C273" t="str">
        <f>'rockfish harvests'!C272</f>
        <v>EWYKT</v>
      </c>
      <c r="D273">
        <f>'rockfish harvests'!D272</f>
        <v>8659</v>
      </c>
      <c r="E273">
        <v>977</v>
      </c>
      <c r="F273">
        <v>286</v>
      </c>
      <c r="I273" s="13">
        <f t="shared" si="313"/>
        <v>286</v>
      </c>
      <c r="J273">
        <f t="shared" si="281"/>
        <v>0</v>
      </c>
      <c r="K273">
        <f t="shared" si="282"/>
        <v>0</v>
      </c>
      <c r="L273" s="6">
        <f t="shared" si="283"/>
        <v>0</v>
      </c>
      <c r="N273" s="2">
        <f>'rockfish harvests'!O272</f>
        <v>1971.3795063043872</v>
      </c>
      <c r="O273">
        <f>'rockfish harvests'!P272</f>
        <v>502872.73387700756</v>
      </c>
      <c r="P273">
        <f>IF([2]species_comp_Region1_forR!$D352&gt;49,[2]species_comp_Region1_forR!$J352,[2]species_comp_Region1_forR!$L352)</f>
        <v>2.0576132E-2</v>
      </c>
      <c r="Q273">
        <f>IF([2]species_comp_Region1_forR!$D352&gt;49,[2]species_comp_Region1_forR!$K352,[2]species_comp_Region1_forR!$M352)</f>
        <v>8.3275800000000007E-5</v>
      </c>
      <c r="T273" s="13">
        <f t="shared" si="314"/>
        <v>40.563364943813902</v>
      </c>
      <c r="U273" s="14">
        <f t="shared" si="246"/>
        <v>494.66556076925315</v>
      </c>
      <c r="V273">
        <f t="shared" si="284"/>
        <v>22.241078228567364</v>
      </c>
      <c r="W273" s="6">
        <f t="shared" si="285"/>
        <v>43.59251332799203</v>
      </c>
      <c r="Y273" s="13">
        <f t="shared" si="279"/>
        <v>326.56336494381389</v>
      </c>
      <c r="Z273">
        <f t="shared" si="280"/>
        <v>494.66556076925315</v>
      </c>
      <c r="AA273">
        <f t="shared" si="286"/>
        <v>22.241078228567364</v>
      </c>
      <c r="AB273" s="6">
        <f t="shared" si="287"/>
        <v>43.59251332799203</v>
      </c>
      <c r="AC273" s="14">
        <f t="shared" si="312"/>
        <v>6.8106470645885223E-2</v>
      </c>
    </row>
    <row r="274" spans="1:29" hidden="1" x14ac:dyDescent="0.25">
      <c r="A274" t="str">
        <f>'rockfish harvests'!A273</f>
        <v>SE</v>
      </c>
      <c r="B274">
        <f>'rockfish harvests'!B273</f>
        <v>2019</v>
      </c>
      <c r="C274" t="str">
        <f>'rockfish harvests'!C273</f>
        <v>EWYKT</v>
      </c>
      <c r="D274">
        <f>'rockfish harvests'!D273</f>
        <v>7908</v>
      </c>
      <c r="E274">
        <v>739</v>
      </c>
      <c r="F274">
        <v>154</v>
      </c>
      <c r="I274" s="13">
        <f t="shared" si="313"/>
        <v>154</v>
      </c>
      <c r="L274" s="6"/>
      <c r="N274" s="2">
        <f>'rockfish harvests'!O273</f>
        <v>3002.4944735311237</v>
      </c>
      <c r="O274">
        <f>'rockfish harvests'!P273</f>
        <v>1226769.4446075337</v>
      </c>
      <c r="P274">
        <v>2.2075055187637969E-3</v>
      </c>
      <c r="Q274">
        <v>4.8730806153726196E-6</v>
      </c>
      <c r="T274" s="13">
        <f>N274*P274</f>
        <v>6.6280231203777564</v>
      </c>
      <c r="U274" s="14">
        <f>(N274^2)*Q274+(P274^2)*O274-(Q274*O274)</f>
        <v>43.930690484262094</v>
      </c>
      <c r="V274">
        <f>SQRT(U274)</f>
        <v>6.6280231203777564</v>
      </c>
      <c r="W274" s="6">
        <f>(1.96*V274)</f>
        <v>12.990925315940402</v>
      </c>
      <c r="Y274" s="13">
        <f>T274+I274</f>
        <v>160.62802312037775</v>
      </c>
      <c r="Z274">
        <f>U274+J274</f>
        <v>43.930690484262094</v>
      </c>
      <c r="AA274">
        <f>SQRT(Z274)</f>
        <v>6.6280231203777564</v>
      </c>
      <c r="AB274" s="6">
        <f>(1.96*AA274)</f>
        <v>12.990925315940402</v>
      </c>
      <c r="AC274" s="14">
        <f t="shared" si="312"/>
        <v>4.1263180556051465E-2</v>
      </c>
    </row>
    <row r="275" spans="1:29" hidden="1" x14ac:dyDescent="0.25">
      <c r="A275" t="str">
        <f>'rockfish harvests'!A274</f>
        <v>SE</v>
      </c>
      <c r="B275">
        <f>'rockfish harvests'!B274</f>
        <v>2020</v>
      </c>
      <c r="C275" t="str">
        <f>'rockfish harvests'!C274</f>
        <v>EWYKT</v>
      </c>
      <c r="D275">
        <f>'rockfish harvests'!D274</f>
        <v>4059</v>
      </c>
      <c r="E275">
        <v>76</v>
      </c>
      <c r="F275">
        <v>0</v>
      </c>
      <c r="I275" s="13">
        <f t="shared" ref="I275:I277" si="315">F275</f>
        <v>0</v>
      </c>
      <c r="J275">
        <f t="shared" ref="J275:J277" si="316">(E275^2)*H275</f>
        <v>0</v>
      </c>
      <c r="K275">
        <f t="shared" ref="K275:K277" si="317">SQRT(J275)</f>
        <v>0</v>
      </c>
      <c r="L275" s="6">
        <f t="shared" ref="L275:L277" si="318">(1.96*K275)</f>
        <v>0</v>
      </c>
      <c r="N275" s="2">
        <f>'rockfish harvests'!O274</f>
        <v>914.63838771593146</v>
      </c>
      <c r="O275">
        <f>'rockfish harvests'!P274</f>
        <v>109543.02664472036</v>
      </c>
      <c r="P275" t="s">
        <v>273</v>
      </c>
      <c r="Q275" t="s">
        <v>273</v>
      </c>
      <c r="T275" s="13">
        <f t="shared" ref="T275:T276" si="319">N275*P275</f>
        <v>0</v>
      </c>
      <c r="U275" s="14">
        <f t="shared" ref="U275:U276" si="320">(N275^2)*Q275+(P275^2)*O275-(Q275*O275)</f>
        <v>0</v>
      </c>
      <c r="V275">
        <f t="shared" ref="V275:V276" si="321">SQRT(U275)</f>
        <v>0</v>
      </c>
      <c r="W275" s="6">
        <f t="shared" ref="W275:W276" si="322">(1.96*V275)</f>
        <v>0</v>
      </c>
      <c r="Y275" s="13">
        <f t="shared" ref="Y275:Y276" si="323">T275+I275</f>
        <v>0</v>
      </c>
      <c r="Z275">
        <f t="shared" ref="Z275:Z276" si="324">U275+J275</f>
        <v>0</v>
      </c>
      <c r="AA275">
        <f t="shared" ref="AA275:AA276" si="325">SQRT(Z275)</f>
        <v>0</v>
      </c>
      <c r="AB275" s="6">
        <f t="shared" ref="AB275:AB276" si="326">(1.96*AA275)</f>
        <v>0</v>
      </c>
      <c r="AC275" s="14">
        <v>0</v>
      </c>
    </row>
    <row r="276" spans="1:29" hidden="1" x14ac:dyDescent="0.25">
      <c r="A276" t="str">
        <f>'rockfish harvests'!A275</f>
        <v>SE</v>
      </c>
      <c r="B276">
        <f>'rockfish harvests'!B275</f>
        <v>2021</v>
      </c>
      <c r="C276" t="str">
        <f>'rockfish harvests'!C275</f>
        <v>EWYKT</v>
      </c>
      <c r="D276">
        <f>'rockfish harvests'!D275</f>
        <v>7343</v>
      </c>
      <c r="E276">
        <v>118</v>
      </c>
      <c r="F276">
        <v>0</v>
      </c>
      <c r="I276" s="13">
        <f t="shared" si="315"/>
        <v>0</v>
      </c>
      <c r="J276">
        <f t="shared" si="316"/>
        <v>0</v>
      </c>
      <c r="K276">
        <f t="shared" si="317"/>
        <v>0</v>
      </c>
      <c r="L276" s="6">
        <f t="shared" si="318"/>
        <v>0</v>
      </c>
      <c r="N276" s="2">
        <f>'rockfish harvests'!O275</f>
        <v>1513.750779741571</v>
      </c>
      <c r="O276">
        <f>'rockfish harvests'!P275</f>
        <v>303380.23971291271</v>
      </c>
      <c r="P276" t="s">
        <v>273</v>
      </c>
      <c r="Q276" t="s">
        <v>273</v>
      </c>
      <c r="T276" s="13">
        <f t="shared" si="319"/>
        <v>0</v>
      </c>
      <c r="U276" s="14">
        <f t="shared" si="320"/>
        <v>0</v>
      </c>
      <c r="V276">
        <f t="shared" si="321"/>
        <v>0</v>
      </c>
      <c r="W276" s="6">
        <f t="shared" si="322"/>
        <v>0</v>
      </c>
      <c r="Y276" s="13">
        <f t="shared" si="323"/>
        <v>0</v>
      </c>
      <c r="Z276">
        <f t="shared" si="324"/>
        <v>0</v>
      </c>
      <c r="AA276">
        <f t="shared" si="325"/>
        <v>0</v>
      </c>
      <c r="AB276" s="6">
        <f t="shared" si="326"/>
        <v>0</v>
      </c>
      <c r="AC276" s="14">
        <v>0</v>
      </c>
    </row>
    <row r="277" spans="1:29" s="51" customFormat="1" hidden="1" x14ac:dyDescent="0.25">
      <c r="A277" s="51" t="s">
        <v>151</v>
      </c>
      <c r="B277" s="51">
        <v>2022</v>
      </c>
      <c r="C277" s="51" t="s">
        <v>83</v>
      </c>
      <c r="D277">
        <f>'rockfish harvests'!D276</f>
        <v>6780</v>
      </c>
      <c r="E277" s="51">
        <v>191</v>
      </c>
      <c r="F277" s="51">
        <v>5</v>
      </c>
      <c r="I277" s="13">
        <f t="shared" si="315"/>
        <v>5</v>
      </c>
      <c r="J277" s="51">
        <f t="shared" si="316"/>
        <v>0</v>
      </c>
      <c r="K277" s="51">
        <f t="shared" si="317"/>
        <v>0</v>
      </c>
      <c r="L277" s="78">
        <f t="shared" si="318"/>
        <v>0</v>
      </c>
      <c r="N277" s="2">
        <f>'rockfish harvests'!O276</f>
        <v>2639.4706368899915</v>
      </c>
      <c r="O277">
        <f>'rockfish harvests'!P276</f>
        <v>966290.79621620791</v>
      </c>
      <c r="P277" t="s">
        <v>290</v>
      </c>
      <c r="Q277" t="s">
        <v>291</v>
      </c>
      <c r="T277" s="13">
        <f t="shared" ref="T277" si="327">N277*P277</f>
        <v>3.851635284183863</v>
      </c>
      <c r="U277" s="14">
        <f t="shared" ref="U277" si="328">(N277^2)*Q277+(P277^2)*O277-(Q277*O277)</f>
        <v>2.9690569012476864</v>
      </c>
      <c r="V277">
        <f t="shared" ref="V277" si="329">SQRT(U277)</f>
        <v>1.7230951515362367</v>
      </c>
      <c r="W277" s="6">
        <f t="shared" ref="W277" si="330">(1.96*V277)</f>
        <v>3.377266497011024</v>
      </c>
      <c r="X277"/>
      <c r="Y277" s="13">
        <f t="shared" ref="Y277" si="331">T277+I277</f>
        <v>8.8516352841838639</v>
      </c>
      <c r="Z277">
        <f t="shared" ref="Z277" si="332">U277+J277</f>
        <v>2.9690569012476864</v>
      </c>
      <c r="AA277">
        <f t="shared" ref="AA277" si="333">SQRT(Z277)</f>
        <v>1.7230951515362367</v>
      </c>
      <c r="AB277" s="6">
        <f t="shared" ref="AB277" si="334">(1.96*AA277)</f>
        <v>3.377266497011024</v>
      </c>
      <c r="AC277" s="14">
        <v>0</v>
      </c>
    </row>
    <row r="278" spans="1:29" hidden="1" x14ac:dyDescent="0.25">
      <c r="A278" t="str">
        <f>'rockfish harvests'!A277</f>
        <v>SE</v>
      </c>
      <c r="B278">
        <f>'rockfish harvests'!B277</f>
        <v>1998</v>
      </c>
      <c r="C278" t="str">
        <f>'rockfish harvests'!C277</f>
        <v>NSEI</v>
      </c>
      <c r="D278">
        <f>'rockfish harvests'!D277</f>
        <v>5285</v>
      </c>
      <c r="E278">
        <v>2741</v>
      </c>
      <c r="F278" t="s">
        <v>159</v>
      </c>
      <c r="G278" s="32">
        <v>0.30371494999999998</v>
      </c>
      <c r="H278" s="32">
        <v>1.6418268E-2</v>
      </c>
      <c r="I278" s="13">
        <f t="shared" ref="I278:I285" si="335">E278*G278</f>
        <v>832.48267794999992</v>
      </c>
      <c r="J278">
        <f t="shared" si="281"/>
        <v>123351.777363708</v>
      </c>
      <c r="K278">
        <f t="shared" si="282"/>
        <v>351.21471689510395</v>
      </c>
      <c r="L278" s="6">
        <f t="shared" si="283"/>
        <v>688.38084511440377</v>
      </c>
      <c r="N278" s="2">
        <f>'rockfish harvests'!O277</f>
        <v>3144.4015142904627</v>
      </c>
      <c r="O278">
        <f>'rockfish harvests'!P277</f>
        <v>781648.06612226402</v>
      </c>
      <c r="P278" s="32">
        <v>0.12447847099999999</v>
      </c>
      <c r="Q278" s="32">
        <v>4.2601679999999999E-3</v>
      </c>
      <c r="T278" s="13">
        <f t="shared" si="314"/>
        <v>391.41029270896144</v>
      </c>
      <c r="U278" s="14">
        <f t="shared" si="246"/>
        <v>50902.99094516092</v>
      </c>
      <c r="V278">
        <f t="shared" si="284"/>
        <v>225.61691192187016</v>
      </c>
      <c r="W278" s="6">
        <f t="shared" si="285"/>
        <v>442.20914736686552</v>
      </c>
      <c r="Y278" s="13">
        <f t="shared" si="279"/>
        <v>1223.8929706589613</v>
      </c>
      <c r="Z278">
        <f t="shared" si="280"/>
        <v>174254.76830886892</v>
      </c>
      <c r="AA278">
        <f t="shared" si="286"/>
        <v>417.43834072694966</v>
      </c>
      <c r="AB278" s="6">
        <f t="shared" si="287"/>
        <v>818.17914782482137</v>
      </c>
      <c r="AC278" s="14">
        <f t="shared" si="312"/>
        <v>0.3410742203235263</v>
      </c>
    </row>
    <row r="279" spans="1:29" hidden="1" x14ac:dyDescent="0.25">
      <c r="A279" t="str">
        <f>'rockfish harvests'!A278</f>
        <v>SE</v>
      </c>
      <c r="B279">
        <f>'rockfish harvests'!B278</f>
        <v>1999</v>
      </c>
      <c r="C279" t="str">
        <f>'rockfish harvests'!C278</f>
        <v>NSEI</v>
      </c>
      <c r="D279">
        <f>'rockfish harvests'!D278</f>
        <v>6363</v>
      </c>
      <c r="E279">
        <v>2506</v>
      </c>
      <c r="F279" t="s">
        <v>159</v>
      </c>
      <c r="G279" s="32">
        <v>0.30371494999999998</v>
      </c>
      <c r="H279" s="32">
        <v>1.6418268E-2</v>
      </c>
      <c r="I279" s="13">
        <f t="shared" si="335"/>
        <v>761.10966469999994</v>
      </c>
      <c r="J279">
        <f t="shared" si="281"/>
        <v>103107.31409764799</v>
      </c>
      <c r="K279">
        <f t="shared" si="282"/>
        <v>321.10327637326901</v>
      </c>
      <c r="L279" s="6">
        <f t="shared" si="283"/>
        <v>629.36242169160721</v>
      </c>
      <c r="N279" s="2">
        <f>'rockfish harvests'!O278</f>
        <v>3785.7761278013659</v>
      </c>
      <c r="O279">
        <f>'rockfish harvests'!P278</f>
        <v>1133039.6837394333</v>
      </c>
      <c r="P279" s="32">
        <v>0.12447847099999999</v>
      </c>
      <c r="Q279" s="32">
        <v>4.2601679999999999E-3</v>
      </c>
      <c r="T279" s="13">
        <f t="shared" ref="T279:T314" si="336">N279*P279</f>
        <v>471.24762393701457</v>
      </c>
      <c r="U279" s="14">
        <f t="shared" si="246"/>
        <v>73786.54315364857</v>
      </c>
      <c r="V279">
        <f t="shared" si="284"/>
        <v>271.63678534699341</v>
      </c>
      <c r="W279" s="6">
        <f t="shared" si="285"/>
        <v>532.40809928010708</v>
      </c>
      <c r="Y279" s="13">
        <f t="shared" si="279"/>
        <v>1232.3572886370146</v>
      </c>
      <c r="Z279">
        <f t="shared" si="280"/>
        <v>176893.85725129658</v>
      </c>
      <c r="AA279">
        <f t="shared" si="286"/>
        <v>420.58751437875156</v>
      </c>
      <c r="AB279" s="6">
        <f t="shared" si="287"/>
        <v>824.35152818235304</v>
      </c>
      <c r="AC279" s="14">
        <f t="shared" si="312"/>
        <v>0.34128699384244382</v>
      </c>
    </row>
    <row r="280" spans="1:29" hidden="1" x14ac:dyDescent="0.25">
      <c r="A280" t="str">
        <f>'rockfish harvests'!A279</f>
        <v>SE</v>
      </c>
      <c r="B280">
        <f>'rockfish harvests'!B279</f>
        <v>2000</v>
      </c>
      <c r="C280" t="str">
        <f>'rockfish harvests'!C279</f>
        <v>NSEI</v>
      </c>
      <c r="D280">
        <f>'rockfish harvests'!D279</f>
        <v>9746</v>
      </c>
      <c r="E280">
        <v>4164</v>
      </c>
      <c r="F280" t="s">
        <v>159</v>
      </c>
      <c r="G280" s="32">
        <v>0.30371494999999998</v>
      </c>
      <c r="H280" s="32">
        <v>1.6418268E-2</v>
      </c>
      <c r="I280" s="13">
        <f t="shared" si="335"/>
        <v>1264.6690518</v>
      </c>
      <c r="J280">
        <f t="shared" si="281"/>
        <v>284674.641352128</v>
      </c>
      <c r="K280">
        <f t="shared" si="282"/>
        <v>533.54909928902327</v>
      </c>
      <c r="L280" s="6">
        <f t="shared" si="283"/>
        <v>1045.7562346064856</v>
      </c>
      <c r="N280" s="2">
        <f>'rockfish harvests'!O279</f>
        <v>5798.550077251628</v>
      </c>
      <c r="O280">
        <f>'rockfish harvests'!P279</f>
        <v>2658116.9727772144</v>
      </c>
      <c r="P280" s="32">
        <v>0.12447847099999999</v>
      </c>
      <c r="Q280" s="32">
        <v>4.2601679999999999E-3</v>
      </c>
      <c r="T280" s="13">
        <f t="shared" si="336"/>
        <v>721.79464763321448</v>
      </c>
      <c r="U280" s="14">
        <f t="shared" si="246"/>
        <v>173103.61281606855</v>
      </c>
      <c r="V280">
        <f t="shared" si="284"/>
        <v>416.05722300672602</v>
      </c>
      <c r="W280" s="6">
        <f t="shared" si="285"/>
        <v>815.472157093183</v>
      </c>
      <c r="Y280" s="13">
        <f t="shared" si="279"/>
        <v>1986.4636994332145</v>
      </c>
      <c r="Z280">
        <f t="shared" si="280"/>
        <v>457778.25416819658</v>
      </c>
      <c r="AA280">
        <f t="shared" si="286"/>
        <v>676.59312305712695</v>
      </c>
      <c r="AB280" s="6">
        <f t="shared" si="287"/>
        <v>1326.1225211919689</v>
      </c>
      <c r="AC280" s="14">
        <f t="shared" si="312"/>
        <v>0.34060180573658361</v>
      </c>
    </row>
    <row r="281" spans="1:29" hidden="1" x14ac:dyDescent="0.25">
      <c r="A281" t="str">
        <f>'rockfish harvests'!A280</f>
        <v>SE</v>
      </c>
      <c r="B281">
        <f>'rockfish harvests'!B280</f>
        <v>2001</v>
      </c>
      <c r="C281" t="str">
        <f>'rockfish harvests'!C280</f>
        <v>NSEI</v>
      </c>
      <c r="D281">
        <f>'rockfish harvests'!D280</f>
        <v>7242</v>
      </c>
      <c r="E281">
        <v>3333</v>
      </c>
      <c r="F281" t="s">
        <v>159</v>
      </c>
      <c r="G281" s="32">
        <v>0.30371494999999998</v>
      </c>
      <c r="H281" s="32">
        <v>1.6418268E-2</v>
      </c>
      <c r="I281" s="13">
        <f t="shared" si="335"/>
        <v>1012.2819283499999</v>
      </c>
      <c r="J281">
        <f t="shared" si="281"/>
        <v>182388.716784252</v>
      </c>
      <c r="K281">
        <f t="shared" si="282"/>
        <v>427.0699202522369</v>
      </c>
      <c r="L281" s="6">
        <f t="shared" si="283"/>
        <v>837.05704369438433</v>
      </c>
      <c r="N281" s="2">
        <f>'rockfish harvests'!O280</f>
        <v>4308.7522736975479</v>
      </c>
      <c r="O281">
        <f>'rockfish harvests'!P280</f>
        <v>1467703.4510787677</v>
      </c>
      <c r="P281" s="32">
        <v>0.12447847099999999</v>
      </c>
      <c r="Q281" s="32">
        <v>4.2601679999999999E-3</v>
      </c>
      <c r="T281" s="13">
        <f t="shared" si="336"/>
        <v>536.34689494764427</v>
      </c>
      <c r="U281" s="14">
        <f t="shared" ref="U281:U356" si="337">(N281^2)*Q281+(P281^2)*O281-(Q281*O281)</f>
        <v>95580.733476487512</v>
      </c>
      <c r="V281">
        <f t="shared" si="284"/>
        <v>309.16133890977943</v>
      </c>
      <c r="W281" s="6">
        <f t="shared" si="285"/>
        <v>605.95622426316766</v>
      </c>
      <c r="Y281" s="13">
        <f t="shared" si="279"/>
        <v>1548.6288232976442</v>
      </c>
      <c r="Z281">
        <f t="shared" si="280"/>
        <v>277969.45026073954</v>
      </c>
      <c r="AA281">
        <f t="shared" si="286"/>
        <v>527.22808182108395</v>
      </c>
      <c r="AB281" s="6">
        <f t="shared" si="287"/>
        <v>1033.3670403693245</v>
      </c>
      <c r="AC281" s="14">
        <f t="shared" si="312"/>
        <v>0.34044832040411499</v>
      </c>
    </row>
    <row r="282" spans="1:29" hidden="1" x14ac:dyDescent="0.25">
      <c r="A282" t="str">
        <f>'rockfish harvests'!A281</f>
        <v>SE</v>
      </c>
      <c r="B282">
        <f>'rockfish harvests'!B281</f>
        <v>2002</v>
      </c>
      <c r="C282" t="str">
        <f>'rockfish harvests'!C281</f>
        <v>NSEI</v>
      </c>
      <c r="D282">
        <f>'rockfish harvests'!D281</f>
        <v>4958</v>
      </c>
      <c r="E282">
        <v>1838</v>
      </c>
      <c r="F282" t="s">
        <v>159</v>
      </c>
      <c r="G282" s="32">
        <v>0.30371494999999998</v>
      </c>
      <c r="H282" s="32">
        <v>1.6418268E-2</v>
      </c>
      <c r="I282" s="13">
        <f t="shared" si="335"/>
        <v>558.22807809999995</v>
      </c>
      <c r="J282">
        <f t="shared" si="281"/>
        <v>55464.915361391999</v>
      </c>
      <c r="K282">
        <f t="shared" si="282"/>
        <v>235.5099050175852</v>
      </c>
      <c r="L282" s="6">
        <f t="shared" si="283"/>
        <v>461.59941383446699</v>
      </c>
      <c r="N282" s="2">
        <f>'rockfish harvests'!O281</f>
        <v>2949.8472484109971</v>
      </c>
      <c r="O282">
        <f>'rockfish harvests'!P281</f>
        <v>687914.27130295534</v>
      </c>
      <c r="P282" s="32">
        <v>0.12447847099999999</v>
      </c>
      <c r="Q282" s="32">
        <v>4.2601679999999999E-3</v>
      </c>
      <c r="T282" s="13">
        <f t="shared" si="336"/>
        <v>367.19247516575808</v>
      </c>
      <c r="U282" s="14">
        <f t="shared" si="337"/>
        <v>44798.798130339201</v>
      </c>
      <c r="V282">
        <f t="shared" si="284"/>
        <v>211.65726571591915</v>
      </c>
      <c r="W282" s="6">
        <f t="shared" si="285"/>
        <v>414.84824080320152</v>
      </c>
      <c r="Y282" s="13">
        <f t="shared" si="279"/>
        <v>925.42055326575803</v>
      </c>
      <c r="Z282">
        <f t="shared" si="280"/>
        <v>100263.71349173121</v>
      </c>
      <c r="AA282">
        <f t="shared" si="286"/>
        <v>316.64445912052719</v>
      </c>
      <c r="AB282" s="6">
        <f t="shared" si="287"/>
        <v>620.62313987623327</v>
      </c>
      <c r="AC282" s="14">
        <f t="shared" si="312"/>
        <v>0.3421627691357258</v>
      </c>
    </row>
    <row r="283" spans="1:29" hidden="1" x14ac:dyDescent="0.25">
      <c r="A283" t="str">
        <f>'rockfish harvests'!A282</f>
        <v>SE</v>
      </c>
      <c r="B283">
        <f>'rockfish harvests'!B282</f>
        <v>2003</v>
      </c>
      <c r="C283" t="str">
        <f>'rockfish harvests'!C282</f>
        <v>NSEI</v>
      </c>
      <c r="D283">
        <f>'rockfish harvests'!D282</f>
        <v>6069</v>
      </c>
      <c r="E283">
        <v>2518</v>
      </c>
      <c r="F283" t="s">
        <v>159</v>
      </c>
      <c r="G283" s="32">
        <v>0.30371494999999998</v>
      </c>
      <c r="H283" s="32">
        <v>1.6418268E-2</v>
      </c>
      <c r="I283" s="13">
        <f t="shared" si="335"/>
        <v>764.75424409999994</v>
      </c>
      <c r="J283">
        <f t="shared" si="281"/>
        <v>104097.138638832</v>
      </c>
      <c r="K283">
        <f t="shared" si="282"/>
        <v>322.64088184672443</v>
      </c>
      <c r="L283" s="6">
        <f t="shared" si="283"/>
        <v>632.37612841957991</v>
      </c>
      <c r="N283" s="2">
        <f>'rockfish harvests'!O282</f>
        <v>3610.8557786620295</v>
      </c>
      <c r="O283">
        <f>'rockfish harvests'!P282</f>
        <v>1030755.2356043656</v>
      </c>
      <c r="P283" s="32">
        <v>0.12447847099999999</v>
      </c>
      <c r="Q283" s="32">
        <v>4.2601679999999999E-3</v>
      </c>
      <c r="T283" s="13">
        <f t="shared" si="336"/>
        <v>449.47380632936381</v>
      </c>
      <c r="U283" s="14">
        <f t="shared" si="337"/>
        <v>67125.509162891263</v>
      </c>
      <c r="V283">
        <f t="shared" si="284"/>
        <v>259.08591077650527</v>
      </c>
      <c r="W283" s="6">
        <f t="shared" si="285"/>
        <v>507.80838512195032</v>
      </c>
      <c r="Y283" s="13">
        <f t="shared" si="279"/>
        <v>1214.2280504293637</v>
      </c>
      <c r="Z283">
        <f t="shared" si="280"/>
        <v>171222.64780172327</v>
      </c>
      <c r="AA283">
        <f t="shared" si="286"/>
        <v>413.79058447688641</v>
      </c>
      <c r="AB283" s="6">
        <f t="shared" si="287"/>
        <v>811.02954557469729</v>
      </c>
      <c r="AC283" s="14">
        <f t="shared" si="312"/>
        <v>0.34078489978103021</v>
      </c>
    </row>
    <row r="284" spans="1:29" hidden="1" x14ac:dyDescent="0.25">
      <c r="A284" t="str">
        <f>'rockfish harvests'!A283</f>
        <v>SE</v>
      </c>
      <c r="B284">
        <f>'rockfish harvests'!B283</f>
        <v>2004</v>
      </c>
      <c r="C284" t="str">
        <f>'rockfish harvests'!C283</f>
        <v>NSEI</v>
      </c>
      <c r="D284">
        <f>'rockfish harvests'!D283</f>
        <v>6052</v>
      </c>
      <c r="E284">
        <v>2724</v>
      </c>
      <c r="F284" t="s">
        <v>159</v>
      </c>
      <c r="G284" s="32">
        <v>0.30371494999999998</v>
      </c>
      <c r="H284" s="32">
        <v>1.6418268E-2</v>
      </c>
      <c r="I284" s="13">
        <f t="shared" si="335"/>
        <v>827.31952379999996</v>
      </c>
      <c r="J284">
        <f t="shared" si="281"/>
        <v>121826.438175168</v>
      </c>
      <c r="K284">
        <f t="shared" si="282"/>
        <v>349.03644247437546</v>
      </c>
      <c r="L284" s="6">
        <f t="shared" si="283"/>
        <v>684.11142724977594</v>
      </c>
      <c r="N284" s="2">
        <f>'rockfish harvests'!O283</f>
        <v>3600.7413367049921</v>
      </c>
      <c r="O284">
        <f>'rockfish harvests'!P283</f>
        <v>1024988.7840591522</v>
      </c>
      <c r="P284" s="32">
        <v>0.12447847099999999</v>
      </c>
      <c r="Q284" s="32">
        <v>4.2601679999999999E-3</v>
      </c>
      <c r="T284" s="13">
        <f t="shared" si="336"/>
        <v>448.21477605953356</v>
      </c>
      <c r="U284" s="14">
        <f t="shared" si="337"/>
        <v>66749.982575525777</v>
      </c>
      <c r="V284">
        <f t="shared" si="284"/>
        <v>258.36017993399406</v>
      </c>
      <c r="W284" s="6">
        <f t="shared" si="285"/>
        <v>506.38595267062834</v>
      </c>
      <c r="Y284" s="13">
        <f t="shared" ref="Y284:Y359" si="338">T284+I284</f>
        <v>1275.5342998595336</v>
      </c>
      <c r="Z284">
        <f t="shared" ref="Z284:Z359" si="339">U284+J284</f>
        <v>188576.42075069377</v>
      </c>
      <c r="AA284">
        <f t="shared" si="286"/>
        <v>434.25386670782075</v>
      </c>
      <c r="AB284" s="6">
        <f t="shared" si="287"/>
        <v>851.13757874732869</v>
      </c>
      <c r="AC284" s="14">
        <f t="shared" si="312"/>
        <v>0.34044860005383026</v>
      </c>
    </row>
    <row r="285" spans="1:29" hidden="1" x14ac:dyDescent="0.25">
      <c r="A285" t="str">
        <f>'rockfish harvests'!A284</f>
        <v>SE</v>
      </c>
      <c r="B285">
        <f>'rockfish harvests'!B284</f>
        <v>2005</v>
      </c>
      <c r="C285" t="str">
        <f>'rockfish harvests'!C284</f>
        <v>NSEI</v>
      </c>
      <c r="D285">
        <f>'rockfish harvests'!D284</f>
        <v>7678</v>
      </c>
      <c r="E285">
        <v>3213</v>
      </c>
      <c r="F285" t="s">
        <v>159</v>
      </c>
      <c r="G285" s="32">
        <v>0.30371494999999998</v>
      </c>
      <c r="H285" s="32">
        <v>1.6418268E-2</v>
      </c>
      <c r="I285" s="13">
        <f t="shared" si="335"/>
        <v>975.83613434999995</v>
      </c>
      <c r="J285">
        <f t="shared" ref="J285:J360" si="340">(E285^2)*H285</f>
        <v>169491.83890489201</v>
      </c>
      <c r="K285">
        <f t="shared" ref="K285:K360" si="341">SQRT(J285)</f>
        <v>411.69386551768292</v>
      </c>
      <c r="L285" s="6">
        <f t="shared" ref="L285:L360" si="342">(1.96*K285)</f>
        <v>806.91997641465855</v>
      </c>
      <c r="N285" s="2">
        <f>'rockfish harvests'!O284</f>
        <v>4568.1579615368355</v>
      </c>
      <c r="O285">
        <f>'rockfish harvests'!P284</f>
        <v>1649747.5421593867</v>
      </c>
      <c r="P285" s="32">
        <v>0.12447847099999999</v>
      </c>
      <c r="Q285" s="32">
        <v>4.2601679999999999E-3</v>
      </c>
      <c r="T285" s="13">
        <f t="shared" si="336"/>
        <v>568.63731833858208</v>
      </c>
      <c r="U285" s="14">
        <f t="shared" si="337"/>
        <v>107435.92652502669</v>
      </c>
      <c r="V285">
        <f t="shared" ref="V285:V360" si="343">SQRT(U285)</f>
        <v>327.77420051771418</v>
      </c>
      <c r="W285" s="6">
        <f t="shared" ref="W285:W360" si="344">(1.96*V285)</f>
        <v>642.43743301471977</v>
      </c>
      <c r="Y285" s="13">
        <f t="shared" si="338"/>
        <v>1544.473452688582</v>
      </c>
      <c r="Z285">
        <f t="shared" si="339"/>
        <v>276927.76542991871</v>
      </c>
      <c r="AA285">
        <f t="shared" ref="AA285:AA360" si="345">SQRT(Z285)</f>
        <v>526.23926633226324</v>
      </c>
      <c r="AB285" s="6">
        <f t="shared" ref="AB285:AB360" si="346">(1.96*AA285)</f>
        <v>1031.4289620112359</v>
      </c>
      <c r="AC285" s="14">
        <f t="shared" si="312"/>
        <v>0.34072406062804034</v>
      </c>
    </row>
    <row r="286" spans="1:29" hidden="1" x14ac:dyDescent="0.25">
      <c r="A286" t="str">
        <f>'rockfish harvests'!A285</f>
        <v>SE</v>
      </c>
      <c r="B286">
        <f>'rockfish harvests'!B285</f>
        <v>2006</v>
      </c>
      <c r="C286" t="str">
        <f>'rockfish harvests'!C285</f>
        <v>NSEI</v>
      </c>
      <c r="D286">
        <f>'rockfish harvests'!D285</f>
        <v>6437</v>
      </c>
      <c r="E286">
        <v>2961</v>
      </c>
      <c r="F286">
        <v>1422</v>
      </c>
      <c r="I286" s="13">
        <f>F286</f>
        <v>1422</v>
      </c>
      <c r="J286">
        <f t="shared" si="340"/>
        <v>0</v>
      </c>
      <c r="K286">
        <f t="shared" si="341"/>
        <v>0</v>
      </c>
      <c r="L286" s="6">
        <f t="shared" si="342"/>
        <v>0</v>
      </c>
      <c r="N286" s="2">
        <f>'rockfish harvests'!O285</f>
        <v>3829.8036986731713</v>
      </c>
      <c r="O286">
        <f>'rockfish harvests'!P285</f>
        <v>1159546.8293526676</v>
      </c>
      <c r="P286">
        <f>IF([2]species_comp_Region1_forR!$D164&gt;49,[2]species_comp_Region1_forR!$J164,[2]species_comp_Region1_forR!$L164)</f>
        <v>0.15263157899999999</v>
      </c>
      <c r="Q286">
        <f>IF([2]species_comp_Region1_forR!$D164&gt;49,[2]species_comp_Region1_forR!$K164,[2]species_comp_Region1_forR!$M164)</f>
        <v>6.8431299999999998E-4</v>
      </c>
      <c r="T286" s="13">
        <f t="shared" si="336"/>
        <v>584.54898578852635</v>
      </c>
      <c r="U286" s="14">
        <f t="shared" si="337"/>
        <v>36256.862532107567</v>
      </c>
      <c r="V286">
        <f t="shared" si="343"/>
        <v>190.41234868597039</v>
      </c>
      <c r="W286" s="6">
        <f t="shared" si="344"/>
        <v>373.20820342450196</v>
      </c>
      <c r="Y286" s="13">
        <f t="shared" si="338"/>
        <v>2006.5489857885264</v>
      </c>
      <c r="Z286">
        <f t="shared" si="339"/>
        <v>36256.862532107567</v>
      </c>
      <c r="AA286">
        <f t="shared" si="345"/>
        <v>190.41234868597039</v>
      </c>
      <c r="AB286" s="6">
        <f t="shared" si="346"/>
        <v>373.20820342450196</v>
      </c>
      <c r="AC286" s="14">
        <f t="shared" si="312"/>
        <v>9.4895439899336839E-2</v>
      </c>
    </row>
    <row r="287" spans="1:29" hidden="1" x14ac:dyDescent="0.25">
      <c r="A287" t="str">
        <f>'rockfish harvests'!A286</f>
        <v>SE</v>
      </c>
      <c r="B287">
        <f>'rockfish harvests'!B286</f>
        <v>2007</v>
      </c>
      <c r="C287" t="str">
        <f>'rockfish harvests'!C286</f>
        <v>NSEI</v>
      </c>
      <c r="D287">
        <f>'rockfish harvests'!D286</f>
        <v>7499</v>
      </c>
      <c r="E287">
        <v>3335</v>
      </c>
      <c r="F287">
        <v>1191</v>
      </c>
      <c r="I287" s="13">
        <f t="shared" ref="I287:I298" si="347">F287</f>
        <v>1191</v>
      </c>
      <c r="J287">
        <f t="shared" si="340"/>
        <v>0</v>
      </c>
      <c r="K287">
        <f t="shared" si="341"/>
        <v>0</v>
      </c>
      <c r="L287" s="6">
        <f t="shared" si="342"/>
        <v>0</v>
      </c>
      <c r="N287" s="2">
        <f>'rockfish harvests'!O286</f>
        <v>4461.6588374009807</v>
      </c>
      <c r="O287">
        <f>'rockfish harvests'!P286</f>
        <v>1573721.8750711286</v>
      </c>
      <c r="P287">
        <f>IF([2]species_comp_Region1_forR!$D165&gt;49,[2]species_comp_Region1_forR!$J165,[2]species_comp_Region1_forR!$L165)</f>
        <v>0.23444976100000001</v>
      </c>
      <c r="Q287">
        <f>IF([2]species_comp_Region1_forR!$D165&gt;49,[2]species_comp_Region1_forR!$K165,[2]species_comp_Region1_forR!$M165)</f>
        <v>8.6289899999999998E-4</v>
      </c>
      <c r="T287" s="13">
        <f t="shared" si="336"/>
        <v>1046.0348480921978</v>
      </c>
      <c r="U287" s="14">
        <f t="shared" si="337"/>
        <v>102321.53239468503</v>
      </c>
      <c r="V287">
        <f t="shared" si="343"/>
        <v>319.87737086997106</v>
      </c>
      <c r="W287" s="6">
        <f t="shared" si="344"/>
        <v>626.95964690514325</v>
      </c>
      <c r="Y287" s="13">
        <f t="shared" si="338"/>
        <v>2237.0348480921975</v>
      </c>
      <c r="Z287">
        <f t="shared" si="339"/>
        <v>102321.53239468503</v>
      </c>
      <c r="AA287">
        <f t="shared" si="345"/>
        <v>319.87737086997106</v>
      </c>
      <c r="AB287" s="6">
        <f t="shared" si="346"/>
        <v>626.95964690514325</v>
      </c>
      <c r="AC287" s="14">
        <f t="shared" si="312"/>
        <v>0.14299167987605152</v>
      </c>
    </row>
    <row r="288" spans="1:29" hidden="1" x14ac:dyDescent="0.25">
      <c r="A288" t="str">
        <f>'rockfish harvests'!A287</f>
        <v>SE</v>
      </c>
      <c r="B288">
        <f>'rockfish harvests'!B287</f>
        <v>2008</v>
      </c>
      <c r="C288" t="str">
        <f>'rockfish harvests'!C287</f>
        <v>NSEI</v>
      </c>
      <c r="D288">
        <f>'rockfish harvests'!D287</f>
        <v>10923</v>
      </c>
      <c r="E288">
        <v>4095</v>
      </c>
      <c r="F288">
        <v>1308</v>
      </c>
      <c r="I288" s="13">
        <f t="shared" si="347"/>
        <v>1308</v>
      </c>
      <c r="J288">
        <f t="shared" si="340"/>
        <v>0</v>
      </c>
      <c r="K288">
        <f t="shared" si="341"/>
        <v>0</v>
      </c>
      <c r="L288" s="6">
        <f t="shared" si="342"/>
        <v>0</v>
      </c>
      <c r="N288" s="2">
        <f>'rockfish harvests'!O287</f>
        <v>6498.8264409829208</v>
      </c>
      <c r="O288">
        <f>'rockfish harvests'!P287</f>
        <v>3338913.2975072474</v>
      </c>
      <c r="P288">
        <f>IF([2]species_comp_Region1_forR!$D166&gt;49,[2]species_comp_Region1_forR!$J166,[2]species_comp_Region1_forR!$L166)</f>
        <v>0.20930232600000001</v>
      </c>
      <c r="Q288">
        <f>IF([2]species_comp_Region1_forR!$D166&gt;49,[2]species_comp_Region1_forR!$K166,[2]species_comp_Region1_forR!$M166)</f>
        <v>9.6780599999999998E-4</v>
      </c>
      <c r="T288" s="13">
        <f t="shared" si="336"/>
        <v>1360.2194903680272</v>
      </c>
      <c r="U288" s="14">
        <f t="shared" si="337"/>
        <v>183912.94237766354</v>
      </c>
      <c r="V288">
        <f t="shared" si="343"/>
        <v>428.85072272022995</v>
      </c>
      <c r="W288" s="6">
        <f t="shared" si="344"/>
        <v>840.5474165316507</v>
      </c>
      <c r="Y288" s="13">
        <f t="shared" si="338"/>
        <v>2668.2194903680274</v>
      </c>
      <c r="Z288">
        <f t="shared" si="339"/>
        <v>183912.94237766354</v>
      </c>
      <c r="AA288">
        <f t="shared" si="345"/>
        <v>428.85072272022995</v>
      </c>
      <c r="AB288" s="6">
        <f t="shared" si="346"/>
        <v>840.5474165316507</v>
      </c>
      <c r="AC288" s="14">
        <f t="shared" si="312"/>
        <v>0.16072542917414886</v>
      </c>
    </row>
    <row r="289" spans="1:29" hidden="1" x14ac:dyDescent="0.25">
      <c r="A289" t="str">
        <f>'rockfish harvests'!A288</f>
        <v>SE</v>
      </c>
      <c r="B289">
        <f>'rockfish harvests'!B288</f>
        <v>2009</v>
      </c>
      <c r="C289" t="str">
        <f>'rockfish harvests'!C288</f>
        <v>NSEI</v>
      </c>
      <c r="D289">
        <f>'rockfish harvests'!D288</f>
        <v>9325</v>
      </c>
      <c r="E289">
        <v>3331</v>
      </c>
      <c r="F289">
        <v>955</v>
      </c>
      <c r="I289" s="13">
        <f t="shared" si="347"/>
        <v>955</v>
      </c>
      <c r="J289">
        <f t="shared" si="340"/>
        <v>0</v>
      </c>
      <c r="K289">
        <f t="shared" si="341"/>
        <v>0</v>
      </c>
      <c r="L289" s="6">
        <f t="shared" si="342"/>
        <v>0</v>
      </c>
      <c r="N289" s="2">
        <f>'rockfish harvests'!O288</f>
        <v>5548.0688970214906</v>
      </c>
      <c r="O289">
        <f>'rockfish harvests'!P288</f>
        <v>2433430.5466266801</v>
      </c>
      <c r="P289">
        <f>IF([2]species_comp_Region1_forR!$D167&gt;49,[2]species_comp_Region1_forR!$J167,[2]species_comp_Region1_forR!$L167)</f>
        <v>0.21719457</v>
      </c>
      <c r="Q289">
        <f>IF([2]species_comp_Region1_forR!$D167&gt;49,[2]species_comp_Region1_forR!$K167,[2]species_comp_Region1_forR!$M167)</f>
        <v>7.7282299999999996E-4</v>
      </c>
      <c r="T289" s="13">
        <f t="shared" si="336"/>
        <v>1205.0104384189569</v>
      </c>
      <c r="U289" s="14">
        <f t="shared" si="337"/>
        <v>136701.09682931178</v>
      </c>
      <c r="V289">
        <f t="shared" si="343"/>
        <v>369.73111422939752</v>
      </c>
      <c r="W289" s="6">
        <f t="shared" si="344"/>
        <v>724.6729838896191</v>
      </c>
      <c r="Y289" s="13">
        <f t="shared" si="338"/>
        <v>2160.0104384189572</v>
      </c>
      <c r="Z289">
        <f t="shared" si="339"/>
        <v>136701.09682931178</v>
      </c>
      <c r="AA289">
        <f t="shared" si="345"/>
        <v>369.73111422939752</v>
      </c>
      <c r="AB289" s="6">
        <f t="shared" si="346"/>
        <v>724.6729838896191</v>
      </c>
      <c r="AC289" s="14">
        <f t="shared" si="312"/>
        <v>0.17117098494210342</v>
      </c>
    </row>
    <row r="290" spans="1:29" hidden="1" x14ac:dyDescent="0.25">
      <c r="A290" t="str">
        <f>'rockfish harvests'!A289</f>
        <v>SE</v>
      </c>
      <c r="B290">
        <f>'rockfish harvests'!B289</f>
        <v>2010</v>
      </c>
      <c r="C290" t="str">
        <f>'rockfish harvests'!C289</f>
        <v>NSEI</v>
      </c>
      <c r="D290">
        <f>'rockfish harvests'!D289</f>
        <v>11942</v>
      </c>
      <c r="E290">
        <v>4469</v>
      </c>
      <c r="F290">
        <v>1377</v>
      </c>
      <c r="I290" s="13">
        <f t="shared" si="347"/>
        <v>1377</v>
      </c>
      <c r="J290">
        <f t="shared" si="340"/>
        <v>0</v>
      </c>
      <c r="K290">
        <f t="shared" si="341"/>
        <v>0</v>
      </c>
      <c r="L290" s="6">
        <f t="shared" si="342"/>
        <v>0</v>
      </c>
      <c r="N290" s="2">
        <f>'rockfish harvests'!O289</f>
        <v>7105.0979912311668</v>
      </c>
      <c r="O290">
        <f>'rockfish harvests'!P289</f>
        <v>3990941.9253061144</v>
      </c>
      <c r="P290">
        <f>IF([2]species_comp_Region1_forR!$D168&gt;49,[2]species_comp_Region1_forR!$J168,[2]species_comp_Region1_forR!$L168)</f>
        <v>0.16136919299999999</v>
      </c>
      <c r="Q290">
        <f>IF([2]species_comp_Region1_forR!$D168&gt;49,[2]species_comp_Region1_forR!$K168,[2]species_comp_Region1_forR!$M168)</f>
        <v>3.3168899999999997E-4</v>
      </c>
      <c r="T290" s="13">
        <f t="shared" si="336"/>
        <v>1146.5439290308943</v>
      </c>
      <c r="U290" s="14">
        <f t="shared" si="337"/>
        <v>119344.90441414026</v>
      </c>
      <c r="V290">
        <f t="shared" si="343"/>
        <v>345.46331847844607</v>
      </c>
      <c r="W290" s="6">
        <f t="shared" si="344"/>
        <v>677.10810421775432</v>
      </c>
      <c r="Y290" s="13">
        <f t="shared" si="338"/>
        <v>2523.5439290308941</v>
      </c>
      <c r="Z290">
        <f t="shared" si="339"/>
        <v>119344.90441414026</v>
      </c>
      <c r="AA290">
        <f t="shared" si="345"/>
        <v>345.46331847844607</v>
      </c>
      <c r="AB290" s="6">
        <f t="shared" si="346"/>
        <v>677.10810421775432</v>
      </c>
      <c r="AC290" s="14">
        <f t="shared" si="312"/>
        <v>0.13689609857955312</v>
      </c>
    </row>
    <row r="291" spans="1:29" hidden="1" x14ac:dyDescent="0.25">
      <c r="A291" t="str">
        <f>'rockfish harvests'!A290</f>
        <v>SE</v>
      </c>
      <c r="B291">
        <f>'rockfish harvests'!B290</f>
        <v>2011</v>
      </c>
      <c r="C291" t="str">
        <f>'rockfish harvests'!C290</f>
        <v>NSEI</v>
      </c>
      <c r="D291">
        <f>'rockfish harvests'!D290</f>
        <v>13281</v>
      </c>
      <c r="E291">
        <v>4956</v>
      </c>
      <c r="F291">
        <v>1146</v>
      </c>
      <c r="I291" s="13">
        <f t="shared" si="347"/>
        <v>1146</v>
      </c>
      <c r="J291">
        <f t="shared" si="340"/>
        <v>0</v>
      </c>
      <c r="K291">
        <f t="shared" si="341"/>
        <v>0</v>
      </c>
      <c r="L291" s="6">
        <f t="shared" si="342"/>
        <v>0</v>
      </c>
      <c r="N291" s="2">
        <f>'rockfish harvests'!O290</f>
        <v>7853.144125958821</v>
      </c>
      <c r="O291">
        <f>'rockfish harvests'!P290</f>
        <v>2883554.5471730651</v>
      </c>
      <c r="P291">
        <f>IF([2]species_comp_Region1_forR!$D169&gt;49,[2]species_comp_Region1_forR!$J169,[2]species_comp_Region1_forR!$L169)</f>
        <v>0.18390804599999999</v>
      </c>
      <c r="Q291">
        <f>IF([2]species_comp_Region1_forR!$D169&gt;49,[2]species_comp_Region1_forR!$K169,[2]species_comp_Region1_forR!$M169)</f>
        <v>4.3252399999999999E-4</v>
      </c>
      <c r="T291" s="13">
        <f t="shared" si="336"/>
        <v>1444.2563911614645</v>
      </c>
      <c r="U291" s="14">
        <f t="shared" si="337"/>
        <v>122955.42882592413</v>
      </c>
      <c r="V291">
        <f t="shared" si="343"/>
        <v>350.65000902028243</v>
      </c>
      <c r="W291" s="6">
        <f t="shared" si="344"/>
        <v>687.27401767975357</v>
      </c>
      <c r="Y291" s="13">
        <f t="shared" si="338"/>
        <v>2590.2563911614643</v>
      </c>
      <c r="Z291">
        <f t="shared" si="339"/>
        <v>122955.42882592413</v>
      </c>
      <c r="AA291">
        <f t="shared" si="345"/>
        <v>350.65000902028243</v>
      </c>
      <c r="AB291" s="6">
        <f t="shared" si="346"/>
        <v>687.27401767975357</v>
      </c>
      <c r="AC291" s="14">
        <f t="shared" si="312"/>
        <v>0.13537270295588455</v>
      </c>
    </row>
    <row r="292" spans="1:29" hidden="1" x14ac:dyDescent="0.25">
      <c r="A292" t="str">
        <f>'rockfish harvests'!A291</f>
        <v>SE</v>
      </c>
      <c r="B292">
        <f>'rockfish harvests'!B291</f>
        <v>2012</v>
      </c>
      <c r="C292" t="str">
        <f>'rockfish harvests'!C291</f>
        <v>NSEI</v>
      </c>
      <c r="D292">
        <f>'rockfish harvests'!D291</f>
        <v>15243</v>
      </c>
      <c r="E292">
        <v>6060</v>
      </c>
      <c r="F292">
        <v>1252</v>
      </c>
      <c r="I292" s="13">
        <f t="shared" si="347"/>
        <v>1252</v>
      </c>
      <c r="J292">
        <f t="shared" si="340"/>
        <v>0</v>
      </c>
      <c r="K292">
        <f t="shared" si="341"/>
        <v>0</v>
      </c>
      <c r="L292" s="6">
        <f t="shared" si="342"/>
        <v>0</v>
      </c>
      <c r="N292" s="2">
        <f>'rockfish harvests'!O291</f>
        <v>15088.837840909095</v>
      </c>
      <c r="O292">
        <f>'rockfish harvests'!P291</f>
        <v>11116596.990618348</v>
      </c>
      <c r="P292">
        <f>IF([2]species_comp_Region1_forR!$D170&gt;49,[2]species_comp_Region1_forR!$J170,[2]species_comp_Region1_forR!$L170)</f>
        <v>6.8093385000000006E-2</v>
      </c>
      <c r="Q292">
        <f>IF([2]species_comp_Region1_forR!$D170&gt;49,[2]species_comp_Region1_forR!$K170,[2]species_comp_Region1_forR!$M170)</f>
        <v>1.2369700000000001E-4</v>
      </c>
      <c r="T292" s="13">
        <f t="shared" si="336"/>
        <v>1027.4500443035918</v>
      </c>
      <c r="U292" s="14">
        <f t="shared" si="337"/>
        <v>78331.806984549228</v>
      </c>
      <c r="V292">
        <f t="shared" si="343"/>
        <v>279.87820026673967</v>
      </c>
      <c r="W292" s="6">
        <f t="shared" si="344"/>
        <v>548.56127252280976</v>
      </c>
      <c r="Y292" s="13">
        <f t="shared" si="338"/>
        <v>2279.4500443035918</v>
      </c>
      <c r="Z292">
        <f t="shared" si="339"/>
        <v>78331.806984549228</v>
      </c>
      <c r="AA292">
        <f t="shared" si="345"/>
        <v>279.87820026673967</v>
      </c>
      <c r="AB292" s="6">
        <f t="shared" si="346"/>
        <v>548.56127252280976</v>
      </c>
      <c r="AC292" s="14">
        <f t="shared" si="312"/>
        <v>0.12278321297988652</v>
      </c>
    </row>
    <row r="293" spans="1:29" hidden="1" x14ac:dyDescent="0.25">
      <c r="A293" t="str">
        <f>'rockfish harvests'!A292</f>
        <v>SE</v>
      </c>
      <c r="B293">
        <f>'rockfish harvests'!B292</f>
        <v>2013</v>
      </c>
      <c r="C293" t="str">
        <f>'rockfish harvests'!C292</f>
        <v>NSEI</v>
      </c>
      <c r="D293">
        <f>'rockfish harvests'!D292</f>
        <v>14770</v>
      </c>
      <c r="E293">
        <v>5187</v>
      </c>
      <c r="F293">
        <v>1159</v>
      </c>
      <c r="I293" s="13">
        <f t="shared" si="347"/>
        <v>1159</v>
      </c>
      <c r="J293">
        <f t="shared" si="340"/>
        <v>0</v>
      </c>
      <c r="K293">
        <f t="shared" si="341"/>
        <v>0</v>
      </c>
      <c r="L293" s="6">
        <f t="shared" si="342"/>
        <v>0</v>
      </c>
      <c r="N293" s="2">
        <f>'rockfish harvests'!O292</f>
        <v>8172.238805970148</v>
      </c>
      <c r="O293">
        <f>'rockfish harvests'!P292</f>
        <v>2814788.8573717903</v>
      </c>
      <c r="P293">
        <f>IF([2]species_comp_Region1_forR!$D171&gt;49,[2]species_comp_Region1_forR!$J171,[2]species_comp_Region1_forR!$L171)</f>
        <v>8.0366225999999999E-2</v>
      </c>
      <c r="Q293">
        <f>IF([2]species_comp_Region1_forR!$D171&gt;49,[2]species_comp_Region1_forR!$K171,[2]species_comp_Region1_forR!$M171)</f>
        <v>7.5262199999999999E-5</v>
      </c>
      <c r="T293" s="13">
        <f t="shared" si="336"/>
        <v>656.77199080656703</v>
      </c>
      <c r="U293" s="14">
        <f t="shared" si="337"/>
        <v>22994.537514500465</v>
      </c>
      <c r="V293">
        <f t="shared" si="343"/>
        <v>151.63949853023277</v>
      </c>
      <c r="W293" s="6">
        <f t="shared" si="344"/>
        <v>297.21341711925623</v>
      </c>
      <c r="Y293" s="13">
        <f t="shared" si="338"/>
        <v>1815.7719908065669</v>
      </c>
      <c r="Z293">
        <f t="shared" si="339"/>
        <v>22994.537514500465</v>
      </c>
      <c r="AA293">
        <f t="shared" si="345"/>
        <v>151.63949853023277</v>
      </c>
      <c r="AB293" s="6">
        <f t="shared" si="346"/>
        <v>297.21341711925623</v>
      </c>
      <c r="AC293" s="14">
        <f t="shared" si="312"/>
        <v>8.3512411964717231E-2</v>
      </c>
    </row>
    <row r="294" spans="1:29" hidden="1" x14ac:dyDescent="0.25">
      <c r="A294" t="str">
        <f>'rockfish harvests'!A293</f>
        <v>SE</v>
      </c>
      <c r="B294">
        <f>'rockfish harvests'!B293</f>
        <v>2014</v>
      </c>
      <c r="C294" t="str">
        <f>'rockfish harvests'!C293</f>
        <v>NSEI</v>
      </c>
      <c r="D294">
        <f>'rockfish harvests'!D293</f>
        <v>19857</v>
      </c>
      <c r="E294">
        <v>6286</v>
      </c>
      <c r="F294">
        <v>1206</v>
      </c>
      <c r="I294" s="13">
        <f t="shared" si="347"/>
        <v>1206</v>
      </c>
      <c r="J294">
        <f t="shared" si="340"/>
        <v>0</v>
      </c>
      <c r="K294">
        <f t="shared" si="341"/>
        <v>0</v>
      </c>
      <c r="L294" s="6">
        <f t="shared" si="342"/>
        <v>0</v>
      </c>
      <c r="N294" s="2">
        <f>'rockfish harvests'!O293</f>
        <v>12419.119924151324</v>
      </c>
      <c r="O294">
        <f>'rockfish harvests'!P293</f>
        <v>9528568.3691134229</v>
      </c>
      <c r="P294">
        <f>IF([2]species_comp_Region1_forR!$D172&gt;49,[2]species_comp_Region1_forR!$J172,[2]species_comp_Region1_forR!$L172)</f>
        <v>6.5004452000000004E-2</v>
      </c>
      <c r="Q294">
        <f>IF([2]species_comp_Region1_forR!$D172&gt;49,[2]species_comp_Region1_forR!$K172,[2]species_comp_Region1_forR!$M172)</f>
        <v>5.4170099999999998E-5</v>
      </c>
      <c r="T294" s="13">
        <f t="shared" si="336"/>
        <v>807.29808499173839</v>
      </c>
      <c r="U294" s="14">
        <f t="shared" si="337"/>
        <v>48102.453239666713</v>
      </c>
      <c r="V294">
        <f t="shared" si="343"/>
        <v>219.32271482832488</v>
      </c>
      <c r="W294" s="6">
        <f t="shared" si="344"/>
        <v>429.87252106351673</v>
      </c>
      <c r="Y294" s="13">
        <f t="shared" si="338"/>
        <v>2013.2980849917385</v>
      </c>
      <c r="Z294">
        <f t="shared" si="339"/>
        <v>48102.453239666713</v>
      </c>
      <c r="AA294">
        <f t="shared" si="345"/>
        <v>219.32271482832488</v>
      </c>
      <c r="AB294" s="6">
        <f t="shared" si="346"/>
        <v>429.87252106351673</v>
      </c>
      <c r="AC294" s="14">
        <f t="shared" si="312"/>
        <v>0.10893703046919893</v>
      </c>
    </row>
    <row r="295" spans="1:29" hidden="1" x14ac:dyDescent="0.25">
      <c r="A295" t="str">
        <f>'rockfish harvests'!A294</f>
        <v>SE</v>
      </c>
      <c r="B295">
        <f>'rockfish harvests'!B294</f>
        <v>2015</v>
      </c>
      <c r="C295" t="str">
        <f>'rockfish harvests'!C294</f>
        <v>NSEI</v>
      </c>
      <c r="D295">
        <f>'rockfish harvests'!D294</f>
        <v>22095</v>
      </c>
      <c r="E295">
        <v>8119</v>
      </c>
      <c r="F295">
        <v>1555</v>
      </c>
      <c r="I295" s="13">
        <f t="shared" si="347"/>
        <v>1555</v>
      </c>
      <c r="J295">
        <f t="shared" si="340"/>
        <v>0</v>
      </c>
      <c r="K295">
        <f t="shared" si="341"/>
        <v>0</v>
      </c>
      <c r="L295" s="6">
        <f t="shared" si="342"/>
        <v>0</v>
      </c>
      <c r="N295" s="2">
        <f>'rockfish harvests'!O294</f>
        <v>9668.8857001484394</v>
      </c>
      <c r="O295">
        <f>'rockfish harvests'!P294</f>
        <v>4304414.6066964231</v>
      </c>
      <c r="P295">
        <f>IF([2]species_comp_Region1_forR!$D173&gt;49,[2]species_comp_Region1_forR!$J173,[2]species_comp_Region1_forR!$L173)</f>
        <v>7.3190789000000006E-2</v>
      </c>
      <c r="Q295">
        <f>IF([2]species_comp_Region1_forR!$D173&gt;49,[2]species_comp_Region1_forR!$K173,[2]species_comp_Region1_forR!$M173)</f>
        <v>5.58304E-5</v>
      </c>
      <c r="T295" s="13">
        <f t="shared" si="336"/>
        <v>707.6733731446817</v>
      </c>
      <c r="U295" s="14">
        <f t="shared" si="337"/>
        <v>28037.401419896178</v>
      </c>
      <c r="V295">
        <f t="shared" si="343"/>
        <v>167.4437261287988</v>
      </c>
      <c r="W295" s="6">
        <f t="shared" si="344"/>
        <v>328.18970321244564</v>
      </c>
      <c r="Y295" s="13">
        <f t="shared" si="338"/>
        <v>2262.6733731446816</v>
      </c>
      <c r="Z295">
        <f t="shared" si="339"/>
        <v>28037.401419896178</v>
      </c>
      <c r="AA295">
        <f t="shared" si="345"/>
        <v>167.4437261287988</v>
      </c>
      <c r="AB295" s="6">
        <f t="shared" si="346"/>
        <v>328.18970321244564</v>
      </c>
      <c r="AC295" s="14">
        <f t="shared" si="312"/>
        <v>7.4002605995263107E-2</v>
      </c>
    </row>
    <row r="296" spans="1:29" hidden="1" x14ac:dyDescent="0.25">
      <c r="A296" t="str">
        <f>'rockfish harvests'!A295</f>
        <v>SE</v>
      </c>
      <c r="B296">
        <f>'rockfish harvests'!B295</f>
        <v>2016</v>
      </c>
      <c r="C296" t="str">
        <f>'rockfish harvests'!C295</f>
        <v>NSEI</v>
      </c>
      <c r="D296">
        <f>'rockfish harvests'!D295</f>
        <v>25877</v>
      </c>
      <c r="E296">
        <v>9231</v>
      </c>
      <c r="F296">
        <v>1642</v>
      </c>
      <c r="I296" s="13">
        <f t="shared" si="347"/>
        <v>1642</v>
      </c>
      <c r="J296">
        <f t="shared" si="340"/>
        <v>0</v>
      </c>
      <c r="K296">
        <f t="shared" si="341"/>
        <v>0</v>
      </c>
      <c r="L296" s="6">
        <f t="shared" si="342"/>
        <v>0</v>
      </c>
      <c r="N296" s="2">
        <f>'rockfish harvests'!O295</f>
        <v>14189.291818701371</v>
      </c>
      <c r="O296">
        <f>'rockfish harvests'!P295</f>
        <v>6762576.6255513411</v>
      </c>
      <c r="P296">
        <f>IF([2]species_comp_Region1_forR!$D174&gt;49,[2]species_comp_Region1_forR!$J174,[2]species_comp_Region1_forR!$L174)</f>
        <v>6.4073226999999996E-2</v>
      </c>
      <c r="Q296">
        <f>IF([2]species_comp_Region1_forR!$D174&gt;49,[2]species_comp_Region1_forR!$K174,[2]species_comp_Region1_forR!$M174)</f>
        <v>4.5776999999999999E-5</v>
      </c>
      <c r="T296" s="13">
        <f t="shared" si="336"/>
        <v>909.15371566889576</v>
      </c>
      <c r="U296" s="14">
        <f t="shared" si="337"/>
        <v>36669.923837762319</v>
      </c>
      <c r="V296">
        <f t="shared" si="343"/>
        <v>191.49392637303754</v>
      </c>
      <c r="W296" s="6">
        <f t="shared" si="344"/>
        <v>375.32809569115358</v>
      </c>
      <c r="Y296" s="13">
        <f t="shared" si="338"/>
        <v>2551.1537156688955</v>
      </c>
      <c r="Z296">
        <f t="shared" si="339"/>
        <v>36669.923837762319</v>
      </c>
      <c r="AA296">
        <f t="shared" si="345"/>
        <v>191.49392637303754</v>
      </c>
      <c r="AB296" s="6">
        <f t="shared" si="346"/>
        <v>375.32809569115358</v>
      </c>
      <c r="AC296" s="14">
        <f t="shared" si="312"/>
        <v>7.506169667351037E-2</v>
      </c>
    </row>
    <row r="297" spans="1:29" hidden="1" x14ac:dyDescent="0.25">
      <c r="A297" t="str">
        <f>'rockfish harvests'!A296</f>
        <v>SE</v>
      </c>
      <c r="B297">
        <f>'rockfish harvests'!B296</f>
        <v>2017</v>
      </c>
      <c r="C297" t="str">
        <f>'rockfish harvests'!C296</f>
        <v>NSEI</v>
      </c>
      <c r="D297">
        <f>'rockfish harvests'!D296</f>
        <v>24305</v>
      </c>
      <c r="E297">
        <v>5102</v>
      </c>
      <c r="F297">
        <v>1254</v>
      </c>
      <c r="I297" s="13">
        <f t="shared" si="347"/>
        <v>1254</v>
      </c>
      <c r="J297">
        <f t="shared" si="340"/>
        <v>0</v>
      </c>
      <c r="K297">
        <f t="shared" si="341"/>
        <v>0</v>
      </c>
      <c r="L297" s="6">
        <f t="shared" si="342"/>
        <v>0</v>
      </c>
      <c r="N297" s="2">
        <f>'rockfish harvests'!O296</f>
        <v>16806.228360636691</v>
      </c>
      <c r="O297">
        <f>'rockfish harvests'!P296</f>
        <v>14540377.874931889</v>
      </c>
      <c r="P297">
        <f>IF([2]species_comp_Region1_forR!$D175&gt;49,[2]species_comp_Region1_forR!$J175,[2]species_comp_Region1_forR!$L175)</f>
        <v>7.7260755E-2</v>
      </c>
      <c r="Q297">
        <f>IF([2]species_comp_Region1_forR!$D175&gt;49,[2]species_comp_Region1_forR!$K175,[2]species_comp_Region1_forR!$M175)</f>
        <v>6.2646300000000004E-5</v>
      </c>
      <c r="T297" s="13">
        <f t="shared" si="336"/>
        <v>1298.4618918452031</v>
      </c>
      <c r="U297" s="14">
        <f t="shared" si="337"/>
        <v>103578.27984840766</v>
      </c>
      <c r="V297">
        <f t="shared" si="343"/>
        <v>321.83579640619166</v>
      </c>
      <c r="W297" s="6">
        <f t="shared" si="344"/>
        <v>630.79816095613569</v>
      </c>
      <c r="Y297" s="13">
        <f t="shared" si="338"/>
        <v>2552.4618918452034</v>
      </c>
      <c r="Z297">
        <f t="shared" si="339"/>
        <v>103578.27984840766</v>
      </c>
      <c r="AA297">
        <f t="shared" si="345"/>
        <v>321.83579640619166</v>
      </c>
      <c r="AB297" s="6">
        <f t="shared" si="346"/>
        <v>630.79816095613569</v>
      </c>
      <c r="AC297" s="14">
        <f t="shared" si="312"/>
        <v>0.12608838448652918</v>
      </c>
    </row>
    <row r="298" spans="1:29" hidden="1" x14ac:dyDescent="0.25">
      <c r="A298" t="str">
        <f>'rockfish harvests'!A297</f>
        <v>SE</v>
      </c>
      <c r="B298">
        <f>'rockfish harvests'!B297</f>
        <v>2018</v>
      </c>
      <c r="C298" t="str">
        <f>'rockfish harvests'!C297</f>
        <v>NSEI</v>
      </c>
      <c r="D298">
        <f>'rockfish harvests'!D297</f>
        <v>34673</v>
      </c>
      <c r="E298">
        <v>6405</v>
      </c>
      <c r="F298">
        <v>1370</v>
      </c>
      <c r="I298" s="13">
        <f t="shared" si="347"/>
        <v>1370</v>
      </c>
      <c r="J298">
        <f t="shared" si="340"/>
        <v>0</v>
      </c>
      <c r="K298">
        <f t="shared" si="341"/>
        <v>0</v>
      </c>
      <c r="L298" s="6">
        <f t="shared" si="342"/>
        <v>0</v>
      </c>
      <c r="N298" s="2">
        <f>'rockfish harvests'!O297</f>
        <v>15349.26901059274</v>
      </c>
      <c r="O298">
        <f>'rockfish harvests'!P297</f>
        <v>8197994.4604236083</v>
      </c>
      <c r="P298">
        <f>IF([2]species_comp_Region1_forR!$D176&gt;49,[2]species_comp_Region1_forR!$J176,[2]species_comp_Region1_forR!$L176)</f>
        <v>8.1145585000000006E-2</v>
      </c>
      <c r="Q298">
        <f>IF([2]species_comp_Region1_forR!$D176&gt;49,[2]species_comp_Region1_forR!$K176,[2]species_comp_Region1_forR!$M176)</f>
        <v>5.9363800000000002E-5</v>
      </c>
      <c r="T298" s="13">
        <f t="shared" si="336"/>
        <v>1245.5254131869192</v>
      </c>
      <c r="U298" s="14">
        <f t="shared" si="337"/>
        <v>67480.013913464078</v>
      </c>
      <c r="V298">
        <f t="shared" si="343"/>
        <v>259.76915504629119</v>
      </c>
      <c r="W298" s="6">
        <f t="shared" si="344"/>
        <v>509.14754389073073</v>
      </c>
      <c r="Y298" s="13">
        <f t="shared" si="338"/>
        <v>2615.5254131869192</v>
      </c>
      <c r="Z298">
        <f t="shared" si="339"/>
        <v>67480.013913464078</v>
      </c>
      <c r="AA298">
        <f t="shared" si="345"/>
        <v>259.76915504629119</v>
      </c>
      <c r="AB298" s="6">
        <f t="shared" si="346"/>
        <v>509.14754389073073</v>
      </c>
      <c r="AC298" s="14">
        <f t="shared" si="312"/>
        <v>9.9318153720315897E-2</v>
      </c>
    </row>
    <row r="299" spans="1:29" hidden="1" x14ac:dyDescent="0.25">
      <c r="A299" t="str">
        <f>'rockfish harvests'!A298</f>
        <v>SE</v>
      </c>
      <c r="B299">
        <f>'rockfish harvests'!B298</f>
        <v>2019</v>
      </c>
      <c r="C299" t="str">
        <f>'rockfish harvests'!C298</f>
        <v>NSEI</v>
      </c>
      <c r="D299">
        <f>'rockfish harvests'!D298</f>
        <v>36293</v>
      </c>
      <c r="E299">
        <v>6197</v>
      </c>
      <c r="F299">
        <v>1413</v>
      </c>
      <c r="I299" s="13">
        <f>F299</f>
        <v>1413</v>
      </c>
      <c r="J299">
        <f>(E299^2)*H299</f>
        <v>0</v>
      </c>
      <c r="K299">
        <f>SQRT(J299)</f>
        <v>0</v>
      </c>
      <c r="L299" s="6">
        <f>(1.96*K299)</f>
        <v>0</v>
      </c>
      <c r="N299" s="2">
        <f>'rockfish harvests'!O298</f>
        <v>23183.361216730038</v>
      </c>
      <c r="O299">
        <f>'rockfish harvests'!P298</f>
        <v>24125308.819017805</v>
      </c>
      <c r="P299">
        <v>6.2632696390658174E-2</v>
      </c>
      <c r="Q299">
        <v>3.1178885678966438E-5</v>
      </c>
      <c r="T299" s="13">
        <f>N299*P299</f>
        <v>1452.0364244024122</v>
      </c>
      <c r="U299" s="14">
        <f>(N299^2)*Q299+(P299^2)*O299-(Q299*O299)</f>
        <v>110645.54053759474</v>
      </c>
      <c r="V299">
        <f>SQRT(U299)</f>
        <v>332.63424438502233</v>
      </c>
      <c r="W299" s="6">
        <f>(1.96*V299)</f>
        <v>651.96311899464376</v>
      </c>
      <c r="Y299" s="13">
        <f>T299+I299</f>
        <v>2865.0364244024122</v>
      </c>
      <c r="Z299">
        <f>U299+J299</f>
        <v>110645.54053759474</v>
      </c>
      <c r="AA299">
        <f>SQRT(Z299)</f>
        <v>332.63424438502233</v>
      </c>
      <c r="AB299" s="6">
        <f>(1.96*AA299)</f>
        <v>651.96311899464376</v>
      </c>
      <c r="AC299" s="14">
        <f t="shared" si="312"/>
        <v>0.11610122703916513</v>
      </c>
    </row>
    <row r="300" spans="1:29" hidden="1" x14ac:dyDescent="0.25">
      <c r="A300" t="str">
        <f>'rockfish harvests'!A299</f>
        <v>SE</v>
      </c>
      <c r="B300">
        <f>'rockfish harvests'!B299</f>
        <v>2020</v>
      </c>
      <c r="C300" t="str">
        <f>'rockfish harvests'!C299</f>
        <v>NSEI</v>
      </c>
      <c r="D300">
        <f>'rockfish harvests'!D299</f>
        <v>17585</v>
      </c>
      <c r="E300">
        <v>283</v>
      </c>
      <c r="F300">
        <v>21</v>
      </c>
      <c r="I300" s="13">
        <f t="shared" ref="I300:I302" si="348">F300</f>
        <v>21</v>
      </c>
      <c r="J300">
        <f t="shared" ref="J300:J302" si="349">(E300^2)*H300</f>
        <v>0</v>
      </c>
      <c r="K300">
        <f t="shared" ref="K300:K302" si="350">SQRT(J300)</f>
        <v>0</v>
      </c>
      <c r="L300" s="6">
        <f t="shared" ref="L300:L302" si="351">(1.96*K300)</f>
        <v>0</v>
      </c>
      <c r="N300" s="2">
        <f>'rockfish harvests'!O299</f>
        <v>4858.3978904449577</v>
      </c>
      <c r="O300">
        <f>'rockfish harvests'!P299</f>
        <v>1472700.4379098967</v>
      </c>
      <c r="P300" t="s">
        <v>206</v>
      </c>
      <c r="Q300" t="s">
        <v>207</v>
      </c>
      <c r="T300" s="13">
        <f t="shared" ref="T300:T301" si="352">N300*P300</f>
        <v>52.381648414501136</v>
      </c>
      <c r="U300" s="14">
        <f t="shared" ref="U300:U301" si="353">(N300^2)*Q300+(P300^2)*O300-(Q300*O300)</f>
        <v>809.13937453062499</v>
      </c>
      <c r="V300">
        <f t="shared" ref="V300:V301" si="354">SQRT(U300)</f>
        <v>28.44537527491288</v>
      </c>
      <c r="W300" s="6">
        <f t="shared" ref="W300:W301" si="355">(1.96*V300)</f>
        <v>55.752935538829242</v>
      </c>
      <c r="Y300" s="13">
        <f t="shared" ref="Y300:Y301" si="356">T300+I300</f>
        <v>73.381648414501143</v>
      </c>
      <c r="Z300">
        <f t="shared" ref="Z300:Z301" si="357">U300+J300</f>
        <v>809.13937453062499</v>
      </c>
      <c r="AA300">
        <f t="shared" ref="AA300:AA301" si="358">SQRT(Z300)</f>
        <v>28.44537527491288</v>
      </c>
      <c r="AB300" s="6">
        <f t="shared" ref="AB300:AB301" si="359">(1.96*AA300)</f>
        <v>55.752935538829242</v>
      </c>
      <c r="AC300" s="14">
        <f t="shared" ref="AC300:AC301" si="360">AA300/Y300</f>
        <v>0.3876360900785068</v>
      </c>
    </row>
    <row r="301" spans="1:29" hidden="1" x14ac:dyDescent="0.25">
      <c r="A301" t="str">
        <f>'rockfish harvests'!A300</f>
        <v>SE</v>
      </c>
      <c r="B301">
        <f>'rockfish harvests'!B300</f>
        <v>2021</v>
      </c>
      <c r="C301" t="str">
        <f>'rockfish harvests'!C300</f>
        <v>NSEI</v>
      </c>
      <c r="D301">
        <f>'rockfish harvests'!D300</f>
        <v>33151</v>
      </c>
      <c r="E301">
        <v>1940</v>
      </c>
      <c r="F301">
        <v>4</v>
      </c>
      <c r="I301" s="13">
        <f t="shared" si="348"/>
        <v>4</v>
      </c>
      <c r="J301">
        <f t="shared" si="349"/>
        <v>0</v>
      </c>
      <c r="K301">
        <f t="shared" si="350"/>
        <v>0</v>
      </c>
      <c r="L301" s="6">
        <f t="shared" si="351"/>
        <v>0</v>
      </c>
      <c r="N301" s="2">
        <f>'rockfish harvests'!O300</f>
        <v>7926.4899805809182</v>
      </c>
      <c r="O301">
        <f>'rockfish harvests'!P300</f>
        <v>3864104.3574178377</v>
      </c>
      <c r="P301" t="s">
        <v>208</v>
      </c>
      <c r="Q301" t="s">
        <v>209</v>
      </c>
      <c r="T301" s="13">
        <f t="shared" si="352"/>
        <v>94.36297595929662</v>
      </c>
      <c r="U301" s="14">
        <f t="shared" si="353"/>
        <v>2203.0257318570839</v>
      </c>
      <c r="V301">
        <f t="shared" si="354"/>
        <v>46.936400925689689</v>
      </c>
      <c r="W301" s="6">
        <f t="shared" si="355"/>
        <v>91.995345814351793</v>
      </c>
      <c r="Y301" s="13">
        <f t="shared" si="356"/>
        <v>98.36297595929662</v>
      </c>
      <c r="Z301">
        <f t="shared" si="357"/>
        <v>2203.0257318570839</v>
      </c>
      <c r="AA301">
        <f t="shared" si="358"/>
        <v>46.936400925689689</v>
      </c>
      <c r="AB301" s="6">
        <f t="shared" si="359"/>
        <v>91.995345814351793</v>
      </c>
      <c r="AC301" s="14">
        <f t="shared" si="360"/>
        <v>0.47717548669036147</v>
      </c>
    </row>
    <row r="302" spans="1:29" s="51" customFormat="1" hidden="1" x14ac:dyDescent="0.25">
      <c r="A302" s="51" t="s">
        <v>151</v>
      </c>
      <c r="B302" s="51">
        <v>2022</v>
      </c>
      <c r="C302" s="51" t="s">
        <v>38</v>
      </c>
      <c r="D302">
        <f>'rockfish harvests'!D301</f>
        <v>34168</v>
      </c>
      <c r="E302" s="51">
        <v>2848</v>
      </c>
      <c r="F302" s="51">
        <v>3</v>
      </c>
      <c r="I302" s="71">
        <f t="shared" si="348"/>
        <v>3</v>
      </c>
      <c r="J302" s="51">
        <f t="shared" si="349"/>
        <v>0</v>
      </c>
      <c r="K302" s="51">
        <f t="shared" si="350"/>
        <v>0</v>
      </c>
      <c r="L302" s="78">
        <f t="shared" si="351"/>
        <v>0</v>
      </c>
      <c r="N302" s="2">
        <f>'rockfish harvests'!O301</f>
        <v>23959.726273535314</v>
      </c>
      <c r="O302">
        <f>'rockfish harvests'!P301</f>
        <v>56312393.20575878</v>
      </c>
      <c r="P302" t="s">
        <v>210</v>
      </c>
      <c r="Q302" t="s">
        <v>211</v>
      </c>
      <c r="T302" s="13">
        <f t="shared" ref="T302" si="361">N302*P302</f>
        <v>17.028945468042153</v>
      </c>
      <c r="U302" s="14">
        <f t="shared" ref="U302" si="362">(N302^2)*Q302+(P302^2)*O302-(Q302*O302)</f>
        <v>289.98498375355348</v>
      </c>
      <c r="V302">
        <f t="shared" ref="V302" si="363">SQRT(U302)</f>
        <v>17.028945468042156</v>
      </c>
      <c r="W302" s="6">
        <f t="shared" ref="W302" si="364">(1.96*V302)</f>
        <v>33.376733117362626</v>
      </c>
      <c r="X302"/>
      <c r="Y302" s="13">
        <f t="shared" ref="Y302" si="365">T302+I302</f>
        <v>20.028945468042153</v>
      </c>
      <c r="Z302">
        <f t="shared" ref="Z302" si="366">U302+J302</f>
        <v>289.98498375355348</v>
      </c>
      <c r="AA302">
        <f t="shared" ref="AA302" si="367">SQRT(Z302)</f>
        <v>17.028945468042156</v>
      </c>
      <c r="AB302" s="6">
        <f t="shared" ref="AB302" si="368">(1.96*AA302)</f>
        <v>33.376733117362626</v>
      </c>
      <c r="AC302" s="14">
        <f t="shared" ref="AC302" si="369">AA302/Y302</f>
        <v>0.85021677727433298</v>
      </c>
    </row>
    <row r="303" spans="1:29" hidden="1" x14ac:dyDescent="0.25">
      <c r="A303" t="str">
        <f>'rockfish harvests'!A302</f>
        <v>SE</v>
      </c>
      <c r="B303">
        <f>'rockfish harvests'!B302</f>
        <v>1998</v>
      </c>
      <c r="C303" t="str">
        <f>'rockfish harvests'!C302</f>
        <v>NSEO</v>
      </c>
      <c r="D303">
        <f>'rockfish harvests'!D302</f>
        <v>1123</v>
      </c>
      <c r="E303">
        <v>522</v>
      </c>
      <c r="F303" t="s">
        <v>159</v>
      </c>
      <c r="G303" s="32">
        <v>0.43998231500000001</v>
      </c>
      <c r="H303" s="32">
        <v>8.6081189999999991E-3</v>
      </c>
      <c r="I303" s="13">
        <f t="shared" ref="I303:I310" si="370">E303*G303</f>
        <v>229.67076843000001</v>
      </c>
      <c r="J303">
        <f t="shared" si="340"/>
        <v>2345.5746975959996</v>
      </c>
      <c r="K303">
        <f t="shared" si="341"/>
        <v>48.43113355679381</v>
      </c>
      <c r="L303" s="6">
        <f t="shared" si="342"/>
        <v>94.925021771315869</v>
      </c>
      <c r="N303" s="2">
        <f>'rockfish harvests'!O302</f>
        <v>595.65533897155365</v>
      </c>
      <c r="O303">
        <f>'rockfish harvests'!P302</f>
        <v>93360.34279041113</v>
      </c>
      <c r="P303" s="32">
        <v>0.19025525099999999</v>
      </c>
      <c r="Q303" s="32">
        <v>1.3070167000000001E-2</v>
      </c>
      <c r="T303" s="13">
        <f t="shared" si="336"/>
        <v>113.32655602552302</v>
      </c>
      <c r="U303" s="14">
        <f t="shared" si="337"/>
        <v>6796.499007195559</v>
      </c>
      <c r="V303">
        <f t="shared" si="343"/>
        <v>82.440881892393406</v>
      </c>
      <c r="W303" s="6">
        <f t="shared" si="344"/>
        <v>161.58412850909107</v>
      </c>
      <c r="Y303" s="13">
        <f t="shared" si="338"/>
        <v>342.99732445552303</v>
      </c>
      <c r="Z303">
        <f t="shared" si="339"/>
        <v>9142.0737047915591</v>
      </c>
      <c r="AA303">
        <f t="shared" si="345"/>
        <v>95.614191963283147</v>
      </c>
      <c r="AB303" s="6">
        <f t="shared" si="346"/>
        <v>187.40381624803496</v>
      </c>
      <c r="AC303" s="14">
        <f t="shared" si="312"/>
        <v>0.27876075160370989</v>
      </c>
    </row>
    <row r="304" spans="1:29" hidden="1" x14ac:dyDescent="0.25">
      <c r="A304" t="str">
        <f>'rockfish harvests'!A303</f>
        <v>SE</v>
      </c>
      <c r="B304">
        <f>'rockfish harvests'!B303</f>
        <v>1999</v>
      </c>
      <c r="C304" t="str">
        <f>'rockfish harvests'!C303</f>
        <v>NSEO</v>
      </c>
      <c r="D304">
        <f>'rockfish harvests'!D303</f>
        <v>1071</v>
      </c>
      <c r="E304">
        <v>587</v>
      </c>
      <c r="F304" t="s">
        <v>159</v>
      </c>
      <c r="G304" s="32">
        <v>0.43998231500000001</v>
      </c>
      <c r="H304" s="32">
        <v>8.6081189999999991E-3</v>
      </c>
      <c r="I304" s="13">
        <f t="shared" si="370"/>
        <v>258.26961890500002</v>
      </c>
      <c r="J304">
        <f t="shared" si="340"/>
        <v>2966.0909557109999</v>
      </c>
      <c r="K304">
        <f t="shared" si="341"/>
        <v>54.461830264057411</v>
      </c>
      <c r="L304" s="6">
        <f t="shared" si="342"/>
        <v>106.74518731755252</v>
      </c>
      <c r="N304" s="2">
        <f>'rockfish harvests'!O303</f>
        <v>568.07379166387705</v>
      </c>
      <c r="O304">
        <f>'rockfish harvests'!P303</f>
        <v>84914.501969787365</v>
      </c>
      <c r="P304" s="32">
        <v>0.19025525099999999</v>
      </c>
      <c r="Q304" s="32">
        <v>1.3070167000000001E-2</v>
      </c>
      <c r="T304" s="13">
        <f t="shared" si="336"/>
        <v>108.07902181953263</v>
      </c>
      <c r="U304" s="14">
        <f t="shared" si="337"/>
        <v>6181.6539130514011</v>
      </c>
      <c r="V304">
        <f t="shared" si="343"/>
        <v>78.623494663181958</v>
      </c>
      <c r="W304" s="6">
        <f t="shared" si="344"/>
        <v>154.10204953983663</v>
      </c>
      <c r="Y304" s="13">
        <f t="shared" si="338"/>
        <v>366.34864072453263</v>
      </c>
      <c r="Z304">
        <f t="shared" si="339"/>
        <v>9147.7448687624019</v>
      </c>
      <c r="AA304">
        <f t="shared" si="345"/>
        <v>95.643843862333355</v>
      </c>
      <c r="AB304" s="6">
        <f t="shared" si="346"/>
        <v>187.46193397017336</v>
      </c>
      <c r="AC304" s="14">
        <f t="shared" si="312"/>
        <v>0.26107328711027078</v>
      </c>
    </row>
    <row r="305" spans="1:29" hidden="1" x14ac:dyDescent="0.25">
      <c r="A305" t="str">
        <f>'rockfish harvests'!A304</f>
        <v>SE</v>
      </c>
      <c r="B305">
        <f>'rockfish harvests'!B304</f>
        <v>2000</v>
      </c>
      <c r="C305" t="str">
        <f>'rockfish harvests'!C304</f>
        <v>NSEO</v>
      </c>
      <c r="D305">
        <f>'rockfish harvests'!D304</f>
        <v>2883</v>
      </c>
      <c r="E305">
        <v>1426</v>
      </c>
      <c r="F305" t="s">
        <v>159</v>
      </c>
      <c r="G305" s="32">
        <v>0.43998231500000001</v>
      </c>
      <c r="H305" s="32">
        <v>8.6081189999999991E-3</v>
      </c>
      <c r="I305" s="13">
        <f t="shared" si="370"/>
        <v>627.41478118999999</v>
      </c>
      <c r="J305">
        <f t="shared" si="340"/>
        <v>17504.403391643998</v>
      </c>
      <c r="K305">
        <f t="shared" si="341"/>
        <v>132.30420776242909</v>
      </c>
      <c r="L305" s="6">
        <f t="shared" si="342"/>
        <v>259.316247214361</v>
      </c>
      <c r="N305" s="2">
        <f>'rockfish harvests'!O304</f>
        <v>1529.1846324621447</v>
      </c>
      <c r="O305">
        <f>'rockfish harvests'!P304</f>
        <v>615307.50161743129</v>
      </c>
      <c r="P305" s="32">
        <v>0.19025525099999999</v>
      </c>
      <c r="Q305" s="32">
        <v>1.3070167000000001E-2</v>
      </c>
      <c r="T305" s="13">
        <f t="shared" si="336"/>
        <v>290.93540607442804</v>
      </c>
      <c r="U305" s="14">
        <f t="shared" si="337"/>
        <v>44793.503310619475</v>
      </c>
      <c r="V305">
        <f t="shared" si="343"/>
        <v>211.64475734262703</v>
      </c>
      <c r="W305" s="6">
        <f t="shared" si="344"/>
        <v>414.82372439154898</v>
      </c>
      <c r="Y305" s="13">
        <f t="shared" si="338"/>
        <v>918.35018726442809</v>
      </c>
      <c r="Z305">
        <f t="shared" si="339"/>
        <v>62297.90670226347</v>
      </c>
      <c r="AA305">
        <f t="shared" si="345"/>
        <v>249.59548614160366</v>
      </c>
      <c r="AB305" s="6">
        <f t="shared" si="346"/>
        <v>489.20715283754316</v>
      </c>
      <c r="AC305" s="14">
        <f t="shared" si="312"/>
        <v>0.27178682990754982</v>
      </c>
    </row>
    <row r="306" spans="1:29" hidden="1" x14ac:dyDescent="0.25">
      <c r="A306" t="str">
        <f>'rockfish harvests'!A305</f>
        <v>SE</v>
      </c>
      <c r="B306">
        <f>'rockfish harvests'!B305</f>
        <v>2001</v>
      </c>
      <c r="C306" t="str">
        <f>'rockfish harvests'!C305</f>
        <v>NSEO</v>
      </c>
      <c r="D306">
        <f>'rockfish harvests'!D305</f>
        <v>2839</v>
      </c>
      <c r="E306">
        <v>1604</v>
      </c>
      <c r="F306" t="s">
        <v>159</v>
      </c>
      <c r="G306" s="32">
        <v>0.43998231500000001</v>
      </c>
      <c r="H306" s="32">
        <v>8.6081189999999991E-3</v>
      </c>
      <c r="I306" s="13">
        <f t="shared" si="370"/>
        <v>705.73163325999997</v>
      </c>
      <c r="J306">
        <f t="shared" si="340"/>
        <v>22147.106293103996</v>
      </c>
      <c r="K306">
        <f t="shared" si="341"/>
        <v>148.81903874539708</v>
      </c>
      <c r="L306" s="6">
        <f t="shared" si="342"/>
        <v>291.68531594097828</v>
      </c>
      <c r="N306" s="2">
        <f>'rockfish harvests'!O305</f>
        <v>1505.8464001248803</v>
      </c>
      <c r="O306">
        <f>'rockfish harvests'!P305</f>
        <v>596669.32361688081</v>
      </c>
      <c r="P306" s="32">
        <v>0.19025525099999999</v>
      </c>
      <c r="Q306" s="32">
        <v>1.3070167000000001E-2</v>
      </c>
      <c r="T306" s="13">
        <f t="shared" si="336"/>
        <v>286.49518482320553</v>
      </c>
      <c r="U306" s="14">
        <f t="shared" si="337"/>
        <v>43436.670693144501</v>
      </c>
      <c r="V306">
        <f t="shared" si="343"/>
        <v>208.41466045637119</v>
      </c>
      <c r="W306" s="6">
        <f t="shared" si="344"/>
        <v>408.49273449448754</v>
      </c>
      <c r="Y306" s="13">
        <f t="shared" si="338"/>
        <v>992.22681808320544</v>
      </c>
      <c r="Z306">
        <f t="shared" si="339"/>
        <v>65583.7769862485</v>
      </c>
      <c r="AA306">
        <f t="shared" si="345"/>
        <v>256.09329742546663</v>
      </c>
      <c r="AB306" s="6">
        <f t="shared" si="346"/>
        <v>501.94286295391458</v>
      </c>
      <c r="AC306" s="14">
        <f t="shared" si="312"/>
        <v>0.25809955219733977</v>
      </c>
    </row>
    <row r="307" spans="1:29" hidden="1" x14ac:dyDescent="0.25">
      <c r="A307" t="str">
        <f>'rockfish harvests'!A306</f>
        <v>SE</v>
      </c>
      <c r="B307">
        <f>'rockfish harvests'!B306</f>
        <v>2002</v>
      </c>
      <c r="C307" t="str">
        <f>'rockfish harvests'!C306</f>
        <v>NSEO</v>
      </c>
      <c r="D307">
        <f>'rockfish harvests'!D306</f>
        <v>2029</v>
      </c>
      <c r="E307">
        <v>1342</v>
      </c>
      <c r="F307" t="s">
        <v>159</v>
      </c>
      <c r="G307" s="32">
        <v>0.43998231500000001</v>
      </c>
      <c r="H307" s="32">
        <v>8.6081189999999991E-3</v>
      </c>
      <c r="I307" s="13">
        <f t="shared" si="370"/>
        <v>590.45626673000004</v>
      </c>
      <c r="J307">
        <f t="shared" si="340"/>
        <v>15502.912426715999</v>
      </c>
      <c r="K307">
        <f t="shared" si="341"/>
        <v>124.51069201765766</v>
      </c>
      <c r="L307" s="6">
        <f t="shared" si="342"/>
        <v>244.04095635460902</v>
      </c>
      <c r="N307" s="2">
        <f>'rockfish harvests'!O306</f>
        <v>1076.2107593706878</v>
      </c>
      <c r="O307">
        <f>'rockfish harvests'!P306</f>
        <v>304766.3537779394</v>
      </c>
      <c r="P307" s="32">
        <v>0.19025525099999999</v>
      </c>
      <c r="Q307" s="32">
        <v>1.3070167000000001E-2</v>
      </c>
      <c r="T307" s="13">
        <f t="shared" si="336"/>
        <v>204.75474815297079</v>
      </c>
      <c r="U307" s="14">
        <f t="shared" si="337"/>
        <v>22186.553294137215</v>
      </c>
      <c r="V307">
        <f t="shared" si="343"/>
        <v>148.95151323211596</v>
      </c>
      <c r="W307" s="6">
        <f t="shared" si="344"/>
        <v>291.94496593494728</v>
      </c>
      <c r="Y307" s="13">
        <f t="shared" si="338"/>
        <v>795.21101488297086</v>
      </c>
      <c r="Z307">
        <f t="shared" si="339"/>
        <v>37689.465720853215</v>
      </c>
      <c r="AA307">
        <f t="shared" si="345"/>
        <v>194.13774934528632</v>
      </c>
      <c r="AB307" s="6">
        <f t="shared" si="346"/>
        <v>380.5099887167612</v>
      </c>
      <c r="AC307" s="14">
        <f t="shared" si="312"/>
        <v>0.24413362706483269</v>
      </c>
    </row>
    <row r="308" spans="1:29" hidden="1" x14ac:dyDescent="0.25">
      <c r="A308" t="str">
        <f>'rockfish harvests'!A307</f>
        <v>SE</v>
      </c>
      <c r="B308">
        <f>'rockfish harvests'!B307</f>
        <v>2003</v>
      </c>
      <c r="C308" t="str">
        <f>'rockfish harvests'!C307</f>
        <v>NSEO</v>
      </c>
      <c r="D308">
        <f>'rockfish harvests'!D307</f>
        <v>3083</v>
      </c>
      <c r="E308">
        <v>1659</v>
      </c>
      <c r="F308" t="s">
        <v>159</v>
      </c>
      <c r="G308" s="32">
        <v>0.43998231500000001</v>
      </c>
      <c r="H308" s="32">
        <v>8.6081189999999991E-3</v>
      </c>
      <c r="I308" s="13">
        <f t="shared" si="370"/>
        <v>729.93066058500006</v>
      </c>
      <c r="J308">
        <f t="shared" si="340"/>
        <v>23691.962369438999</v>
      </c>
      <c r="K308">
        <f t="shared" si="341"/>
        <v>153.92193595923553</v>
      </c>
      <c r="L308" s="6">
        <f t="shared" si="342"/>
        <v>301.68699448010165</v>
      </c>
      <c r="N308" s="2">
        <f>'rockfish harvests'!O307</f>
        <v>1635.26750672244</v>
      </c>
      <c r="O308">
        <f>'rockfish harvests'!P307</f>
        <v>703639.11639872531</v>
      </c>
      <c r="P308" s="32">
        <v>0.19025525099999999</v>
      </c>
      <c r="Q308" s="32">
        <v>1.3070167000000001E-2</v>
      </c>
      <c r="T308" s="13">
        <f t="shared" si="336"/>
        <v>311.118229943622</v>
      </c>
      <c r="U308" s="14">
        <f t="shared" si="337"/>
        <v>51223.918133675463</v>
      </c>
      <c r="V308">
        <f t="shared" si="343"/>
        <v>226.32701591651727</v>
      </c>
      <c r="W308" s="6">
        <f t="shared" si="344"/>
        <v>443.60095119637384</v>
      </c>
      <c r="Y308" s="13">
        <f t="shared" si="338"/>
        <v>1041.048890528622</v>
      </c>
      <c r="Z308">
        <f t="shared" si="339"/>
        <v>74915.880503114458</v>
      </c>
      <c r="AA308">
        <f t="shared" si="345"/>
        <v>273.70765517813794</v>
      </c>
      <c r="AB308" s="6">
        <f t="shared" si="346"/>
        <v>536.4670041491504</v>
      </c>
      <c r="AC308" s="14">
        <f t="shared" si="312"/>
        <v>0.26291527484281274</v>
      </c>
    </row>
    <row r="309" spans="1:29" hidden="1" x14ac:dyDescent="0.25">
      <c r="A309" t="str">
        <f>'rockfish harvests'!A308</f>
        <v>SE</v>
      </c>
      <c r="B309">
        <f>'rockfish harvests'!B308</f>
        <v>2004</v>
      </c>
      <c r="C309" t="str">
        <f>'rockfish harvests'!C308</f>
        <v>NSEO</v>
      </c>
      <c r="D309">
        <f>'rockfish harvests'!D308</f>
        <v>2923</v>
      </c>
      <c r="E309">
        <v>1924</v>
      </c>
      <c r="F309" t="s">
        <v>159</v>
      </c>
      <c r="G309" s="32">
        <v>0.43998231500000001</v>
      </c>
      <c r="H309" s="32">
        <v>8.6081189999999991E-3</v>
      </c>
      <c r="I309" s="13">
        <f t="shared" si="370"/>
        <v>846.52597406000007</v>
      </c>
      <c r="J309">
        <f t="shared" si="340"/>
        <v>31865.328319343997</v>
      </c>
      <c r="K309">
        <f t="shared" si="341"/>
        <v>178.50862253500247</v>
      </c>
      <c r="L309" s="6">
        <f t="shared" si="342"/>
        <v>349.87690016860483</v>
      </c>
      <c r="N309" s="2">
        <f>'rockfish harvests'!O308</f>
        <v>1550.4012073142039</v>
      </c>
      <c r="O309">
        <f>'rockfish harvests'!P308</f>
        <v>632500.03783668019</v>
      </c>
      <c r="P309" s="32">
        <v>0.19025525099999999</v>
      </c>
      <c r="Q309" s="32">
        <v>1.3070167000000001E-2</v>
      </c>
      <c r="T309" s="13">
        <f t="shared" si="336"/>
        <v>294.97197084826689</v>
      </c>
      <c r="U309" s="14">
        <f t="shared" si="337"/>
        <v>46045.095280537789</v>
      </c>
      <c r="V309">
        <f t="shared" si="343"/>
        <v>214.58120905740509</v>
      </c>
      <c r="W309" s="6">
        <f t="shared" si="344"/>
        <v>420.57916975251396</v>
      </c>
      <c r="Y309" s="13">
        <f t="shared" si="338"/>
        <v>1141.4979449082671</v>
      </c>
      <c r="Z309">
        <f t="shared" si="339"/>
        <v>77910.423599881789</v>
      </c>
      <c r="AA309">
        <f t="shared" si="345"/>
        <v>279.12438732558246</v>
      </c>
      <c r="AB309" s="6">
        <f t="shared" si="346"/>
        <v>547.08379915814157</v>
      </c>
      <c r="AC309" s="14">
        <f t="shared" si="312"/>
        <v>0.24452465163922255</v>
      </c>
    </row>
    <row r="310" spans="1:29" hidden="1" x14ac:dyDescent="0.25">
      <c r="A310" t="str">
        <f>'rockfish harvests'!A309</f>
        <v>SE</v>
      </c>
      <c r="B310">
        <f>'rockfish harvests'!B309</f>
        <v>2005</v>
      </c>
      <c r="C310" t="str">
        <f>'rockfish harvests'!C309</f>
        <v>NSEO</v>
      </c>
      <c r="D310">
        <f>'rockfish harvests'!D309</f>
        <v>2796</v>
      </c>
      <c r="E310">
        <v>1608</v>
      </c>
      <c r="F310" t="s">
        <v>159</v>
      </c>
      <c r="G310" s="32">
        <v>0.43998231500000001</v>
      </c>
      <c r="H310" s="32">
        <v>8.6081189999999991E-3</v>
      </c>
      <c r="I310" s="13">
        <f t="shared" si="370"/>
        <v>707.49156252</v>
      </c>
      <c r="J310">
        <f t="shared" si="340"/>
        <v>22257.703406015997</v>
      </c>
      <c r="K310">
        <f t="shared" si="341"/>
        <v>149.19015854276714</v>
      </c>
      <c r="L310" s="6">
        <f t="shared" si="342"/>
        <v>292.4127107438236</v>
      </c>
      <c r="N310" s="2">
        <f>'rockfish harvests'!O309</f>
        <v>1483.0385821589171</v>
      </c>
      <c r="O310">
        <f>'rockfish harvests'!P309</f>
        <v>578731.68372450606</v>
      </c>
      <c r="P310" s="32">
        <v>0.19025525099999999</v>
      </c>
      <c r="Q310" s="32">
        <v>1.3070167000000001E-2</v>
      </c>
      <c r="T310" s="13">
        <f t="shared" si="336"/>
        <v>282.15587769132884</v>
      </c>
      <c r="U310" s="14">
        <f t="shared" si="337"/>
        <v>42130.836244853708</v>
      </c>
      <c r="V310">
        <f t="shared" si="343"/>
        <v>205.25797486298481</v>
      </c>
      <c r="W310" s="6">
        <f t="shared" si="344"/>
        <v>402.30563073145021</v>
      </c>
      <c r="Y310" s="13">
        <f t="shared" si="338"/>
        <v>989.64744021132879</v>
      </c>
      <c r="Z310">
        <f t="shared" si="339"/>
        <v>64388.539650869701</v>
      </c>
      <c r="AA310">
        <f t="shared" si="345"/>
        <v>253.74896975331683</v>
      </c>
      <c r="AB310" s="6">
        <f t="shared" si="346"/>
        <v>497.34798071650096</v>
      </c>
      <c r="AC310" s="14">
        <f t="shared" si="312"/>
        <v>0.25640340129524453</v>
      </c>
    </row>
    <row r="311" spans="1:29" hidden="1" x14ac:dyDescent="0.25">
      <c r="A311" t="str">
        <f>'rockfish harvests'!A310</f>
        <v>SE</v>
      </c>
      <c r="B311">
        <f>'rockfish harvests'!B310</f>
        <v>2006</v>
      </c>
      <c r="C311" t="str">
        <f>'rockfish harvests'!C310</f>
        <v>NSEO</v>
      </c>
      <c r="D311">
        <f>'rockfish harvests'!D310</f>
        <v>3058</v>
      </c>
      <c r="E311">
        <v>1651</v>
      </c>
      <c r="F311">
        <v>931</v>
      </c>
      <c r="I311" s="13">
        <f>F311</f>
        <v>931</v>
      </c>
      <c r="J311">
        <f t="shared" si="340"/>
        <v>0</v>
      </c>
      <c r="K311">
        <f t="shared" si="341"/>
        <v>0</v>
      </c>
      <c r="L311" s="6">
        <f t="shared" si="342"/>
        <v>0</v>
      </c>
      <c r="N311" s="2">
        <f>'rockfish harvests'!O310</f>
        <v>1622.0071474399028</v>
      </c>
      <c r="O311">
        <f>'rockfish harvests'!P310</f>
        <v>692273.78689881065</v>
      </c>
      <c r="P311">
        <f>IF([2]species_comp_Region1_forR!$D208&gt;49,[2]species_comp_Region1_forR!$J208,[2]species_comp_Region1_forR!$L208)</f>
        <v>0.393939394</v>
      </c>
      <c r="Q311">
        <f>IF([2]species_comp_Region1_forR!$D208&gt;49,[2]species_comp_Region1_forR!$K208,[2]species_comp_Region1_forR!$M208)</f>
        <v>3.6730949999999999E-3</v>
      </c>
      <c r="T311" s="13">
        <f t="shared" si="336"/>
        <v>638.97251272614392</v>
      </c>
      <c r="U311" s="14">
        <f t="shared" si="337"/>
        <v>114553.53948738723</v>
      </c>
      <c r="V311">
        <f t="shared" si="343"/>
        <v>338.45758890500184</v>
      </c>
      <c r="W311" s="6">
        <f t="shared" si="344"/>
        <v>663.37687425380363</v>
      </c>
      <c r="Y311" s="13">
        <f t="shared" si="338"/>
        <v>1569.972512726144</v>
      </c>
      <c r="Z311">
        <f t="shared" si="339"/>
        <v>114553.53948738723</v>
      </c>
      <c r="AA311">
        <f t="shared" si="345"/>
        <v>338.45758890500184</v>
      </c>
      <c r="AB311" s="6">
        <f t="shared" si="346"/>
        <v>663.37687425380363</v>
      </c>
      <c r="AC311" s="14">
        <f t="shared" si="312"/>
        <v>0.21558185647294847</v>
      </c>
    </row>
    <row r="312" spans="1:29" hidden="1" x14ac:dyDescent="0.25">
      <c r="A312" t="str">
        <f>'rockfish harvests'!A311</f>
        <v>SE</v>
      </c>
      <c r="B312">
        <f>'rockfish harvests'!B311</f>
        <v>2007</v>
      </c>
      <c r="C312" t="str">
        <f>'rockfish harvests'!C311</f>
        <v>NSEO</v>
      </c>
      <c r="D312">
        <f>'rockfish harvests'!D311</f>
        <v>4266</v>
      </c>
      <c r="E312">
        <v>1748</v>
      </c>
      <c r="F312">
        <v>1014</v>
      </c>
      <c r="I312" s="13">
        <f t="shared" ref="I312:I323" si="371">F312</f>
        <v>1014</v>
      </c>
      <c r="J312">
        <f t="shared" si="340"/>
        <v>0</v>
      </c>
      <c r="K312">
        <f t="shared" si="341"/>
        <v>0</v>
      </c>
      <c r="L312" s="6">
        <f t="shared" si="342"/>
        <v>0</v>
      </c>
      <c r="N312" s="2">
        <f>'rockfish harvests'!O311</f>
        <v>2262.7477079720811</v>
      </c>
      <c r="O312">
        <f>'rockfish harvests'!P311</f>
        <v>1347238.9410750614</v>
      </c>
      <c r="P312">
        <f>IF([2]species_comp_Region1_forR!$D209&gt;49,[2]species_comp_Region1_forR!$J209,[2]species_comp_Region1_forR!$L209)</f>
        <v>0.44262295099999999</v>
      </c>
      <c r="Q312">
        <f>IF([2]species_comp_Region1_forR!$D209&gt;49,[2]species_comp_Region1_forR!$K209,[2]species_comp_Region1_forR!$M209)</f>
        <v>4.1117979999999998E-3</v>
      </c>
      <c r="T312" s="13">
        <f t="shared" si="336"/>
        <v>1001.5440678710887</v>
      </c>
      <c r="U312" s="14">
        <f t="shared" si="337"/>
        <v>279457.36372001155</v>
      </c>
      <c r="V312">
        <f t="shared" si="343"/>
        <v>528.6372704605792</v>
      </c>
      <c r="W312" s="6">
        <f t="shared" si="344"/>
        <v>1036.1290501027352</v>
      </c>
      <c r="Y312" s="13">
        <f t="shared" si="338"/>
        <v>2015.5440678710888</v>
      </c>
      <c r="Z312">
        <f t="shared" si="339"/>
        <v>279457.36372001155</v>
      </c>
      <c r="AA312">
        <f t="shared" si="345"/>
        <v>528.6372704605792</v>
      </c>
      <c r="AB312" s="6">
        <f t="shared" si="346"/>
        <v>1036.1290501027352</v>
      </c>
      <c r="AC312" s="14">
        <f t="shared" si="312"/>
        <v>0.26228018473391673</v>
      </c>
    </row>
    <row r="313" spans="1:29" hidden="1" x14ac:dyDescent="0.25">
      <c r="A313" t="str">
        <f>'rockfish harvests'!A312</f>
        <v>SE</v>
      </c>
      <c r="B313">
        <f>'rockfish harvests'!B312</f>
        <v>2008</v>
      </c>
      <c r="C313" t="str">
        <f>'rockfish harvests'!C312</f>
        <v>NSEO</v>
      </c>
      <c r="D313">
        <f>'rockfish harvests'!D312</f>
        <v>5010</v>
      </c>
      <c r="E313">
        <v>1963</v>
      </c>
      <c r="F313">
        <v>1009</v>
      </c>
      <c r="I313" s="13">
        <f t="shared" si="371"/>
        <v>1009</v>
      </c>
      <c r="J313">
        <f t="shared" si="340"/>
        <v>0</v>
      </c>
      <c r="K313">
        <f t="shared" si="341"/>
        <v>0</v>
      </c>
      <c r="L313" s="6">
        <f t="shared" si="342"/>
        <v>0</v>
      </c>
      <c r="N313" s="2">
        <f>'rockfish harvests'!O312</f>
        <v>2657.3760002203771</v>
      </c>
      <c r="O313">
        <f>'rockfish harvests'!P312</f>
        <v>1858139.7621286947</v>
      </c>
      <c r="P313">
        <f>IF([2]species_comp_Region1_forR!$D210&gt;49,[2]species_comp_Region1_forR!$J210,[2]species_comp_Region1_forR!$L210)</f>
        <v>0.19801980199999999</v>
      </c>
      <c r="Q313">
        <f>IF([2]species_comp_Region1_forR!$D210&gt;49,[2]species_comp_Region1_forR!$K210,[2]species_comp_Region1_forR!$M210)</f>
        <v>1.58808E-3</v>
      </c>
      <c r="T313" s="13">
        <f t="shared" si="336"/>
        <v>526.21306940319107</v>
      </c>
      <c r="U313" s="14">
        <f t="shared" si="337"/>
        <v>81124.66883933144</v>
      </c>
      <c r="V313">
        <f t="shared" si="343"/>
        <v>284.82392603033094</v>
      </c>
      <c r="W313" s="6">
        <f t="shared" si="344"/>
        <v>558.25489501944867</v>
      </c>
      <c r="Y313" s="13">
        <f t="shared" si="338"/>
        <v>1535.2130694031912</v>
      </c>
      <c r="Z313">
        <f t="shared" si="339"/>
        <v>81124.66883933144</v>
      </c>
      <c r="AA313">
        <f t="shared" si="345"/>
        <v>284.82392603033094</v>
      </c>
      <c r="AB313" s="6">
        <f t="shared" si="346"/>
        <v>558.25489501944867</v>
      </c>
      <c r="AC313" s="14">
        <f t="shared" si="312"/>
        <v>0.18552729370722154</v>
      </c>
    </row>
    <row r="314" spans="1:29" hidden="1" x14ac:dyDescent="0.25">
      <c r="A314" t="str">
        <f>'rockfish harvests'!A313</f>
        <v>SE</v>
      </c>
      <c r="B314">
        <f>'rockfish harvests'!B313</f>
        <v>2009</v>
      </c>
      <c r="C314" t="str">
        <f>'rockfish harvests'!C313</f>
        <v>NSEO</v>
      </c>
      <c r="D314">
        <f>'rockfish harvests'!D313</f>
        <v>2818</v>
      </c>
      <c r="E314">
        <v>864</v>
      </c>
      <c r="F314">
        <v>580</v>
      </c>
      <c r="I314" s="13">
        <f t="shared" si="371"/>
        <v>580</v>
      </c>
      <c r="J314">
        <f t="shared" si="340"/>
        <v>0</v>
      </c>
      <c r="K314">
        <f t="shared" si="341"/>
        <v>0</v>
      </c>
      <c r="L314" s="6">
        <f t="shared" si="342"/>
        <v>0</v>
      </c>
      <c r="N314" s="2">
        <f>'rockfish harvests'!O313</f>
        <v>1494.7076983275492</v>
      </c>
      <c r="O314">
        <f>'rockfish harvests'!P313</f>
        <v>587874.87939866644</v>
      </c>
      <c r="P314">
        <f>IF([2]species_comp_Region1_forR!$D211&gt;49,[2]species_comp_Region1_forR!$J211,[2]species_comp_Region1_forR!$L211)</f>
        <v>0.23076923099999999</v>
      </c>
      <c r="Q314">
        <f>IF([2]species_comp_Region1_forR!$D211&gt;49,[2]species_comp_Region1_forR!$K211,[2]species_comp_Region1_forR!$M211)</f>
        <v>2.3053869999999999E-3</v>
      </c>
      <c r="T314" s="13">
        <f t="shared" si="336"/>
        <v>344.9325461128285</v>
      </c>
      <c r="U314" s="14">
        <f t="shared" si="337"/>
        <v>35102.250108092703</v>
      </c>
      <c r="V314">
        <f t="shared" si="343"/>
        <v>187.3559449499607</v>
      </c>
      <c r="W314" s="6">
        <f t="shared" si="344"/>
        <v>367.21765210192297</v>
      </c>
      <c r="Y314" s="13">
        <f t="shared" si="338"/>
        <v>924.9325461128285</v>
      </c>
      <c r="Z314">
        <f t="shared" si="339"/>
        <v>35102.250108092703</v>
      </c>
      <c r="AA314">
        <f t="shared" si="345"/>
        <v>187.3559449499607</v>
      </c>
      <c r="AB314" s="6">
        <f t="shared" si="346"/>
        <v>367.21765210192297</v>
      </c>
      <c r="AC314" s="14">
        <f t="shared" si="312"/>
        <v>0.20256173894772425</v>
      </c>
    </row>
    <row r="315" spans="1:29" hidden="1" x14ac:dyDescent="0.25">
      <c r="A315" t="str">
        <f>'rockfish harvests'!A314</f>
        <v>SE</v>
      </c>
      <c r="B315">
        <f>'rockfish harvests'!B314</f>
        <v>2010</v>
      </c>
      <c r="C315" t="str">
        <f>'rockfish harvests'!C314</f>
        <v>NSEO</v>
      </c>
      <c r="D315">
        <f>'rockfish harvests'!D314</f>
        <v>4613</v>
      </c>
      <c r="E315">
        <v>1642</v>
      </c>
      <c r="F315">
        <v>737</v>
      </c>
      <c r="I315" s="13">
        <f t="shared" si="371"/>
        <v>737</v>
      </c>
      <c r="J315">
        <f t="shared" si="340"/>
        <v>0</v>
      </c>
      <c r="K315">
        <f t="shared" si="341"/>
        <v>0</v>
      </c>
      <c r="L315" s="6">
        <f t="shared" si="342"/>
        <v>0</v>
      </c>
      <c r="N315" s="2">
        <f>'rockfish harvests'!O314</f>
        <v>2446.8014948136924</v>
      </c>
      <c r="O315">
        <f>'rockfish harvests'!P314</f>
        <v>1575323.7998180711</v>
      </c>
      <c r="P315">
        <f>IF([2]species_comp_Region1_forR!$D212&gt;49,[2]species_comp_Region1_forR!$J212,[2]species_comp_Region1_forR!$L212)</f>
        <v>0.27160493800000002</v>
      </c>
      <c r="Q315">
        <f>IF([2]species_comp_Region1_forR!$D212&gt;49,[2]species_comp_Region1_forR!$K212,[2]species_comp_Region1_forR!$M212)</f>
        <v>1.2287929999999999E-3</v>
      </c>
      <c r="T315" s="13">
        <f t="shared" ref="T315:T354" si="372">N315*P315</f>
        <v>664.56336829718032</v>
      </c>
      <c r="U315" s="14">
        <f t="shared" si="337"/>
        <v>121631.28038397437</v>
      </c>
      <c r="V315">
        <f t="shared" si="343"/>
        <v>348.75676392576872</v>
      </c>
      <c r="W315" s="6">
        <f t="shared" si="344"/>
        <v>683.56325729450668</v>
      </c>
      <c r="Y315" s="13">
        <f t="shared" si="338"/>
        <v>1401.5633682971802</v>
      </c>
      <c r="Z315">
        <f t="shared" si="339"/>
        <v>121631.28038397437</v>
      </c>
      <c r="AA315">
        <f t="shared" si="345"/>
        <v>348.75676392576872</v>
      </c>
      <c r="AB315" s="6">
        <f t="shared" si="346"/>
        <v>683.56325729450668</v>
      </c>
      <c r="AC315" s="14">
        <f t="shared" si="312"/>
        <v>0.24883410326961411</v>
      </c>
    </row>
    <row r="316" spans="1:29" hidden="1" x14ac:dyDescent="0.25">
      <c r="A316" t="str">
        <f>'rockfish harvests'!A315</f>
        <v>SE</v>
      </c>
      <c r="B316">
        <f>'rockfish harvests'!B315</f>
        <v>2011</v>
      </c>
      <c r="C316" t="str">
        <f>'rockfish harvests'!C315</f>
        <v>NSEO</v>
      </c>
      <c r="D316">
        <f>'rockfish harvests'!D315</f>
        <v>8950</v>
      </c>
      <c r="E316">
        <v>2118</v>
      </c>
      <c r="F316">
        <v>831</v>
      </c>
      <c r="I316" s="13">
        <f t="shared" si="371"/>
        <v>831</v>
      </c>
      <c r="J316">
        <f t="shared" si="340"/>
        <v>0</v>
      </c>
      <c r="K316">
        <f t="shared" si="341"/>
        <v>0</v>
      </c>
      <c r="L316" s="6">
        <f t="shared" si="342"/>
        <v>0</v>
      </c>
      <c r="N316" s="2">
        <f>'rockfish harvests'!O315</f>
        <v>2109.8638720829731</v>
      </c>
      <c r="O316">
        <f>'rockfish harvests'!P315</f>
        <v>736850.51155388099</v>
      </c>
      <c r="P316">
        <f>IF([2]species_comp_Region1_forR!$D213&gt;49,[2]species_comp_Region1_forR!$J213,[2]species_comp_Region1_forR!$L213)</f>
        <v>0.212121212</v>
      </c>
      <c r="Q316">
        <f>IF([2]species_comp_Region1_forR!$D213&gt;49,[2]species_comp_Region1_forR!$K213,[2]species_comp_Region1_forR!$M213)</f>
        <v>1.01906E-3</v>
      </c>
      <c r="T316" s="13">
        <f t="shared" si="372"/>
        <v>447.5468817012532</v>
      </c>
      <c r="U316" s="14">
        <f t="shared" si="337"/>
        <v>36940.366583572082</v>
      </c>
      <c r="V316">
        <f t="shared" si="343"/>
        <v>192.19876842366102</v>
      </c>
      <c r="W316" s="6">
        <f t="shared" si="344"/>
        <v>376.7095861103756</v>
      </c>
      <c r="Y316" s="13">
        <f t="shared" si="338"/>
        <v>1278.5468817012531</v>
      </c>
      <c r="Z316">
        <f t="shared" si="339"/>
        <v>36940.366583572082</v>
      </c>
      <c r="AA316">
        <f t="shared" si="345"/>
        <v>192.19876842366102</v>
      </c>
      <c r="AB316" s="6">
        <f t="shared" si="346"/>
        <v>376.7095861103756</v>
      </c>
      <c r="AC316" s="14">
        <f t="shared" si="312"/>
        <v>0.15032594516042974</v>
      </c>
    </row>
    <row r="317" spans="1:29" hidden="1" x14ac:dyDescent="0.25">
      <c r="A317" t="str">
        <f>'rockfish harvests'!A316</f>
        <v>SE</v>
      </c>
      <c r="B317">
        <f>'rockfish harvests'!B316</f>
        <v>2012</v>
      </c>
      <c r="C317" t="str">
        <f>'rockfish harvests'!C316</f>
        <v>NSEO</v>
      </c>
      <c r="D317">
        <f>'rockfish harvests'!D316</f>
        <v>8600</v>
      </c>
      <c r="E317">
        <v>2133</v>
      </c>
      <c r="F317">
        <v>737</v>
      </c>
      <c r="I317" s="13">
        <f t="shared" si="371"/>
        <v>737</v>
      </c>
      <c r="J317">
        <f t="shared" si="340"/>
        <v>0</v>
      </c>
      <c r="K317">
        <f t="shared" si="341"/>
        <v>0</v>
      </c>
      <c r="L317" s="6">
        <f t="shared" si="342"/>
        <v>0</v>
      </c>
      <c r="N317" s="2">
        <f>'rockfish harvests'!O316</f>
        <v>4056.1403508771928</v>
      </c>
      <c r="O317">
        <f>'rockfish harvests'!P316</f>
        <v>2425591.2838210762</v>
      </c>
      <c r="P317">
        <f>IF([2]species_comp_Region1_forR!$D214&gt;49,[2]species_comp_Region1_forR!$J214,[2]species_comp_Region1_forR!$L214)</f>
        <v>0.13618677000000001</v>
      </c>
      <c r="Q317">
        <f>IF([2]species_comp_Region1_forR!$D214&gt;49,[2]species_comp_Region1_forR!$K214,[2]species_comp_Region1_forR!$M214)</f>
        <v>4.59531E-4</v>
      </c>
      <c r="T317" s="13">
        <f t="shared" si="372"/>
        <v>552.39265305263154</v>
      </c>
      <c r="U317" s="14">
        <f t="shared" si="337"/>
        <v>51432.740313763592</v>
      </c>
      <c r="V317">
        <f t="shared" si="343"/>
        <v>226.78787514715947</v>
      </c>
      <c r="W317" s="6">
        <f t="shared" si="344"/>
        <v>444.50423528843254</v>
      </c>
      <c r="Y317" s="13">
        <f t="shared" si="338"/>
        <v>1289.3926530526314</v>
      </c>
      <c r="Z317">
        <f t="shared" si="339"/>
        <v>51432.740313763592</v>
      </c>
      <c r="AA317">
        <f t="shared" si="345"/>
        <v>226.78787514715947</v>
      </c>
      <c r="AB317" s="6">
        <f t="shared" si="346"/>
        <v>444.50423528843254</v>
      </c>
      <c r="AC317" s="14">
        <f t="shared" si="312"/>
        <v>0.1758873641867279</v>
      </c>
    </row>
    <row r="318" spans="1:29" hidden="1" x14ac:dyDescent="0.25">
      <c r="A318" t="str">
        <f>'rockfish harvests'!A317</f>
        <v>SE</v>
      </c>
      <c r="B318">
        <f>'rockfish harvests'!B317</f>
        <v>2013</v>
      </c>
      <c r="C318" t="str">
        <f>'rockfish harvests'!C317</f>
        <v>NSEO</v>
      </c>
      <c r="D318">
        <f>'rockfish harvests'!D317</f>
        <v>6970</v>
      </c>
      <c r="E318">
        <v>1675</v>
      </c>
      <c r="F318">
        <v>713</v>
      </c>
      <c r="I318" s="13">
        <f t="shared" si="371"/>
        <v>713</v>
      </c>
      <c r="J318">
        <f t="shared" si="340"/>
        <v>0</v>
      </c>
      <c r="K318">
        <f t="shared" si="341"/>
        <v>0</v>
      </c>
      <c r="L318" s="6">
        <f t="shared" si="342"/>
        <v>0</v>
      </c>
      <c r="N318" s="2">
        <f>'rockfish harvests'!O317</f>
        <v>3563.4638032559742</v>
      </c>
      <c r="O318">
        <f>'rockfish harvests'!P317</f>
        <v>1983952.159720307</v>
      </c>
      <c r="P318">
        <f>IF([2]species_comp_Region1_forR!$D215&gt;49,[2]species_comp_Region1_forR!$J215,[2]species_comp_Region1_forR!$L215)</f>
        <v>0.130718954</v>
      </c>
      <c r="Q318">
        <f>IF([2]species_comp_Region1_forR!$D215&gt;49,[2]species_comp_Region1_forR!$K215,[2]species_comp_Region1_forR!$M215)</f>
        <v>3.72562E-4</v>
      </c>
      <c r="T318" s="13">
        <f t="shared" si="372"/>
        <v>465.81226097848275</v>
      </c>
      <c r="U318" s="14">
        <f t="shared" si="337"/>
        <v>37892.422559306637</v>
      </c>
      <c r="V318">
        <f t="shared" si="343"/>
        <v>194.65976101728532</v>
      </c>
      <c r="W318" s="6">
        <f t="shared" si="344"/>
        <v>381.5331315938792</v>
      </c>
      <c r="Y318" s="13">
        <f t="shared" si="338"/>
        <v>1178.8122609784828</v>
      </c>
      <c r="Z318">
        <f t="shared" si="339"/>
        <v>37892.422559306637</v>
      </c>
      <c r="AA318">
        <f t="shared" si="345"/>
        <v>194.65976101728532</v>
      </c>
      <c r="AB318" s="6">
        <f t="shared" si="346"/>
        <v>381.5331315938792</v>
      </c>
      <c r="AC318" s="14">
        <f t="shared" si="312"/>
        <v>0.16513211429927477</v>
      </c>
    </row>
    <row r="319" spans="1:29" hidden="1" x14ac:dyDescent="0.25">
      <c r="A319" t="str">
        <f>'rockfish harvests'!A318</f>
        <v>SE</v>
      </c>
      <c r="B319">
        <f>'rockfish harvests'!B318</f>
        <v>2014</v>
      </c>
      <c r="C319" t="str">
        <f>'rockfish harvests'!C318</f>
        <v>NSEO</v>
      </c>
      <c r="D319">
        <f>'rockfish harvests'!D318</f>
        <v>8688</v>
      </c>
      <c r="E319">
        <v>2260</v>
      </c>
      <c r="F319">
        <v>820</v>
      </c>
      <c r="I319" s="13">
        <f t="shared" si="371"/>
        <v>820</v>
      </c>
      <c r="J319">
        <f t="shared" si="340"/>
        <v>0</v>
      </c>
      <c r="K319">
        <f t="shared" si="341"/>
        <v>0</v>
      </c>
      <c r="L319" s="6">
        <f t="shared" si="342"/>
        <v>0</v>
      </c>
      <c r="N319" s="2">
        <f>'rockfish harvests'!O318</f>
        <v>9722.2508839872025</v>
      </c>
      <c r="O319">
        <f>'rockfish harvests'!P318</f>
        <v>9687106.4801495951</v>
      </c>
      <c r="P319">
        <f>IF([2]species_comp_Region1_forR!$D216&gt;49,[2]species_comp_Region1_forR!$J216,[2]species_comp_Region1_forR!$L216)</f>
        <v>7.0754716999999995E-2</v>
      </c>
      <c r="Q319">
        <f>IF([2]species_comp_Region1_forR!$D216&gt;49,[2]species_comp_Region1_forR!$K216,[2]species_comp_Region1_forR!$M216)</f>
        <v>1.55434E-4</v>
      </c>
      <c r="T319" s="13">
        <f t="shared" si="372"/>
        <v>687.8951098995143</v>
      </c>
      <c r="U319" s="14">
        <f t="shared" si="337"/>
        <v>61682.134917297932</v>
      </c>
      <c r="V319">
        <f t="shared" si="343"/>
        <v>248.3588833065931</v>
      </c>
      <c r="W319" s="6">
        <f t="shared" si="344"/>
        <v>486.78341128092245</v>
      </c>
      <c r="Y319" s="13">
        <f t="shared" si="338"/>
        <v>1507.8951098995144</v>
      </c>
      <c r="Z319">
        <f t="shared" si="339"/>
        <v>61682.134917297932</v>
      </c>
      <c r="AA319">
        <f t="shared" si="345"/>
        <v>248.3588833065931</v>
      </c>
      <c r="AB319" s="6">
        <f t="shared" si="346"/>
        <v>486.78341128092245</v>
      </c>
      <c r="AC319" s="14">
        <f t="shared" si="312"/>
        <v>0.16470567592937127</v>
      </c>
    </row>
    <row r="320" spans="1:29" hidden="1" x14ac:dyDescent="0.25">
      <c r="A320" t="str">
        <f>'rockfish harvests'!A319</f>
        <v>SE</v>
      </c>
      <c r="B320">
        <f>'rockfish harvests'!B319</f>
        <v>2015</v>
      </c>
      <c r="C320" t="str">
        <f>'rockfish harvests'!C319</f>
        <v>NSEO</v>
      </c>
      <c r="D320">
        <f>'rockfish harvests'!D319</f>
        <v>9156</v>
      </c>
      <c r="E320">
        <v>2579</v>
      </c>
      <c r="F320">
        <v>911</v>
      </c>
      <c r="I320" s="13">
        <f t="shared" si="371"/>
        <v>911</v>
      </c>
      <c r="J320">
        <f t="shared" si="340"/>
        <v>0</v>
      </c>
      <c r="K320">
        <f t="shared" si="341"/>
        <v>0</v>
      </c>
      <c r="L320" s="6">
        <f t="shared" si="342"/>
        <v>0</v>
      </c>
      <c r="N320" s="2">
        <f>'rockfish harvests'!O319</f>
        <v>4529.4803554223308</v>
      </c>
      <c r="O320">
        <f>'rockfish harvests'!P319</f>
        <v>3708908.4909766819</v>
      </c>
      <c r="P320">
        <f>IF([2]species_comp_Region1_forR!$D217&gt;49,[2]species_comp_Region1_forR!$J217,[2]species_comp_Region1_forR!$L217)</f>
        <v>0.17891373799999999</v>
      </c>
      <c r="Q320">
        <f>IF([2]species_comp_Region1_forR!$D217&gt;49,[2]species_comp_Region1_forR!$K217,[2]species_comp_Region1_forR!$M217)</f>
        <v>4.7084500000000001E-4</v>
      </c>
      <c r="T320" s="13">
        <f t="shared" si="372"/>
        <v>810.38626158617774</v>
      </c>
      <c r="U320" s="14">
        <f t="shared" si="337"/>
        <v>126636.25234288786</v>
      </c>
      <c r="V320">
        <f t="shared" si="343"/>
        <v>355.8598773996415</v>
      </c>
      <c r="W320" s="6">
        <f t="shared" si="344"/>
        <v>697.48535970329738</v>
      </c>
      <c r="Y320" s="13">
        <f t="shared" si="338"/>
        <v>1721.3862615861776</v>
      </c>
      <c r="Z320">
        <f t="shared" si="339"/>
        <v>126636.25234288786</v>
      </c>
      <c r="AA320">
        <f t="shared" si="345"/>
        <v>355.8598773996415</v>
      </c>
      <c r="AB320" s="6">
        <f t="shared" si="346"/>
        <v>697.48535970329738</v>
      </c>
      <c r="AC320" s="14">
        <f t="shared" si="312"/>
        <v>0.20672866127776177</v>
      </c>
    </row>
    <row r="321" spans="1:29" hidden="1" x14ac:dyDescent="0.25">
      <c r="A321" t="str">
        <f>'rockfish harvests'!A320</f>
        <v>SE</v>
      </c>
      <c r="B321">
        <f>'rockfish harvests'!B320</f>
        <v>2016</v>
      </c>
      <c r="C321" t="str">
        <f>'rockfish harvests'!C320</f>
        <v>NSEO</v>
      </c>
      <c r="D321">
        <f>'rockfish harvests'!D320</f>
        <v>5839</v>
      </c>
      <c r="E321">
        <v>1492</v>
      </c>
      <c r="F321">
        <v>698</v>
      </c>
      <c r="I321" s="13">
        <f>F321</f>
        <v>698</v>
      </c>
      <c r="J321">
        <f t="shared" si="340"/>
        <v>0</v>
      </c>
      <c r="K321">
        <f t="shared" si="341"/>
        <v>0</v>
      </c>
      <c r="L321" s="6">
        <f t="shared" si="342"/>
        <v>0</v>
      </c>
      <c r="N321" s="2">
        <f>'rockfish harvests'!O320</f>
        <v>1660.6278507924235</v>
      </c>
      <c r="O321">
        <f>'rockfish harvests'!P320</f>
        <v>405106.18509878113</v>
      </c>
      <c r="P321">
        <f>IF([2]species_comp_Region1_forR!$D218&gt;49,[2]species_comp_Region1_forR!$J218,[2]species_comp_Region1_forR!$L218)</f>
        <v>0.109561753</v>
      </c>
      <c r="Q321">
        <f>IF([2]species_comp_Region1_forR!$D218&gt;49,[2]species_comp_Region1_forR!$K218,[2]species_comp_Region1_forR!$M218)</f>
        <v>1.9472599999999999E-4</v>
      </c>
      <c r="T321" s="52">
        <f>N321*P321</f>
        <v>181.94129841344036</v>
      </c>
      <c r="U321" s="14">
        <f t="shared" si="337"/>
        <v>5320.9128339188501</v>
      </c>
      <c r="V321">
        <f t="shared" si="343"/>
        <v>72.944587420307272</v>
      </c>
      <c r="W321" s="6">
        <f t="shared" si="344"/>
        <v>142.97139134380225</v>
      </c>
      <c r="Y321" s="13">
        <f t="shared" si="338"/>
        <v>879.94129841344034</v>
      </c>
      <c r="Z321">
        <f t="shared" si="339"/>
        <v>5320.9128339188501</v>
      </c>
      <c r="AA321">
        <f t="shared" si="345"/>
        <v>72.944587420307272</v>
      </c>
      <c r="AB321" s="6">
        <f t="shared" si="346"/>
        <v>142.97139134380225</v>
      </c>
      <c r="AC321" s="14">
        <f t="shared" si="312"/>
        <v>8.2897106377241847E-2</v>
      </c>
    </row>
    <row r="322" spans="1:29" hidden="1" x14ac:dyDescent="0.25">
      <c r="A322" t="str">
        <f>'rockfish harvests'!A321</f>
        <v>SE</v>
      </c>
      <c r="B322">
        <f>'rockfish harvests'!B321</f>
        <v>2017</v>
      </c>
      <c r="C322" t="str">
        <f>'rockfish harvests'!C321</f>
        <v>NSEO</v>
      </c>
      <c r="D322">
        <f>'rockfish harvests'!D321</f>
        <v>9211</v>
      </c>
      <c r="E322">
        <v>1716</v>
      </c>
      <c r="F322">
        <v>756</v>
      </c>
      <c r="I322" s="13">
        <f t="shared" si="371"/>
        <v>756</v>
      </c>
      <c r="J322">
        <f t="shared" si="340"/>
        <v>0</v>
      </c>
      <c r="K322">
        <f t="shared" si="341"/>
        <v>0</v>
      </c>
      <c r="L322" s="6">
        <f t="shared" si="342"/>
        <v>0</v>
      </c>
      <c r="N322" s="2">
        <f>'rockfish harvests'!O321</f>
        <v>6867.0171471927151</v>
      </c>
      <c r="O322">
        <f>'rockfish harvests'!P321</f>
        <v>4662505.6656814301</v>
      </c>
      <c r="P322">
        <f>IF([2]species_comp_Region1_forR!$D219&gt;49,[2]species_comp_Region1_forR!$J219,[2]species_comp_Region1_forR!$L219)</f>
        <v>0.10331384</v>
      </c>
      <c r="Q322">
        <f>IF([2]species_comp_Region1_forR!$D219&gt;49,[2]species_comp_Region1_forR!$K219,[2]species_comp_Region1_forR!$M219)</f>
        <v>1.8093800000000001E-4</v>
      </c>
      <c r="T322" s="13">
        <f t="shared" si="372"/>
        <v>709.45791082232461</v>
      </c>
      <c r="U322" s="14">
        <f t="shared" si="337"/>
        <v>57455.091900560656</v>
      </c>
      <c r="V322">
        <f t="shared" si="343"/>
        <v>239.69791801465581</v>
      </c>
      <c r="W322" s="6">
        <f t="shared" si="344"/>
        <v>469.80791930872539</v>
      </c>
      <c r="Y322" s="13">
        <f t="shared" si="338"/>
        <v>1465.4579108223247</v>
      </c>
      <c r="Z322">
        <f t="shared" si="339"/>
        <v>57455.091900560656</v>
      </c>
      <c r="AA322">
        <f t="shared" si="345"/>
        <v>239.69791801465581</v>
      </c>
      <c r="AB322" s="6">
        <f t="shared" si="346"/>
        <v>469.80791930872539</v>
      </c>
      <c r="AC322" s="14">
        <f t="shared" si="312"/>
        <v>0.16356520118694648</v>
      </c>
    </row>
    <row r="323" spans="1:29" hidden="1" x14ac:dyDescent="0.25">
      <c r="A323" t="str">
        <f>'rockfish harvests'!A322</f>
        <v>SE</v>
      </c>
      <c r="B323">
        <f>'rockfish harvests'!B322</f>
        <v>2018</v>
      </c>
      <c r="C323" t="str">
        <f>'rockfish harvests'!C322</f>
        <v>NSEO</v>
      </c>
      <c r="D323">
        <f>'rockfish harvests'!D322</f>
        <v>11024</v>
      </c>
      <c r="E323">
        <v>1835</v>
      </c>
      <c r="F323">
        <v>858</v>
      </c>
      <c r="I323" s="13">
        <f t="shared" si="371"/>
        <v>858</v>
      </c>
      <c r="J323">
        <f t="shared" si="340"/>
        <v>0</v>
      </c>
      <c r="K323">
        <f t="shared" si="341"/>
        <v>0</v>
      </c>
      <c r="L323" s="6">
        <f t="shared" si="342"/>
        <v>0</v>
      </c>
      <c r="N323" s="2">
        <f>'rockfish harvests'!O322</f>
        <v>7836.8836407058479</v>
      </c>
      <c r="O323">
        <f>'rockfish harvests'!P322</f>
        <v>7422148.5356027149</v>
      </c>
      <c r="P323">
        <f>IF([2]species_comp_Region1_forR!$D220&gt;49,[2]species_comp_Region1_forR!$J220,[2]species_comp_Region1_forR!$L220)</f>
        <v>0.10191082799999999</v>
      </c>
      <c r="Q323">
        <f>IF([2]species_comp_Region1_forR!$D220&gt;49,[2]species_comp_Region1_forR!$K220,[2]species_comp_Region1_forR!$M220)</f>
        <v>1.9473400000000001E-4</v>
      </c>
      <c r="T323" s="13">
        <f t="shared" si="372"/>
        <v>798.66330076398742</v>
      </c>
      <c r="U323" s="14">
        <f t="shared" si="337"/>
        <v>87599.659211993101</v>
      </c>
      <c r="V323">
        <f t="shared" si="343"/>
        <v>295.97239603042897</v>
      </c>
      <c r="W323" s="6">
        <f t="shared" si="344"/>
        <v>580.10589621964073</v>
      </c>
      <c r="Y323" s="13">
        <f t="shared" si="338"/>
        <v>1656.6633007639875</v>
      </c>
      <c r="Z323">
        <f t="shared" si="339"/>
        <v>87599.659211993101</v>
      </c>
      <c r="AA323">
        <f t="shared" si="345"/>
        <v>295.97239603042897</v>
      </c>
      <c r="AB323" s="6">
        <f t="shared" si="346"/>
        <v>580.10589621964073</v>
      </c>
      <c r="AC323" s="14">
        <f t="shared" si="312"/>
        <v>0.17865573281785033</v>
      </c>
    </row>
    <row r="324" spans="1:29" hidden="1" x14ac:dyDescent="0.25">
      <c r="A324" t="str">
        <f>'rockfish harvests'!A323</f>
        <v>SE</v>
      </c>
      <c r="B324">
        <f>'rockfish harvests'!B323</f>
        <v>2019</v>
      </c>
      <c r="C324" t="str">
        <f>'rockfish harvests'!C323</f>
        <v>NSEO</v>
      </c>
      <c r="D324">
        <f>'rockfish harvests'!D323</f>
        <v>11553</v>
      </c>
      <c r="E324">
        <v>1628</v>
      </c>
      <c r="F324">
        <v>769</v>
      </c>
      <c r="I324" s="13">
        <f>F324</f>
        <v>769</v>
      </c>
      <c r="J324">
        <f>(E324^2)*H324</f>
        <v>0</v>
      </c>
      <c r="K324">
        <f>SQRT(J324)</f>
        <v>0</v>
      </c>
      <c r="L324" s="6">
        <f>(1.96*K324)</f>
        <v>0</v>
      </c>
      <c r="N324" s="2">
        <f>'rockfish harvests'!O323</f>
        <v>6640.6634516724807</v>
      </c>
      <c r="O324">
        <f>'rockfish harvests'!P323</f>
        <v>4892127.8553123055</v>
      </c>
      <c r="P324">
        <v>5.7471264367816091E-2</v>
      </c>
      <c r="Q324">
        <v>8.9092628519376119E-5</v>
      </c>
      <c r="T324" s="13">
        <f>N324*P324</f>
        <v>381.64732480876324</v>
      </c>
      <c r="U324" s="14">
        <f>(N324^2)*Q324+(P324^2)*O324-(Q324*O324)</f>
        <v>19651.426073588827</v>
      </c>
      <c r="V324">
        <f>SQRT(U324)</f>
        <v>140.18354423251265</v>
      </c>
      <c r="W324" s="6">
        <f>(1.96*V324)</f>
        <v>274.7597466957248</v>
      </c>
      <c r="Y324" s="13">
        <f>T324+I324</f>
        <v>1150.6473248087632</v>
      </c>
      <c r="Z324">
        <f>U324+J324</f>
        <v>19651.426073588827</v>
      </c>
      <c r="AA324">
        <f>SQRT(Z324)</f>
        <v>140.18354423251265</v>
      </c>
      <c r="AB324" s="6">
        <f>(1.96*AA324)</f>
        <v>274.7597466957248</v>
      </c>
      <c r="AC324" s="14">
        <f>AA324/Y324</f>
        <v>0.12183015699950553</v>
      </c>
    </row>
    <row r="325" spans="1:29" hidden="1" x14ac:dyDescent="0.25">
      <c r="A325" t="str">
        <f>'rockfish harvests'!A324</f>
        <v>SE</v>
      </c>
      <c r="B325">
        <f>'rockfish harvests'!B324</f>
        <v>2020</v>
      </c>
      <c r="C325" t="str">
        <f>'rockfish harvests'!C324</f>
        <v>NSEO</v>
      </c>
      <c r="D325">
        <f>'rockfish harvests'!D324</f>
        <v>3314</v>
      </c>
      <c r="E325">
        <v>172</v>
      </c>
      <c r="F325">
        <v>3</v>
      </c>
      <c r="I325" s="13">
        <f>F325</f>
        <v>3</v>
      </c>
      <c r="J325">
        <f t="shared" ref="J325:J327" si="373">(E325^2)*H325</f>
        <v>0</v>
      </c>
      <c r="K325">
        <f t="shared" ref="K325:K327" si="374">SQRT(J325)</f>
        <v>0</v>
      </c>
      <c r="L325" s="6">
        <f t="shared" ref="L325:L327" si="375">(1.96*K325)</f>
        <v>0</v>
      </c>
      <c r="N325" s="2">
        <f>'rockfish harvests'!O324</f>
        <v>1085.5719163465646</v>
      </c>
      <c r="O325">
        <f>'rockfish harvests'!P324</f>
        <v>110201.41937596143</v>
      </c>
      <c r="P325" s="26" t="str">
        <f>P250</f>
        <v>0.0027027027027027</v>
      </c>
      <c r="Q325" s="26" t="str">
        <f>Q250</f>
        <v>7.30460189919649e-06</v>
      </c>
      <c r="T325" s="13">
        <f t="shared" ref="T325" si="376">N325*P325</f>
        <v>2.9339781522880095</v>
      </c>
      <c r="U325" s="14">
        <f t="shared" ref="U325:U326" si="377">(N325^2)*Q325+(P325^2)*O325-(Q325*O325)</f>
        <v>8.6082277981033748</v>
      </c>
      <c r="V325">
        <f t="shared" ref="V325:V326" si="378">SQRT(U325)</f>
        <v>2.9339781522880117</v>
      </c>
      <c r="W325" s="6">
        <f t="shared" ref="W325:W326" si="379">(1.96*V325)</f>
        <v>5.7505971784845027</v>
      </c>
      <c r="Y325" s="13">
        <f t="shared" ref="Y325:Y326" si="380">T325+I325</f>
        <v>5.9339781522880095</v>
      </c>
      <c r="Z325">
        <f t="shared" ref="Z325:Z326" si="381">U325+J325</f>
        <v>8.6082277981033748</v>
      </c>
      <c r="AA325">
        <f t="shared" ref="AA325:AA326" si="382">SQRT(Z325)</f>
        <v>2.9339781522880117</v>
      </c>
      <c r="AB325" s="6">
        <f t="shared" ref="AB325:AB326" si="383">(1.96*AA325)</f>
        <v>5.7505971784845027</v>
      </c>
      <c r="AC325" s="14">
        <f t="shared" ref="AC325" si="384">AA325/Y325</f>
        <v>0.49443696572370011</v>
      </c>
    </row>
    <row r="326" spans="1:29" hidden="1" x14ac:dyDescent="0.25">
      <c r="A326" t="str">
        <f>'rockfish harvests'!A325</f>
        <v>SE</v>
      </c>
      <c r="B326">
        <f>'rockfish harvests'!B325</f>
        <v>2021</v>
      </c>
      <c r="C326" t="str">
        <f>'rockfish harvests'!C325</f>
        <v>NSEO</v>
      </c>
      <c r="D326">
        <f>'rockfish harvests'!D325</f>
        <v>9732</v>
      </c>
      <c r="E326">
        <v>638</v>
      </c>
      <c r="F326">
        <v>0</v>
      </c>
      <c r="I326" s="13">
        <f t="shared" ref="I326:I327" si="385">F326</f>
        <v>0</v>
      </c>
      <c r="J326">
        <f t="shared" si="373"/>
        <v>0</v>
      </c>
      <c r="K326">
        <f t="shared" si="374"/>
        <v>0</v>
      </c>
      <c r="L326" s="6">
        <f t="shared" si="375"/>
        <v>0</v>
      </c>
      <c r="N326" s="2">
        <f>'rockfish harvests'!O325</f>
        <v>6262.8946783553529</v>
      </c>
      <c r="O326">
        <f>'rockfish harvests'!P325</f>
        <v>3588518.0359388059</v>
      </c>
      <c r="P326" s="26">
        <v>0</v>
      </c>
      <c r="Q326" s="26">
        <v>0</v>
      </c>
      <c r="T326" s="52">
        <f>N326*P326</f>
        <v>0</v>
      </c>
      <c r="U326" s="14">
        <f t="shared" si="377"/>
        <v>0</v>
      </c>
      <c r="V326">
        <f t="shared" si="378"/>
        <v>0</v>
      </c>
      <c r="W326" s="6">
        <f t="shared" si="379"/>
        <v>0</v>
      </c>
      <c r="Y326" s="13">
        <f t="shared" si="380"/>
        <v>0</v>
      </c>
      <c r="Z326">
        <f t="shared" si="381"/>
        <v>0</v>
      </c>
      <c r="AA326">
        <f t="shared" si="382"/>
        <v>0</v>
      </c>
      <c r="AB326" s="6">
        <f t="shared" si="383"/>
        <v>0</v>
      </c>
      <c r="AC326" s="14">
        <v>0</v>
      </c>
    </row>
    <row r="327" spans="1:29" s="51" customFormat="1" hidden="1" x14ac:dyDescent="0.25">
      <c r="A327" s="51" t="s">
        <v>151</v>
      </c>
      <c r="B327" s="51">
        <v>2022</v>
      </c>
      <c r="C327" s="51" t="s">
        <v>41</v>
      </c>
      <c r="D327">
        <f>'rockfish harvests'!D326</f>
        <v>10558</v>
      </c>
      <c r="E327" s="51">
        <v>884</v>
      </c>
      <c r="F327" s="51">
        <v>0</v>
      </c>
      <c r="I327" s="71">
        <f t="shared" si="385"/>
        <v>0</v>
      </c>
      <c r="J327" s="51">
        <f t="shared" si="373"/>
        <v>0</v>
      </c>
      <c r="K327" s="51">
        <f t="shared" si="374"/>
        <v>0</v>
      </c>
      <c r="L327" s="78">
        <f t="shared" si="375"/>
        <v>0</v>
      </c>
      <c r="N327" s="2">
        <f>'rockfish harvests'!O326</f>
        <v>4984.0158085410021</v>
      </c>
      <c r="O327">
        <f>'rockfish harvests'!P326</f>
        <v>3116937.6581412847</v>
      </c>
      <c r="P327" s="51">
        <v>0</v>
      </c>
      <c r="Q327" s="51">
        <v>0</v>
      </c>
      <c r="T327" s="52">
        <f>N327*P327</f>
        <v>0</v>
      </c>
      <c r="U327" s="14">
        <f t="shared" ref="U327" si="386">(N327^2)*Q327+(P327^2)*O327-(Q327*O327)</f>
        <v>0</v>
      </c>
      <c r="V327">
        <f t="shared" ref="V327" si="387">SQRT(U327)</f>
        <v>0</v>
      </c>
      <c r="W327" s="6">
        <f t="shared" ref="W327" si="388">(1.96*V327)</f>
        <v>0</v>
      </c>
      <c r="X327"/>
      <c r="Y327" s="13">
        <f t="shared" ref="Y327" si="389">T327+I327</f>
        <v>0</v>
      </c>
      <c r="Z327">
        <f t="shared" ref="Z327" si="390">U327+J327</f>
        <v>0</v>
      </c>
      <c r="AA327">
        <f t="shared" ref="AA327" si="391">SQRT(Z327)</f>
        <v>0</v>
      </c>
      <c r="AB327" s="6">
        <f t="shared" ref="AB327" si="392">(1.96*AA327)</f>
        <v>0</v>
      </c>
      <c r="AC327" s="14">
        <v>0</v>
      </c>
    </row>
    <row r="328" spans="1:29" hidden="1" x14ac:dyDescent="0.25">
      <c r="A328" t="str">
        <f>'rockfish harvests'!A327</f>
        <v>SE</v>
      </c>
      <c r="B328">
        <f>'rockfish harvests'!B327</f>
        <v>1998</v>
      </c>
      <c r="C328" t="str">
        <f>'rockfish harvests'!C327</f>
        <v>SSEI</v>
      </c>
      <c r="D328">
        <f>'rockfish harvests'!D327</f>
        <v>6261</v>
      </c>
      <c r="E328">
        <v>3492</v>
      </c>
      <c r="F328" t="s">
        <v>159</v>
      </c>
      <c r="G328" s="32">
        <v>0.26406052499999999</v>
      </c>
      <c r="H328" s="32">
        <v>2.0028440000000002E-3</v>
      </c>
      <c r="I328" s="13">
        <f>E328*G328</f>
        <v>922.09935329999996</v>
      </c>
      <c r="J328">
        <f t="shared" si="340"/>
        <v>24422.807918016002</v>
      </c>
      <c r="K328">
        <f t="shared" si="341"/>
        <v>156.27798283192678</v>
      </c>
      <c r="L328" s="6">
        <f t="shared" si="342"/>
        <v>306.3048463505765</v>
      </c>
      <c r="N328" s="2">
        <f>'rockfish harvests'!O327</f>
        <v>7422.4767633387146</v>
      </c>
      <c r="O328">
        <f>'rockfish harvests'!P327</f>
        <v>2528282.455604976</v>
      </c>
      <c r="P328" s="32">
        <v>0.22084458100000001</v>
      </c>
      <c r="Q328" s="32">
        <v>1.365163E-3</v>
      </c>
      <c r="T328" s="13">
        <f t="shared" si="372"/>
        <v>1639.2137707817747</v>
      </c>
      <c r="U328" s="14">
        <f t="shared" si="337"/>
        <v>195069.85132213845</v>
      </c>
      <c r="V328">
        <f t="shared" si="343"/>
        <v>441.66712728268385</v>
      </c>
      <c r="W328" s="6">
        <f t="shared" si="344"/>
        <v>865.66756947406031</v>
      </c>
      <c r="Y328" s="13">
        <f t="shared" si="338"/>
        <v>2561.3131240817747</v>
      </c>
      <c r="Z328">
        <f t="shared" si="339"/>
        <v>219492.65924015446</v>
      </c>
      <c r="AA328">
        <f t="shared" si="345"/>
        <v>468.50043675556424</v>
      </c>
      <c r="AB328" s="6">
        <f t="shared" si="346"/>
        <v>918.26085604090588</v>
      </c>
      <c r="AC328" s="14">
        <f t="shared" si="312"/>
        <v>0.18291415928441809</v>
      </c>
    </row>
    <row r="329" spans="1:29" hidden="1" x14ac:dyDescent="0.25">
      <c r="A329" t="str">
        <f>'rockfish harvests'!A328</f>
        <v>SE</v>
      </c>
      <c r="B329">
        <f>'rockfish harvests'!B328</f>
        <v>1999</v>
      </c>
      <c r="C329" t="str">
        <f>'rockfish harvests'!C328</f>
        <v>SSEI</v>
      </c>
      <c r="D329">
        <f>'rockfish harvests'!D328</f>
        <v>7370</v>
      </c>
      <c r="E329">
        <v>3538</v>
      </c>
      <c r="F329" t="s">
        <v>159</v>
      </c>
      <c r="G329" s="32">
        <v>0.26406052499999999</v>
      </c>
      <c r="H329" s="32">
        <v>2.0028440000000002E-3</v>
      </c>
      <c r="I329" s="13">
        <f t="shared" ref="I329:I335" si="393">E329*G329</f>
        <v>934.24613744999999</v>
      </c>
      <c r="J329">
        <f t="shared" si="340"/>
        <v>25070.487610736003</v>
      </c>
      <c r="K329">
        <f t="shared" si="341"/>
        <v>158.33662750840693</v>
      </c>
      <c r="L329" s="6">
        <f t="shared" si="342"/>
        <v>310.33978991647757</v>
      </c>
      <c r="N329" s="2">
        <f>'rockfish harvests'!O328</f>
        <v>8737.2071148069517</v>
      </c>
      <c r="O329">
        <f>'rockfish harvests'!P328</f>
        <v>3503266.3626943887</v>
      </c>
      <c r="P329" s="32">
        <v>0.22084458100000001</v>
      </c>
      <c r="Q329" s="32">
        <v>1.365163E-3</v>
      </c>
      <c r="T329" s="13">
        <f t="shared" si="372"/>
        <v>1929.5648443797602</v>
      </c>
      <c r="U329" s="14">
        <f t="shared" si="337"/>
        <v>270294.8189185299</v>
      </c>
      <c r="V329">
        <f t="shared" si="343"/>
        <v>519.89885450780707</v>
      </c>
      <c r="W329" s="6">
        <f t="shared" si="344"/>
        <v>1019.0017548353019</v>
      </c>
      <c r="Y329" s="13">
        <f t="shared" si="338"/>
        <v>2863.8109818297603</v>
      </c>
      <c r="Z329">
        <f t="shared" si="339"/>
        <v>295365.30652926589</v>
      </c>
      <c r="AA329">
        <f t="shared" si="345"/>
        <v>543.47521243315771</v>
      </c>
      <c r="AB329" s="6">
        <f t="shared" si="346"/>
        <v>1065.2114163689891</v>
      </c>
      <c r="AC329" s="14">
        <f t="shared" ref="AC329:AC374" si="394">AA329/Y329</f>
        <v>0.18977342285555376</v>
      </c>
    </row>
    <row r="330" spans="1:29" hidden="1" x14ac:dyDescent="0.25">
      <c r="A330" t="str">
        <f>'rockfish harvests'!A329</f>
        <v>SE</v>
      </c>
      <c r="B330">
        <f>'rockfish harvests'!B329</f>
        <v>2000</v>
      </c>
      <c r="C330" t="str">
        <f>'rockfish harvests'!C329</f>
        <v>SSEI</v>
      </c>
      <c r="D330">
        <f>'rockfish harvests'!D329</f>
        <v>11989</v>
      </c>
      <c r="E330">
        <v>6877</v>
      </c>
      <c r="F330" t="s">
        <v>159</v>
      </c>
      <c r="G330" s="32">
        <v>0.26406052499999999</v>
      </c>
      <c r="H330" s="32">
        <v>2.0028440000000002E-3</v>
      </c>
      <c r="I330" s="13">
        <f t="shared" si="393"/>
        <v>1815.9442304249999</v>
      </c>
      <c r="J330">
        <f t="shared" si="340"/>
        <v>94720.759658876006</v>
      </c>
      <c r="K330">
        <f t="shared" si="341"/>
        <v>307.7673791337802</v>
      </c>
      <c r="L330" s="6">
        <f t="shared" si="342"/>
        <v>603.22406310220913</v>
      </c>
      <c r="N330" s="2">
        <f>'rockfish harvests'!O329</f>
        <v>14213.076811318933</v>
      </c>
      <c r="O330">
        <f>'rockfish harvests'!P329</f>
        <v>9270520.1843895838</v>
      </c>
      <c r="P330" s="32">
        <v>0.22084458100000001</v>
      </c>
      <c r="Q330" s="32">
        <v>1.365163E-3</v>
      </c>
      <c r="T330" s="13">
        <f t="shared" si="372"/>
        <v>3138.8809931165461</v>
      </c>
      <c r="U330" s="14">
        <f t="shared" si="337"/>
        <v>715267.78585940856</v>
      </c>
      <c r="V330">
        <f t="shared" si="343"/>
        <v>845.73505653922643</v>
      </c>
      <c r="W330" s="6">
        <f t="shared" si="344"/>
        <v>1657.6407108168837</v>
      </c>
      <c r="Y330" s="13">
        <f t="shared" si="338"/>
        <v>4954.8252235415457</v>
      </c>
      <c r="Z330">
        <f t="shared" si="339"/>
        <v>809988.54551828455</v>
      </c>
      <c r="AA330">
        <f t="shared" si="345"/>
        <v>899.99363637654938</v>
      </c>
      <c r="AB330" s="6">
        <f t="shared" si="346"/>
        <v>1763.9875272980366</v>
      </c>
      <c r="AC330" s="14">
        <f t="shared" si="394"/>
        <v>0.18163983506430598</v>
      </c>
    </row>
    <row r="331" spans="1:29" hidden="1" x14ac:dyDescent="0.25">
      <c r="A331" t="str">
        <f>'rockfish harvests'!A330</f>
        <v>SE</v>
      </c>
      <c r="B331">
        <f>'rockfish harvests'!B330</f>
        <v>2001</v>
      </c>
      <c r="C331" t="str">
        <f>'rockfish harvests'!C330</f>
        <v>SSEI</v>
      </c>
      <c r="D331">
        <f>'rockfish harvests'!D330</f>
        <v>9348</v>
      </c>
      <c r="E331">
        <v>4834</v>
      </c>
      <c r="F331" t="s">
        <v>159</v>
      </c>
      <c r="G331" s="32">
        <v>0.26406052499999999</v>
      </c>
      <c r="H331" s="32">
        <v>2.0028440000000002E-3</v>
      </c>
      <c r="I331" s="13">
        <f t="shared" si="393"/>
        <v>1276.46857785</v>
      </c>
      <c r="J331">
        <f t="shared" si="340"/>
        <v>46801.569329264006</v>
      </c>
      <c r="K331">
        <f t="shared" si="341"/>
        <v>216.33670361097768</v>
      </c>
      <c r="L331" s="6">
        <f t="shared" si="342"/>
        <v>424.01993907751626</v>
      </c>
      <c r="N331" s="2">
        <f>'rockfish harvests'!O330</f>
        <v>11082.145469364368</v>
      </c>
      <c r="O331">
        <f>'rockfish harvests'!P330</f>
        <v>5636059.7796220118</v>
      </c>
      <c r="P331" s="32">
        <v>0.22084458100000001</v>
      </c>
      <c r="Q331" s="32">
        <v>1.365163E-3</v>
      </c>
      <c r="T331" s="13">
        <f t="shared" si="372"/>
        <v>2447.4317727628222</v>
      </c>
      <c r="U331" s="14">
        <f t="shared" si="337"/>
        <v>434850.67928870948</v>
      </c>
      <c r="V331">
        <f t="shared" si="343"/>
        <v>659.43208845847766</v>
      </c>
      <c r="W331" s="6">
        <f t="shared" si="344"/>
        <v>1292.4868933786163</v>
      </c>
      <c r="Y331" s="13">
        <f t="shared" si="338"/>
        <v>3723.900350612822</v>
      </c>
      <c r="Z331">
        <f t="shared" si="339"/>
        <v>481652.24861797347</v>
      </c>
      <c r="AA331">
        <f t="shared" si="345"/>
        <v>694.01170639836721</v>
      </c>
      <c r="AB331" s="6">
        <f t="shared" si="346"/>
        <v>1360.2629445407997</v>
      </c>
      <c r="AC331" s="14">
        <f t="shared" si="394"/>
        <v>0.18636688446406938</v>
      </c>
    </row>
    <row r="332" spans="1:29" hidden="1" x14ac:dyDescent="0.25">
      <c r="A332" t="str">
        <f>'rockfish harvests'!A331</f>
        <v>SE</v>
      </c>
      <c r="B332">
        <f>'rockfish harvests'!B331</f>
        <v>2002</v>
      </c>
      <c r="C332" t="str">
        <f>'rockfish harvests'!C331</f>
        <v>SSEI</v>
      </c>
      <c r="D332">
        <f>'rockfish harvests'!D331</f>
        <v>8033</v>
      </c>
      <c r="E332">
        <v>4064</v>
      </c>
      <c r="F332" t="s">
        <v>159</v>
      </c>
      <c r="G332" s="32">
        <v>0.26406052499999999</v>
      </c>
      <c r="H332" s="32">
        <v>2.0028440000000002E-3</v>
      </c>
      <c r="I332" s="13">
        <f t="shared" si="393"/>
        <v>1073.1419736</v>
      </c>
      <c r="J332">
        <f t="shared" si="340"/>
        <v>33079.163777024005</v>
      </c>
      <c r="K332">
        <f t="shared" si="341"/>
        <v>181.87678185250587</v>
      </c>
      <c r="L332" s="6">
        <f t="shared" si="342"/>
        <v>356.4784924309115</v>
      </c>
      <c r="N332" s="2">
        <f>'rockfish harvests'!O331</f>
        <v>9523.200102204104</v>
      </c>
      <c r="O332">
        <f>'rockfish harvests'!P331</f>
        <v>4161919.8980246014</v>
      </c>
      <c r="P332" s="32">
        <v>0.22084458100000001</v>
      </c>
      <c r="Q332" s="32">
        <v>1.365163E-3</v>
      </c>
      <c r="T332" s="13">
        <f t="shared" si="372"/>
        <v>2103.1471363504224</v>
      </c>
      <c r="U332" s="14">
        <f t="shared" si="337"/>
        <v>321113.28934885276</v>
      </c>
      <c r="V332">
        <f t="shared" si="343"/>
        <v>566.66858863788525</v>
      </c>
      <c r="W332" s="6">
        <f t="shared" si="344"/>
        <v>1110.6704337302551</v>
      </c>
      <c r="Y332" s="13">
        <f t="shared" si="338"/>
        <v>3176.2891099504222</v>
      </c>
      <c r="Z332">
        <f t="shared" si="339"/>
        <v>354192.45312587678</v>
      </c>
      <c r="AA332">
        <f t="shared" si="345"/>
        <v>595.14070027673017</v>
      </c>
      <c r="AB332" s="6">
        <f t="shared" si="346"/>
        <v>1166.475772542391</v>
      </c>
      <c r="AC332" s="14">
        <f t="shared" si="394"/>
        <v>0.18736981416846515</v>
      </c>
    </row>
    <row r="333" spans="1:29" hidden="1" x14ac:dyDescent="0.25">
      <c r="A333" t="str">
        <f>'rockfish harvests'!A332</f>
        <v>SE</v>
      </c>
      <c r="B333">
        <f>'rockfish harvests'!B332</f>
        <v>2003</v>
      </c>
      <c r="C333" t="str">
        <f>'rockfish harvests'!C332</f>
        <v>SSEI</v>
      </c>
      <c r="D333">
        <f>'rockfish harvests'!D332</f>
        <v>11263</v>
      </c>
      <c r="E333">
        <v>5615</v>
      </c>
      <c r="F333" t="s">
        <v>159</v>
      </c>
      <c r="G333" s="32">
        <v>0.26406052499999999</v>
      </c>
      <c r="H333" s="32">
        <v>2.0028440000000002E-3</v>
      </c>
      <c r="I333" s="13">
        <f t="shared" si="393"/>
        <v>1482.6998478749999</v>
      </c>
      <c r="J333">
        <f t="shared" si="340"/>
        <v>63146.116271900006</v>
      </c>
      <c r="K333">
        <f t="shared" si="341"/>
        <v>251.2889099659991</v>
      </c>
      <c r="L333" s="6">
        <f t="shared" si="342"/>
        <v>492.52626353335825</v>
      </c>
      <c r="N333" s="2">
        <f>'rockfish harvests'!O332</f>
        <v>13352.396707472279</v>
      </c>
      <c r="O333">
        <f>'rockfish harvests'!P332</f>
        <v>8181752.760036231</v>
      </c>
      <c r="P333" s="32">
        <v>0.22084458100000001</v>
      </c>
      <c r="Q333" s="32">
        <v>1.365163E-3</v>
      </c>
      <c r="T333" s="13">
        <f t="shared" si="372"/>
        <v>2948.8044562074952</v>
      </c>
      <c r="U333" s="14">
        <f t="shared" si="337"/>
        <v>631263.84115688677</v>
      </c>
      <c r="V333">
        <f t="shared" si="343"/>
        <v>794.52113952800948</v>
      </c>
      <c r="W333" s="6">
        <f t="shared" si="344"/>
        <v>1557.2614334748985</v>
      </c>
      <c r="Y333" s="13">
        <f t="shared" si="338"/>
        <v>4431.5043040824949</v>
      </c>
      <c r="Z333">
        <f t="shared" si="339"/>
        <v>694409.95742878679</v>
      </c>
      <c r="AA333">
        <f t="shared" si="345"/>
        <v>833.31264086703186</v>
      </c>
      <c r="AB333" s="6">
        <f t="shared" si="346"/>
        <v>1633.2927760993823</v>
      </c>
      <c r="AC333" s="14">
        <f t="shared" si="394"/>
        <v>0.18804283685324372</v>
      </c>
    </row>
    <row r="334" spans="1:29" hidden="1" x14ac:dyDescent="0.25">
      <c r="A334" t="str">
        <f>'rockfish harvests'!A333</f>
        <v>SE</v>
      </c>
      <c r="B334">
        <f>'rockfish harvests'!B333</f>
        <v>2004</v>
      </c>
      <c r="C334" t="str">
        <f>'rockfish harvests'!C333</f>
        <v>SSEI</v>
      </c>
      <c r="D334">
        <f>'rockfish harvests'!D333</f>
        <v>13195</v>
      </c>
      <c r="E334">
        <v>7929</v>
      </c>
      <c r="F334" t="s">
        <v>159</v>
      </c>
      <c r="G334" s="32">
        <v>0.26406052499999999</v>
      </c>
      <c r="H334" s="32">
        <v>2.0028440000000002E-3</v>
      </c>
      <c r="I334" s="13">
        <f t="shared" si="393"/>
        <v>2093.735902725</v>
      </c>
      <c r="J334">
        <f t="shared" si="340"/>
        <v>125916.88155260401</v>
      </c>
      <c r="K334">
        <f t="shared" si="341"/>
        <v>354.84768782197807</v>
      </c>
      <c r="L334" s="6">
        <f t="shared" si="342"/>
        <v>695.50146813107699</v>
      </c>
      <c r="N334" s="2">
        <f>'rockfish harvests'!O333</f>
        <v>15642.801611923707</v>
      </c>
      <c r="O334">
        <f>'rockfish harvests'!P333</f>
        <v>11229410.873184105</v>
      </c>
      <c r="P334" s="32">
        <v>0.22084458100000001</v>
      </c>
      <c r="Q334" s="32">
        <v>1.365163E-3</v>
      </c>
      <c r="T334" s="13">
        <f t="shared" si="372"/>
        <v>3454.6279676514159</v>
      </c>
      <c r="U334" s="14">
        <f t="shared" si="337"/>
        <v>866406.16621415946</v>
      </c>
      <c r="V334">
        <f t="shared" si="343"/>
        <v>930.80941454959486</v>
      </c>
      <c r="W334" s="6">
        <f t="shared" si="344"/>
        <v>1824.386452517206</v>
      </c>
      <c r="Y334" s="13">
        <f t="shared" si="338"/>
        <v>5548.3638703764154</v>
      </c>
      <c r="Z334">
        <f t="shared" si="339"/>
        <v>992323.04776676348</v>
      </c>
      <c r="AA334">
        <f t="shared" si="345"/>
        <v>996.15412851966005</v>
      </c>
      <c r="AB334" s="6">
        <f t="shared" si="346"/>
        <v>1952.4620918985336</v>
      </c>
      <c r="AC334" s="14">
        <f t="shared" si="394"/>
        <v>0.1795401584669461</v>
      </c>
    </row>
    <row r="335" spans="1:29" hidden="1" x14ac:dyDescent="0.25">
      <c r="A335" t="str">
        <f>'rockfish harvests'!A334</f>
        <v>SE</v>
      </c>
      <c r="B335">
        <f>'rockfish harvests'!B334</f>
        <v>2005</v>
      </c>
      <c r="C335" t="str">
        <f>'rockfish harvests'!C334</f>
        <v>SSEI</v>
      </c>
      <c r="D335">
        <f>'rockfish harvests'!D334</f>
        <v>15329</v>
      </c>
      <c r="E335">
        <v>9584</v>
      </c>
      <c r="F335" t="s">
        <v>159</v>
      </c>
      <c r="G335" s="32">
        <v>0.26406052499999999</v>
      </c>
      <c r="H335" s="32">
        <v>2.0028440000000002E-3</v>
      </c>
      <c r="I335" s="13">
        <f t="shared" si="393"/>
        <v>2530.7560715999998</v>
      </c>
      <c r="J335">
        <f t="shared" si="340"/>
        <v>183967.342091264</v>
      </c>
      <c r="K335">
        <f t="shared" si="341"/>
        <v>428.91414303012203</v>
      </c>
      <c r="L335" s="6">
        <f t="shared" si="342"/>
        <v>840.67172033903921</v>
      </c>
      <c r="N335" s="2">
        <f>'rockfish harvests'!O334</f>
        <v>18172.679492927513</v>
      </c>
      <c r="O335">
        <f>'rockfish harvests'!P334</f>
        <v>15155345.162562583</v>
      </c>
      <c r="P335" s="32">
        <v>0.22084458100000001</v>
      </c>
      <c r="Q335" s="32">
        <v>1.365163E-3</v>
      </c>
      <c r="T335" s="13">
        <f t="shared" si="372"/>
        <v>4013.3377882628693</v>
      </c>
      <c r="U335" s="14">
        <f t="shared" si="337"/>
        <v>1169311.9655372396</v>
      </c>
      <c r="V335">
        <f t="shared" si="343"/>
        <v>1081.3472918249897</v>
      </c>
      <c r="W335" s="6">
        <f t="shared" si="344"/>
        <v>2119.4406919769799</v>
      </c>
      <c r="Y335" s="13">
        <f t="shared" si="338"/>
        <v>6544.0938598628691</v>
      </c>
      <c r="Z335">
        <f t="shared" si="339"/>
        <v>1353279.3076285035</v>
      </c>
      <c r="AA335">
        <f t="shared" si="345"/>
        <v>1163.3053372303007</v>
      </c>
      <c r="AB335" s="6">
        <f t="shared" si="346"/>
        <v>2280.0784609713892</v>
      </c>
      <c r="AC335" s="14">
        <f t="shared" si="394"/>
        <v>0.17776415836044834</v>
      </c>
    </row>
    <row r="336" spans="1:29" hidden="1" x14ac:dyDescent="0.25">
      <c r="A336" t="str">
        <f>'rockfish harvests'!A335</f>
        <v>SE</v>
      </c>
      <c r="B336">
        <f>'rockfish harvests'!B335</f>
        <v>2006</v>
      </c>
      <c r="C336" t="str">
        <f>'rockfish harvests'!C335</f>
        <v>SSEI</v>
      </c>
      <c r="D336">
        <f>'rockfish harvests'!D335</f>
        <v>17714</v>
      </c>
      <c r="E336">
        <v>11388</v>
      </c>
      <c r="F336">
        <v>4211</v>
      </c>
      <c r="I336" s="13">
        <f>F336</f>
        <v>4211</v>
      </c>
      <c r="J336">
        <f t="shared" si="340"/>
        <v>0</v>
      </c>
      <c r="K336">
        <f t="shared" si="341"/>
        <v>0</v>
      </c>
      <c r="L336" s="6">
        <f t="shared" si="342"/>
        <v>0</v>
      </c>
      <c r="N336" s="2">
        <f>'rockfish harvests'!O335</f>
        <v>21000.120329944417</v>
      </c>
      <c r="O336">
        <f>'rockfish harvests'!P335</f>
        <v>20238180.459821593</v>
      </c>
      <c r="P336">
        <f>IF([2]species_comp_Region1_forR!$D252&gt;49,[2]species_comp_Region1_forR!$J252,[2]species_comp_Region1_forR!$L252)</f>
        <v>0.246519247</v>
      </c>
      <c r="Q336">
        <f>IF([2]species_comp_Region1_forR!$D252&gt;49,[2]species_comp_Region1_forR!$K252,[2]species_comp_Region1_forR!$M252)</f>
        <v>1.5225199999999999E-4</v>
      </c>
      <c r="T336" s="13">
        <f t="shared" si="372"/>
        <v>5176.9338506472895</v>
      </c>
      <c r="U336" s="14">
        <f t="shared" si="337"/>
        <v>1293972.0216125809</v>
      </c>
      <c r="V336">
        <f t="shared" si="343"/>
        <v>1137.5289102315514</v>
      </c>
      <c r="W336" s="6">
        <f t="shared" si="344"/>
        <v>2229.5566640538409</v>
      </c>
      <c r="Y336" s="13">
        <f t="shared" si="338"/>
        <v>9387.9338506472886</v>
      </c>
      <c r="Z336">
        <f t="shared" si="339"/>
        <v>1293972.0216125809</v>
      </c>
      <c r="AA336">
        <f t="shared" si="345"/>
        <v>1137.5289102315514</v>
      </c>
      <c r="AB336" s="6">
        <f t="shared" si="346"/>
        <v>2229.5566640538409</v>
      </c>
      <c r="AC336" s="14">
        <f t="shared" si="394"/>
        <v>0.1211692506922724</v>
      </c>
    </row>
    <row r="337" spans="1:29" hidden="1" x14ac:dyDescent="0.25">
      <c r="A337" t="str">
        <f>'rockfish harvests'!A336</f>
        <v>SE</v>
      </c>
      <c r="B337">
        <f>'rockfish harvests'!B336</f>
        <v>2007</v>
      </c>
      <c r="C337" t="str">
        <f>'rockfish harvests'!C336</f>
        <v>SSEI</v>
      </c>
      <c r="D337">
        <f>'rockfish harvests'!D336</f>
        <v>20368</v>
      </c>
      <c r="E337">
        <v>12015</v>
      </c>
      <c r="F337">
        <v>3637</v>
      </c>
      <c r="I337" s="13">
        <f t="shared" ref="I337:I348" si="395">F337</f>
        <v>3637</v>
      </c>
      <c r="J337">
        <f t="shared" si="340"/>
        <v>0</v>
      </c>
      <c r="K337">
        <f t="shared" si="341"/>
        <v>0</v>
      </c>
      <c r="L337" s="6">
        <f t="shared" si="342"/>
        <v>0</v>
      </c>
      <c r="N337" s="2">
        <f>'rockfish harvests'!O336</f>
        <v>24146.463299102848</v>
      </c>
      <c r="O337">
        <f>'rockfish harvests'!P336</f>
        <v>26756848.278906163</v>
      </c>
      <c r="P337">
        <f>IF([2]species_comp_Region1_forR!$D253&gt;49,[2]species_comp_Region1_forR!$J253,[2]species_comp_Region1_forR!$L253)</f>
        <v>0.233815211</v>
      </c>
      <c r="Q337">
        <f>IF([2]species_comp_Region1_forR!$D253&gt;49,[2]species_comp_Region1_forR!$K253,[2]species_comp_Region1_forR!$M253)</f>
        <v>1.1267E-4</v>
      </c>
      <c r="T337" s="13">
        <f t="shared" si="372"/>
        <v>5645.8104111834882</v>
      </c>
      <c r="U337" s="14">
        <f t="shared" si="337"/>
        <v>1525462.6720868382</v>
      </c>
      <c r="V337">
        <f t="shared" si="343"/>
        <v>1235.0962197686617</v>
      </c>
      <c r="W337" s="6">
        <f t="shared" si="344"/>
        <v>2420.788590746577</v>
      </c>
      <c r="Y337" s="13">
        <f t="shared" si="338"/>
        <v>9282.8104111834873</v>
      </c>
      <c r="Z337">
        <f t="shared" si="339"/>
        <v>1525462.6720868382</v>
      </c>
      <c r="AA337">
        <f t="shared" si="345"/>
        <v>1235.0962197686617</v>
      </c>
      <c r="AB337" s="6">
        <f t="shared" si="346"/>
        <v>2420.788590746577</v>
      </c>
      <c r="AC337" s="14">
        <f t="shared" si="394"/>
        <v>0.13305197079977812</v>
      </c>
    </row>
    <row r="338" spans="1:29" hidden="1" x14ac:dyDescent="0.25">
      <c r="A338" t="str">
        <f>'rockfish harvests'!A337</f>
        <v>SE</v>
      </c>
      <c r="B338">
        <f>'rockfish harvests'!B337</f>
        <v>2008</v>
      </c>
      <c r="C338" t="str">
        <f>'rockfish harvests'!C337</f>
        <v>SSEI</v>
      </c>
      <c r="D338">
        <f>'rockfish harvests'!D337</f>
        <v>18756</v>
      </c>
      <c r="E338">
        <v>10550</v>
      </c>
      <c r="F338">
        <v>3569</v>
      </c>
      <c r="I338" s="13">
        <f t="shared" si="395"/>
        <v>3569</v>
      </c>
      <c r="J338">
        <f t="shared" si="340"/>
        <v>0</v>
      </c>
      <c r="K338">
        <f t="shared" si="341"/>
        <v>0</v>
      </c>
      <c r="L338" s="6">
        <f t="shared" si="342"/>
        <v>0</v>
      </c>
      <c r="N338" s="2">
        <f>'rockfish harvests'!O337</f>
        <v>22235.421525823498</v>
      </c>
      <c r="O338">
        <f>'rockfish harvests'!P337</f>
        <v>22689171.172948774</v>
      </c>
      <c r="P338">
        <f>IF([2]species_comp_Region1_forR!$D254&gt;49,[2]species_comp_Region1_forR!$J254,[2]species_comp_Region1_forR!$L254)</f>
        <v>0.20532003300000001</v>
      </c>
      <c r="Q338">
        <f>IF([2]species_comp_Region1_forR!$D254&gt;49,[2]species_comp_Region1_forR!$K254,[2]species_comp_Region1_forR!$M254)</f>
        <v>1.3574400000000001E-4</v>
      </c>
      <c r="T338" s="13">
        <f t="shared" si="372"/>
        <v>4565.3774814509916</v>
      </c>
      <c r="U338" s="14">
        <f t="shared" si="337"/>
        <v>1020525.6797863897</v>
      </c>
      <c r="V338">
        <f t="shared" si="343"/>
        <v>1010.2107105878405</v>
      </c>
      <c r="W338" s="6">
        <f t="shared" si="344"/>
        <v>1980.0129927521673</v>
      </c>
      <c r="Y338" s="13">
        <f t="shared" si="338"/>
        <v>8134.3774814509916</v>
      </c>
      <c r="Z338">
        <f t="shared" si="339"/>
        <v>1020525.6797863897</v>
      </c>
      <c r="AA338">
        <f t="shared" si="345"/>
        <v>1010.2107105878405</v>
      </c>
      <c r="AB338" s="6">
        <f t="shared" si="346"/>
        <v>1980.0129927521673</v>
      </c>
      <c r="AC338" s="14">
        <f t="shared" si="394"/>
        <v>0.12419029149943524</v>
      </c>
    </row>
    <row r="339" spans="1:29" hidden="1" x14ac:dyDescent="0.25">
      <c r="A339" t="str">
        <f>'rockfish harvests'!A338</f>
        <v>SE</v>
      </c>
      <c r="B339">
        <f>'rockfish harvests'!B338</f>
        <v>2009</v>
      </c>
      <c r="C339" t="str">
        <f>'rockfish harvests'!C338</f>
        <v>SSEI</v>
      </c>
      <c r="D339">
        <f>'rockfish harvests'!D338</f>
        <v>14837</v>
      </c>
      <c r="E339">
        <v>8319</v>
      </c>
      <c r="F339">
        <v>2902</v>
      </c>
      <c r="I339" s="13">
        <f t="shared" si="395"/>
        <v>2902</v>
      </c>
      <c r="J339">
        <f t="shared" si="340"/>
        <v>0</v>
      </c>
      <c r="K339">
        <f t="shared" si="341"/>
        <v>0</v>
      </c>
      <c r="L339" s="6">
        <f t="shared" si="342"/>
        <v>0</v>
      </c>
      <c r="N339" s="2">
        <f>'rockfish harvests'!O338</f>
        <v>17589.408678750442</v>
      </c>
      <c r="O339">
        <f>'rockfish harvests'!P338</f>
        <v>14198104.777272861</v>
      </c>
      <c r="P339">
        <f>IF([2]species_comp_Region1_forR!$D255&gt;49,[2]species_comp_Region1_forR!$J255,[2]species_comp_Region1_forR!$L255)</f>
        <v>0.20845341000000001</v>
      </c>
      <c r="Q339">
        <f>IF([2]species_comp_Region1_forR!$D255&gt;49,[2]species_comp_Region1_forR!$K255,[2]species_comp_Region1_forR!$M255)</f>
        <v>1.5865399999999999E-4</v>
      </c>
      <c r="T339" s="13">
        <f t="shared" si="372"/>
        <v>3666.5722189691242</v>
      </c>
      <c r="U339" s="14">
        <f t="shared" si="337"/>
        <v>663780.69622595084</v>
      </c>
      <c r="V339">
        <f t="shared" si="343"/>
        <v>814.72737539986394</v>
      </c>
      <c r="W339" s="6">
        <f t="shared" si="344"/>
        <v>1596.8656557837332</v>
      </c>
      <c r="Y339" s="13">
        <f t="shared" si="338"/>
        <v>6568.5722189691242</v>
      </c>
      <c r="Z339">
        <f t="shared" si="339"/>
        <v>663780.69622595084</v>
      </c>
      <c r="AA339">
        <f t="shared" si="345"/>
        <v>814.72737539986394</v>
      </c>
      <c r="AB339" s="6">
        <f t="shared" si="346"/>
        <v>1596.8656557837332</v>
      </c>
      <c r="AC339" s="14">
        <f t="shared" si="394"/>
        <v>0.12403416575782548</v>
      </c>
    </row>
    <row r="340" spans="1:29" hidden="1" x14ac:dyDescent="0.25">
      <c r="A340" t="str">
        <f>'rockfish harvests'!A339</f>
        <v>SE</v>
      </c>
      <c r="B340">
        <f>'rockfish harvests'!B339</f>
        <v>2010</v>
      </c>
      <c r="C340" t="str">
        <f>'rockfish harvests'!C339</f>
        <v>SSEI</v>
      </c>
      <c r="D340">
        <f>'rockfish harvests'!D339</f>
        <v>20015</v>
      </c>
      <c r="E340">
        <v>11058</v>
      </c>
      <c r="F340">
        <v>3159</v>
      </c>
      <c r="I340" s="13">
        <f t="shared" si="395"/>
        <v>3159</v>
      </c>
      <c r="J340">
        <f t="shared" si="340"/>
        <v>0</v>
      </c>
      <c r="K340">
        <f t="shared" si="341"/>
        <v>0</v>
      </c>
      <c r="L340" s="6">
        <f t="shared" si="342"/>
        <v>0</v>
      </c>
      <c r="N340" s="2">
        <f>'rockfish harvests'!O339</f>
        <v>23727.978345028649</v>
      </c>
      <c r="O340">
        <f>'rockfish harvests'!P339</f>
        <v>25837433.526771665</v>
      </c>
      <c r="P340">
        <f>IF([2]species_comp_Region1_forR!$D256&gt;49,[2]species_comp_Region1_forR!$J256,[2]species_comp_Region1_forR!$L256)</f>
        <v>0.28021486099999998</v>
      </c>
      <c r="Q340">
        <f>IF([2]species_comp_Region1_forR!$D256&gt;49,[2]species_comp_Region1_forR!$K256,[2]species_comp_Region1_forR!$M256)</f>
        <v>1.8073000000000001E-4</v>
      </c>
      <c r="T340" s="13">
        <f t="shared" si="372"/>
        <v>6648.9321537632122</v>
      </c>
      <c r="U340" s="14">
        <f t="shared" si="337"/>
        <v>2125849.2522596791</v>
      </c>
      <c r="V340">
        <f t="shared" si="343"/>
        <v>1458.02923573558</v>
      </c>
      <c r="W340" s="6">
        <f t="shared" si="344"/>
        <v>2857.7373020417367</v>
      </c>
      <c r="Y340" s="13">
        <f t="shared" si="338"/>
        <v>9807.9321537632131</v>
      </c>
      <c r="Z340">
        <f t="shared" si="339"/>
        <v>2125849.2522596791</v>
      </c>
      <c r="AA340">
        <f t="shared" si="345"/>
        <v>1458.02923573558</v>
      </c>
      <c r="AB340" s="6">
        <f t="shared" si="346"/>
        <v>2857.7373020417367</v>
      </c>
      <c r="AC340" s="14">
        <f t="shared" si="394"/>
        <v>0.14865816900824988</v>
      </c>
    </row>
    <row r="341" spans="1:29" hidden="1" x14ac:dyDescent="0.25">
      <c r="A341" t="str">
        <f>'rockfish harvests'!A340</f>
        <v>SE</v>
      </c>
      <c r="B341">
        <f>'rockfish harvests'!B340</f>
        <v>2011</v>
      </c>
      <c r="C341" t="str">
        <f>'rockfish harvests'!C340</f>
        <v>SSEI</v>
      </c>
      <c r="D341">
        <f>'rockfish harvests'!D340</f>
        <v>17328</v>
      </c>
      <c r="E341">
        <v>8097</v>
      </c>
      <c r="F341">
        <v>2407</v>
      </c>
      <c r="I341" s="13">
        <f t="shared" si="395"/>
        <v>2407</v>
      </c>
      <c r="J341">
        <f t="shared" si="340"/>
        <v>0</v>
      </c>
      <c r="K341">
        <f t="shared" si="341"/>
        <v>0</v>
      </c>
      <c r="L341" s="6">
        <f t="shared" si="342"/>
        <v>0</v>
      </c>
      <c r="N341" s="2">
        <f>'rockfish harvests'!O340</f>
        <v>26057.656259472569</v>
      </c>
      <c r="O341">
        <f>'rockfish harvests'!P340</f>
        <v>22721971.694568597</v>
      </c>
      <c r="P341">
        <f>IF([2]species_comp_Region1_forR!$D257&gt;49,[2]species_comp_Region1_forR!$J257,[2]species_comp_Region1_forR!$L257)</f>
        <v>0.27513639899999998</v>
      </c>
      <c r="Q341">
        <f>IF([2]species_comp_Region1_forR!$D257&gt;49,[2]species_comp_Region1_forR!$K257,[2]species_comp_Region1_forR!$M257)</f>
        <v>1.5556700000000001E-4</v>
      </c>
      <c r="T341" s="13">
        <f t="shared" si="372"/>
        <v>7169.4097096110918</v>
      </c>
      <c r="U341" s="14">
        <f t="shared" si="337"/>
        <v>1822149.5515169683</v>
      </c>
      <c r="V341">
        <f t="shared" si="343"/>
        <v>1349.8701980253391</v>
      </c>
      <c r="W341" s="6">
        <f t="shared" si="344"/>
        <v>2645.7455881296646</v>
      </c>
      <c r="Y341" s="13">
        <f t="shared" si="338"/>
        <v>9576.4097096110927</v>
      </c>
      <c r="Z341">
        <f t="shared" si="339"/>
        <v>1822149.5515169683</v>
      </c>
      <c r="AA341">
        <f t="shared" si="345"/>
        <v>1349.8701980253391</v>
      </c>
      <c r="AB341" s="6">
        <f t="shared" si="346"/>
        <v>2645.7455881296646</v>
      </c>
      <c r="AC341" s="14">
        <f t="shared" si="394"/>
        <v>0.14095785779409375</v>
      </c>
    </row>
    <row r="342" spans="1:29" hidden="1" x14ac:dyDescent="0.25">
      <c r="A342" t="str">
        <f>'rockfish harvests'!A341</f>
        <v>SE</v>
      </c>
      <c r="B342">
        <f>'rockfish harvests'!B341</f>
        <v>2012</v>
      </c>
      <c r="C342" t="str">
        <f>'rockfish harvests'!C341</f>
        <v>SSEI</v>
      </c>
      <c r="D342">
        <f>'rockfish harvests'!D341</f>
        <v>20908</v>
      </c>
      <c r="E342">
        <v>11877</v>
      </c>
      <c r="F342">
        <v>3147</v>
      </c>
      <c r="I342" s="13">
        <f t="shared" si="395"/>
        <v>3147</v>
      </c>
      <c r="J342">
        <f t="shared" si="340"/>
        <v>0</v>
      </c>
      <c r="K342">
        <f t="shared" si="341"/>
        <v>0</v>
      </c>
      <c r="L342" s="6">
        <f t="shared" si="342"/>
        <v>0</v>
      </c>
      <c r="N342" s="2">
        <f>'rockfish harvests'!O341</f>
        <v>30342.239687848378</v>
      </c>
      <c r="O342">
        <f>'rockfish harvests'!P341</f>
        <v>23087012.957423236</v>
      </c>
      <c r="P342">
        <f>IF([2]species_comp_Region1_forR!$D258&gt;49,[2]species_comp_Region1_forR!$J258,[2]species_comp_Region1_forR!$L258)</f>
        <v>0.26649528700000003</v>
      </c>
      <c r="Q342">
        <f>IF([2]species_comp_Region1_forR!$D258&gt;49,[2]species_comp_Region1_forR!$K258,[2]species_comp_Region1_forR!$M258)</f>
        <v>1.67646E-4</v>
      </c>
      <c r="T342" s="13">
        <f t="shared" si="372"/>
        <v>8086.0638738359448</v>
      </c>
      <c r="U342" s="14">
        <f t="shared" si="337"/>
        <v>1790106.7088317275</v>
      </c>
      <c r="V342">
        <f t="shared" si="343"/>
        <v>1337.948694394418</v>
      </c>
      <c r="W342" s="6">
        <f t="shared" si="344"/>
        <v>2622.379441013059</v>
      </c>
      <c r="Y342" s="13">
        <f t="shared" si="338"/>
        <v>11233.063873835945</v>
      </c>
      <c r="Z342">
        <f t="shared" si="339"/>
        <v>1790106.7088317275</v>
      </c>
      <c r="AA342">
        <f t="shared" si="345"/>
        <v>1337.948694394418</v>
      </c>
      <c r="AB342" s="6">
        <f t="shared" si="346"/>
        <v>2622.379441013059</v>
      </c>
      <c r="AC342" s="14">
        <f t="shared" si="394"/>
        <v>0.11910808212448327</v>
      </c>
    </row>
    <row r="343" spans="1:29" hidden="1" x14ac:dyDescent="0.25">
      <c r="A343" t="str">
        <f>'rockfish harvests'!A342</f>
        <v>SE</v>
      </c>
      <c r="B343">
        <f>'rockfish harvests'!B342</f>
        <v>2013</v>
      </c>
      <c r="C343" t="str">
        <f>'rockfish harvests'!C342</f>
        <v>SSEI</v>
      </c>
      <c r="D343">
        <f>'rockfish harvests'!D342</f>
        <v>24779</v>
      </c>
      <c r="E343">
        <v>13572</v>
      </c>
      <c r="F343">
        <v>3164</v>
      </c>
      <c r="I343" s="13">
        <f t="shared" si="395"/>
        <v>3164</v>
      </c>
      <c r="J343">
        <f t="shared" si="340"/>
        <v>0</v>
      </c>
      <c r="K343">
        <f t="shared" si="341"/>
        <v>0</v>
      </c>
      <c r="L343" s="6">
        <f t="shared" si="342"/>
        <v>0</v>
      </c>
      <c r="N343" s="2">
        <f>'rockfish harvests'!O342</f>
        <v>34267.842065821518</v>
      </c>
      <c r="O343">
        <f>'rockfish harvests'!P342</f>
        <v>37595985.131994449</v>
      </c>
      <c r="P343">
        <f>IF([2]species_comp_Region1_forR!$D259&gt;49,[2]species_comp_Region1_forR!$J259,[2]species_comp_Region1_forR!$L259)</f>
        <v>0.187141948</v>
      </c>
      <c r="Q343">
        <f>IF([2]species_comp_Region1_forR!$D259&gt;49,[2]species_comp_Region1_forR!$K259,[2]species_comp_Region1_forR!$M259)</f>
        <v>9.6891600000000006E-5</v>
      </c>
      <c r="T343" s="13">
        <f t="shared" si="372"/>
        <v>6412.9507179541833</v>
      </c>
      <c r="U343" s="14">
        <f t="shared" si="337"/>
        <v>1426826.2953609792</v>
      </c>
      <c r="V343">
        <f t="shared" si="343"/>
        <v>1194.4983446455583</v>
      </c>
      <c r="W343" s="6">
        <f t="shared" si="344"/>
        <v>2341.2167555052943</v>
      </c>
      <c r="Y343" s="13">
        <f t="shared" si="338"/>
        <v>9576.9507179541833</v>
      </c>
      <c r="Z343">
        <f t="shared" si="339"/>
        <v>1426826.2953609792</v>
      </c>
      <c r="AA343">
        <f t="shared" si="345"/>
        <v>1194.4983446455583</v>
      </c>
      <c r="AB343" s="6">
        <f t="shared" si="346"/>
        <v>2341.2167555052943</v>
      </c>
      <c r="AC343" s="14">
        <f t="shared" si="394"/>
        <v>0.12472637479549707</v>
      </c>
    </row>
    <row r="344" spans="1:29" hidden="1" x14ac:dyDescent="0.25">
      <c r="A344" t="str">
        <f>'rockfish harvests'!A343</f>
        <v>SE</v>
      </c>
      <c r="B344">
        <f>'rockfish harvests'!B343</f>
        <v>2014</v>
      </c>
      <c r="C344" t="str">
        <f>'rockfish harvests'!C343</f>
        <v>SSEI</v>
      </c>
      <c r="D344">
        <f>'rockfish harvests'!D343</f>
        <v>25686</v>
      </c>
      <c r="E344">
        <v>15018</v>
      </c>
      <c r="F344">
        <v>2923</v>
      </c>
      <c r="I344" s="13">
        <f t="shared" si="395"/>
        <v>2923</v>
      </c>
      <c r="J344">
        <f t="shared" si="340"/>
        <v>0</v>
      </c>
      <c r="K344">
        <f t="shared" si="341"/>
        <v>0</v>
      </c>
      <c r="L344" s="6">
        <f t="shared" si="342"/>
        <v>0</v>
      </c>
      <c r="N344" s="2">
        <f>'rockfish harvests'!O343</f>
        <v>33152.073336968373</v>
      </c>
      <c r="O344">
        <f>'rockfish harvests'!P343</f>
        <v>19566076.633357268</v>
      </c>
      <c r="P344">
        <f>IF([2]species_comp_Region1_forR!$D260&gt;49,[2]species_comp_Region1_forR!$J260,[2]species_comp_Region1_forR!$L260)</f>
        <v>0.16776149600000001</v>
      </c>
      <c r="Q344">
        <f>IF([2]species_comp_Region1_forR!$D260&gt;49,[2]species_comp_Region1_forR!$K260,[2]species_comp_Region1_forR!$M260)</f>
        <v>7.0585200000000003E-5</v>
      </c>
      <c r="T344" s="13">
        <f t="shared" si="372"/>
        <v>5561.6414185115264</v>
      </c>
      <c r="U344" s="14">
        <f t="shared" si="337"/>
        <v>626862.37860359205</v>
      </c>
      <c r="V344">
        <f t="shared" si="343"/>
        <v>791.74641054039012</v>
      </c>
      <c r="W344" s="6">
        <f t="shared" si="344"/>
        <v>1551.8229646591647</v>
      </c>
      <c r="Y344" s="13">
        <f t="shared" si="338"/>
        <v>8484.6414185115264</v>
      </c>
      <c r="Z344">
        <f t="shared" si="339"/>
        <v>626862.37860359205</v>
      </c>
      <c r="AA344">
        <f t="shared" si="345"/>
        <v>791.74641054039012</v>
      </c>
      <c r="AB344" s="6">
        <f t="shared" si="346"/>
        <v>1551.8229646591647</v>
      </c>
      <c r="AC344" s="14">
        <f t="shared" si="394"/>
        <v>9.3315247102014526E-2</v>
      </c>
    </row>
    <row r="345" spans="1:29" hidden="1" x14ac:dyDescent="0.25">
      <c r="A345" t="str">
        <f>'rockfish harvests'!A344</f>
        <v>SE</v>
      </c>
      <c r="B345">
        <f>'rockfish harvests'!B344</f>
        <v>2015</v>
      </c>
      <c r="C345" t="str">
        <f>'rockfish harvests'!C344</f>
        <v>SSEI</v>
      </c>
      <c r="D345">
        <f>'rockfish harvests'!D344</f>
        <v>29160</v>
      </c>
      <c r="E345">
        <v>17942</v>
      </c>
      <c r="F345">
        <v>4271</v>
      </c>
      <c r="I345" s="13">
        <f t="shared" si="395"/>
        <v>4271</v>
      </c>
      <c r="J345">
        <f t="shared" si="340"/>
        <v>0</v>
      </c>
      <c r="K345">
        <f t="shared" si="341"/>
        <v>0</v>
      </c>
      <c r="L345" s="6">
        <f t="shared" si="342"/>
        <v>0</v>
      </c>
      <c r="N345" s="2">
        <f>'rockfish harvests'!O344</f>
        <v>31796.645359656926</v>
      </c>
      <c r="O345">
        <f>'rockfish harvests'!P344</f>
        <v>18451721.940392502</v>
      </c>
      <c r="P345">
        <f>IF([2]species_comp_Region1_forR!$D261&gt;49,[2]species_comp_Region1_forR!$J261,[2]species_comp_Region1_forR!$L261)</f>
        <v>0.17763157900000001</v>
      </c>
      <c r="Q345">
        <f>IF([2]species_comp_Region1_forR!$D261&gt;49,[2]species_comp_Region1_forR!$K261,[2]species_comp_Region1_forR!$M261)</f>
        <v>7.3963799999999998E-5</v>
      </c>
      <c r="T345" s="13">
        <f t="shared" si="372"/>
        <v>5648.0883221388831</v>
      </c>
      <c r="U345" s="14">
        <f t="shared" si="337"/>
        <v>655621.38774504093</v>
      </c>
      <c r="V345">
        <f t="shared" si="343"/>
        <v>809.70450643740458</v>
      </c>
      <c r="W345" s="6">
        <f t="shared" si="344"/>
        <v>1587.0208326173129</v>
      </c>
      <c r="Y345" s="13">
        <f t="shared" si="338"/>
        <v>9919.0883221388831</v>
      </c>
      <c r="Z345">
        <f t="shared" si="339"/>
        <v>655621.38774504093</v>
      </c>
      <c r="AA345">
        <f t="shared" si="345"/>
        <v>809.70450643740458</v>
      </c>
      <c r="AB345" s="6">
        <f t="shared" si="346"/>
        <v>1587.0208326173129</v>
      </c>
      <c r="AC345" s="14">
        <f t="shared" si="394"/>
        <v>8.1630940278068373E-2</v>
      </c>
    </row>
    <row r="346" spans="1:29" hidden="1" x14ac:dyDescent="0.25">
      <c r="A346" t="str">
        <f>'rockfish harvests'!A345</f>
        <v>SE</v>
      </c>
      <c r="B346">
        <f>'rockfish harvests'!B345</f>
        <v>2016</v>
      </c>
      <c r="C346" t="str">
        <f>'rockfish harvests'!C345</f>
        <v>SSEI</v>
      </c>
      <c r="D346">
        <f>'rockfish harvests'!D345</f>
        <v>32540</v>
      </c>
      <c r="E346">
        <v>19167</v>
      </c>
      <c r="F346">
        <v>4529</v>
      </c>
      <c r="I346" s="13">
        <f t="shared" si="395"/>
        <v>4529</v>
      </c>
      <c r="J346">
        <f t="shared" si="340"/>
        <v>0</v>
      </c>
      <c r="K346">
        <f t="shared" si="341"/>
        <v>0</v>
      </c>
      <c r="L346" s="6">
        <f t="shared" si="342"/>
        <v>0</v>
      </c>
      <c r="N346" s="2">
        <f>'rockfish harvests'!O345</f>
        <v>33865.532446281708</v>
      </c>
      <c r="O346">
        <f>'rockfish harvests'!P345</f>
        <v>23923054.468410891</v>
      </c>
      <c r="P346">
        <f>IF([2]species_comp_Region1_forR!$D262&gt;49,[2]species_comp_Region1_forR!$J262,[2]species_comp_Region1_forR!$L262)</f>
        <v>0.17826740099999999</v>
      </c>
      <c r="Q346">
        <f>IF([2]species_comp_Region1_forR!$D262&gt;49,[2]species_comp_Region1_forR!$K262,[2]species_comp_Region1_forR!$M262)</f>
        <v>7.3390800000000002E-5</v>
      </c>
      <c r="T346" s="13">
        <f t="shared" si="372"/>
        <v>6037.1204526798119</v>
      </c>
      <c r="U346" s="14">
        <f t="shared" si="337"/>
        <v>842671.40706758294</v>
      </c>
      <c r="V346">
        <f t="shared" si="343"/>
        <v>917.97135416503215</v>
      </c>
      <c r="W346" s="6">
        <f t="shared" si="344"/>
        <v>1799.2238541634629</v>
      </c>
      <c r="Y346" s="13">
        <f t="shared" si="338"/>
        <v>10566.120452679812</v>
      </c>
      <c r="Z346">
        <f t="shared" si="339"/>
        <v>842671.40706758294</v>
      </c>
      <c r="AA346">
        <f t="shared" si="345"/>
        <v>917.97135416503215</v>
      </c>
      <c r="AB346" s="6">
        <f t="shared" si="346"/>
        <v>1799.2238541634629</v>
      </c>
      <c r="AC346" s="14">
        <f t="shared" si="394"/>
        <v>8.6878751598200216E-2</v>
      </c>
    </row>
    <row r="347" spans="1:29" hidden="1" x14ac:dyDescent="0.25">
      <c r="A347" t="str">
        <f>'rockfish harvests'!A346</f>
        <v>SE</v>
      </c>
      <c r="B347">
        <f>'rockfish harvests'!B346</f>
        <v>2017</v>
      </c>
      <c r="C347" t="str">
        <f>'rockfish harvests'!C346</f>
        <v>SSEI</v>
      </c>
      <c r="D347">
        <f>'rockfish harvests'!D346</f>
        <v>30249</v>
      </c>
      <c r="E347">
        <v>13768</v>
      </c>
      <c r="F347">
        <v>3574</v>
      </c>
      <c r="I347" s="13">
        <f t="shared" si="395"/>
        <v>3574</v>
      </c>
      <c r="J347">
        <f t="shared" si="340"/>
        <v>0</v>
      </c>
      <c r="K347">
        <f t="shared" si="341"/>
        <v>0</v>
      </c>
      <c r="L347" s="6">
        <f t="shared" si="342"/>
        <v>0</v>
      </c>
      <c r="N347" s="2">
        <f>'rockfish harvests'!O346</f>
        <v>32660.834871736792</v>
      </c>
      <c r="O347">
        <f>'rockfish harvests'!P346</f>
        <v>21220862.426665116</v>
      </c>
      <c r="P347">
        <f>IF([2]species_comp_Region1_forR!$D263&gt;49,[2]species_comp_Region1_forR!$J263,[2]species_comp_Region1_forR!$L263)</f>
        <v>0.228940217</v>
      </c>
      <c r="Q347">
        <f>IF([2]species_comp_Region1_forR!$D263&gt;49,[2]species_comp_Region1_forR!$K263,[2]species_comp_Region1_forR!$M263)</f>
        <v>1.20004E-4</v>
      </c>
      <c r="T347" s="13">
        <f t="shared" si="372"/>
        <v>7477.3786229365887</v>
      </c>
      <c r="U347" s="14">
        <f t="shared" si="337"/>
        <v>1237727.5768055581</v>
      </c>
      <c r="V347">
        <f t="shared" si="343"/>
        <v>1112.5320565294098</v>
      </c>
      <c r="W347" s="6">
        <f t="shared" si="344"/>
        <v>2180.5628307976431</v>
      </c>
      <c r="Y347" s="13">
        <f t="shared" si="338"/>
        <v>11051.378622936589</v>
      </c>
      <c r="Z347">
        <f t="shared" si="339"/>
        <v>1237727.5768055581</v>
      </c>
      <c r="AA347">
        <f t="shared" si="345"/>
        <v>1112.5320565294098</v>
      </c>
      <c r="AB347" s="6">
        <f t="shared" si="346"/>
        <v>2180.5628307976431</v>
      </c>
      <c r="AC347" s="14">
        <f t="shared" si="394"/>
        <v>0.10066907437416041</v>
      </c>
    </row>
    <row r="348" spans="1:29" hidden="1" x14ac:dyDescent="0.25">
      <c r="A348" t="str">
        <f>'rockfish harvests'!A347</f>
        <v>SE</v>
      </c>
      <c r="B348">
        <f>'rockfish harvests'!B347</f>
        <v>2018</v>
      </c>
      <c r="C348" t="str">
        <f>'rockfish harvests'!C347</f>
        <v>SSEI</v>
      </c>
      <c r="D348">
        <f>'rockfish harvests'!D347</f>
        <v>42049</v>
      </c>
      <c r="E348">
        <v>16630</v>
      </c>
      <c r="F348">
        <v>3678</v>
      </c>
      <c r="I348" s="13">
        <f t="shared" si="395"/>
        <v>3678</v>
      </c>
      <c r="J348">
        <f t="shared" si="340"/>
        <v>0</v>
      </c>
      <c r="K348">
        <f t="shared" si="341"/>
        <v>0</v>
      </c>
      <c r="L348" s="6">
        <f t="shared" si="342"/>
        <v>0</v>
      </c>
      <c r="N348" s="2">
        <f>'rockfish harvests'!O347</f>
        <v>34725.8595505618</v>
      </c>
      <c r="O348">
        <f>'rockfish harvests'!P347</f>
        <v>18537755.684375577</v>
      </c>
      <c r="P348">
        <f>IF([2]species_comp_Region1_forR!$D264&gt;49,[2]species_comp_Region1_forR!$J264,[2]species_comp_Region1_forR!$L264)</f>
        <v>0.21062160499999999</v>
      </c>
      <c r="Q348">
        <f>IF([2]species_comp_Region1_forR!$D264&gt;49,[2]species_comp_Region1_forR!$K264,[2]species_comp_Region1_forR!$M264)</f>
        <v>1.00399E-4</v>
      </c>
      <c r="T348" s="13">
        <f t="shared" si="372"/>
        <v>7314.0162735439044</v>
      </c>
      <c r="U348" s="14">
        <f t="shared" si="337"/>
        <v>941570.42468002858</v>
      </c>
      <c r="V348">
        <f t="shared" si="343"/>
        <v>970.34551819443607</v>
      </c>
      <c r="W348" s="6">
        <f t="shared" si="344"/>
        <v>1901.8772156610946</v>
      </c>
      <c r="Y348" s="13">
        <f t="shared" si="338"/>
        <v>10992.016273543904</v>
      </c>
      <c r="Z348">
        <f t="shared" si="339"/>
        <v>941570.42468002858</v>
      </c>
      <c r="AA348">
        <f t="shared" si="345"/>
        <v>970.34551819443607</v>
      </c>
      <c r="AB348" s="6">
        <f t="shared" si="346"/>
        <v>1901.8772156610946</v>
      </c>
      <c r="AC348" s="14">
        <f t="shared" si="394"/>
        <v>8.8277300000902365E-2</v>
      </c>
    </row>
    <row r="349" spans="1:29" hidden="1" x14ac:dyDescent="0.25">
      <c r="A349" t="str">
        <f>'rockfish harvests'!A348</f>
        <v>SE</v>
      </c>
      <c r="B349">
        <f>'rockfish harvests'!B348</f>
        <v>2019</v>
      </c>
      <c r="C349" t="str">
        <f>'rockfish harvests'!C348</f>
        <v>SSEI</v>
      </c>
      <c r="D349">
        <f>'rockfish harvests'!D348</f>
        <v>35867</v>
      </c>
      <c r="E349">
        <v>14851</v>
      </c>
      <c r="F349">
        <v>3091</v>
      </c>
      <c r="I349" s="13">
        <f>F349</f>
        <v>3091</v>
      </c>
      <c r="J349">
        <f>(E349^2)*H349</f>
        <v>0</v>
      </c>
      <c r="K349">
        <f>SQRT(J349)</f>
        <v>0</v>
      </c>
      <c r="L349" s="6">
        <f>(1.96*K349)</f>
        <v>0</v>
      </c>
      <c r="N349" s="2">
        <f>'rockfish harvests'!O348</f>
        <v>69950.34860446323</v>
      </c>
      <c r="O349">
        <f>'rockfish harvests'!P348</f>
        <v>111154603.32156514</v>
      </c>
      <c r="P349">
        <v>0.19235225955967555</v>
      </c>
      <c r="Q349">
        <v>1.8022374454984078E-4</v>
      </c>
      <c r="T349" s="13">
        <f>N349*P349</f>
        <v>13455.1076110555</v>
      </c>
      <c r="U349" s="14">
        <f>(N349^2)*Q349+(P349^2)*O349-(Q349*O349)</f>
        <v>4974464.0372663839</v>
      </c>
      <c r="V349">
        <f>SQRT(U349)</f>
        <v>2230.350653432411</v>
      </c>
      <c r="W349" s="6">
        <f>(1.96*V349)</f>
        <v>4371.4872807275251</v>
      </c>
      <c r="Y349" s="13">
        <f>T349+I349</f>
        <v>16546.1076110555</v>
      </c>
      <c r="Z349">
        <f>U349+J349</f>
        <v>4974464.0372663839</v>
      </c>
      <c r="AA349">
        <f>SQRT(Z349)</f>
        <v>2230.350653432411</v>
      </c>
      <c r="AB349" s="6">
        <f>(1.96*AA349)</f>
        <v>4371.4872807275251</v>
      </c>
      <c r="AC349" s="14">
        <f t="shared" si="394"/>
        <v>0.13479609258325945</v>
      </c>
    </row>
    <row r="350" spans="1:29" hidden="1" x14ac:dyDescent="0.25">
      <c r="A350" t="str">
        <f>'rockfish harvests'!A349</f>
        <v>SE</v>
      </c>
      <c r="B350">
        <f>'rockfish harvests'!B349</f>
        <v>2020</v>
      </c>
      <c r="C350" t="str">
        <f>'rockfish harvests'!C349</f>
        <v>SSEI</v>
      </c>
      <c r="D350">
        <f>'rockfish harvests'!D349</f>
        <v>11107</v>
      </c>
      <c r="E350">
        <v>325</v>
      </c>
      <c r="F350">
        <v>8</v>
      </c>
      <c r="I350" s="13">
        <f t="shared" ref="I350:I352" si="396">F350</f>
        <v>8</v>
      </c>
      <c r="J350">
        <f t="shared" ref="J350:J352" si="397">(E350^2)*H350</f>
        <v>0</v>
      </c>
      <c r="K350">
        <f t="shared" ref="K350:K352" si="398">SQRT(J350)</f>
        <v>0</v>
      </c>
      <c r="L350" s="6">
        <f t="shared" ref="L350:L352" si="399">(1.96*K350)</f>
        <v>0</v>
      </c>
      <c r="N350" s="2">
        <f>'rockfish harvests'!O349</f>
        <v>15196.649154865238</v>
      </c>
      <c r="O350">
        <f>'rockfish harvests'!P349</f>
        <v>6640608.2621304234</v>
      </c>
      <c r="P350" t="s">
        <v>313</v>
      </c>
      <c r="Q350" t="s">
        <v>314</v>
      </c>
      <c r="T350" s="13">
        <f t="shared" ref="T350:T351" si="400">N350*P350</f>
        <v>156.20637897805707</v>
      </c>
      <c r="U350" s="14">
        <f t="shared" ref="U350:U351" si="401">(N350^2)*Q350+(P350^2)*O350-(Q350*O350)</f>
        <v>4057.30299516795</v>
      </c>
      <c r="V350">
        <f t="shared" ref="V350:V351" si="402">SQRT(U350)</f>
        <v>63.696962213028257</v>
      </c>
      <c r="W350" s="6">
        <f t="shared" ref="W350:W351" si="403">(1.96*V350)</f>
        <v>124.84604593753538</v>
      </c>
      <c r="Y350" s="13">
        <f t="shared" ref="Y350:Y351" si="404">T350+I350</f>
        <v>164.20637897805707</v>
      </c>
      <c r="Z350">
        <f t="shared" ref="Z350:Z351" si="405">U350+J350</f>
        <v>4057.30299516795</v>
      </c>
      <c r="AA350">
        <f t="shared" ref="AA350:AA351" si="406">SQRT(Z350)</f>
        <v>63.696962213028257</v>
      </c>
      <c r="AB350" s="6">
        <f t="shared" ref="AB350:AB351" si="407">(1.96*AA350)</f>
        <v>124.84604593753538</v>
      </c>
      <c r="AC350" s="14">
        <f t="shared" ref="AC350:AC351" si="408">AA350/Y350</f>
        <v>0.38790796441312486</v>
      </c>
    </row>
    <row r="351" spans="1:29" hidden="1" x14ac:dyDescent="0.25">
      <c r="A351" t="str">
        <f>'rockfish harvests'!A350</f>
        <v>SE</v>
      </c>
      <c r="B351">
        <f>'rockfish harvests'!B350</f>
        <v>2021</v>
      </c>
      <c r="C351" t="str">
        <f>'rockfish harvests'!C350</f>
        <v>SSEI</v>
      </c>
      <c r="D351">
        <f>'rockfish harvests'!D350</f>
        <v>28388</v>
      </c>
      <c r="E351">
        <v>1254</v>
      </c>
      <c r="F351">
        <v>6</v>
      </c>
      <c r="I351" s="13">
        <f t="shared" si="396"/>
        <v>6</v>
      </c>
      <c r="J351">
        <f t="shared" si="397"/>
        <v>0</v>
      </c>
      <c r="K351">
        <f t="shared" si="398"/>
        <v>0</v>
      </c>
      <c r="L351" s="6">
        <f t="shared" si="399"/>
        <v>0</v>
      </c>
      <c r="N351" s="2">
        <f>'rockfish harvests'!O350</f>
        <v>14186.636497865038</v>
      </c>
      <c r="O351">
        <f>'rockfish harvests'!P350</f>
        <v>6428956.9149598647</v>
      </c>
      <c r="P351" t="s">
        <v>315</v>
      </c>
      <c r="Q351" t="s">
        <v>316</v>
      </c>
      <c r="T351" s="13">
        <f t="shared" si="400"/>
        <v>141.86636497865038</v>
      </c>
      <c r="U351" s="14">
        <f t="shared" si="401"/>
        <v>3402.3145931486479</v>
      </c>
      <c r="V351">
        <f t="shared" si="402"/>
        <v>58.329363044256262</v>
      </c>
      <c r="W351" s="6">
        <f t="shared" si="403"/>
        <v>114.32555156674228</v>
      </c>
      <c r="Y351" s="13">
        <f t="shared" si="404"/>
        <v>147.86636497865038</v>
      </c>
      <c r="Z351">
        <f t="shared" si="405"/>
        <v>3402.3145931486479</v>
      </c>
      <c r="AA351">
        <f t="shared" si="406"/>
        <v>58.329363044256262</v>
      </c>
      <c r="AB351" s="6">
        <f t="shared" si="407"/>
        <v>114.32555156674228</v>
      </c>
      <c r="AC351" s="14">
        <f t="shared" si="408"/>
        <v>0.3944735035089158</v>
      </c>
    </row>
    <row r="352" spans="1:29" s="51" customFormat="1" hidden="1" x14ac:dyDescent="0.25">
      <c r="A352" s="51" t="s">
        <v>151</v>
      </c>
      <c r="B352" s="51">
        <v>2022</v>
      </c>
      <c r="C352" s="51" t="s">
        <v>39</v>
      </c>
      <c r="D352">
        <f>'rockfish harvests'!D351</f>
        <v>33837</v>
      </c>
      <c r="E352" s="51">
        <v>3983</v>
      </c>
      <c r="F352" s="51">
        <v>34</v>
      </c>
      <c r="I352" s="71">
        <f t="shared" si="396"/>
        <v>34</v>
      </c>
      <c r="J352" s="51">
        <f t="shared" si="397"/>
        <v>0</v>
      </c>
      <c r="K352" s="51">
        <f t="shared" si="398"/>
        <v>0</v>
      </c>
      <c r="L352" s="78">
        <f t="shared" si="399"/>
        <v>0</v>
      </c>
      <c r="N352" s="2">
        <f>'rockfish harvests'!O351</f>
        <v>25305.766593391003</v>
      </c>
      <c r="O352">
        <f>'rockfish harvests'!P351</f>
        <v>17493065.751002964</v>
      </c>
      <c r="P352" t="s">
        <v>212</v>
      </c>
      <c r="Q352" t="s">
        <v>213</v>
      </c>
      <c r="T352" s="13">
        <f t="shared" ref="T352" si="409">N352*P352</f>
        <v>583.28894630156515</v>
      </c>
      <c r="U352" s="14">
        <f t="shared" ref="U352" si="410">(N352^2)*Q352+(P352^2)*O352-(Q352*O352)</f>
        <v>34207.55858771679</v>
      </c>
      <c r="V352">
        <f t="shared" ref="V352" si="411">SQRT(U352)</f>
        <v>184.95285504072865</v>
      </c>
      <c r="W352" s="6">
        <f t="shared" ref="W352" si="412">(1.96*V352)</f>
        <v>362.50759587982816</v>
      </c>
      <c r="X352"/>
      <c r="Y352" s="13">
        <f t="shared" ref="Y352" si="413">T352+I352</f>
        <v>617.28894630156515</v>
      </c>
      <c r="Z352">
        <f t="shared" ref="Z352" si="414">U352+J352</f>
        <v>34207.55858771679</v>
      </c>
      <c r="AA352">
        <f t="shared" ref="AA352" si="415">SQRT(Z352)</f>
        <v>184.95285504072865</v>
      </c>
      <c r="AB352" s="6">
        <f t="shared" ref="AB352" si="416">(1.96*AA352)</f>
        <v>362.50759587982816</v>
      </c>
      <c r="AC352" s="14">
        <f t="shared" ref="AC352" si="417">AA352/Y352</f>
        <v>0.29962120032904871</v>
      </c>
    </row>
    <row r="353" spans="1:29" x14ac:dyDescent="0.25">
      <c r="A353" t="str">
        <f>'rockfish harvests'!A352</f>
        <v>SE</v>
      </c>
      <c r="B353">
        <f>'rockfish harvests'!B352</f>
        <v>1998</v>
      </c>
      <c r="C353" t="str">
        <f>'rockfish harvests'!C352</f>
        <v>SSEO</v>
      </c>
      <c r="D353">
        <f>'rockfish harvests'!D352</f>
        <v>3185</v>
      </c>
      <c r="E353">
        <v>1723</v>
      </c>
      <c r="F353" t="s">
        <v>159</v>
      </c>
      <c r="G353" s="32">
        <v>0.357901688</v>
      </c>
      <c r="H353" s="32">
        <v>1.1641748E-2</v>
      </c>
      <c r="I353" s="13">
        <f t="shared" ref="I353:I360" si="418">E353*G353</f>
        <v>616.66460842399999</v>
      </c>
      <c r="J353">
        <f t="shared" si="340"/>
        <v>34561.194898292</v>
      </c>
      <c r="K353">
        <f t="shared" si="341"/>
        <v>185.90641435488988</v>
      </c>
      <c r="L353" s="6">
        <f t="shared" si="342"/>
        <v>364.37657213558413</v>
      </c>
      <c r="N353" s="2">
        <f>'rockfish harvests'!O352</f>
        <v>1543.4215757484271</v>
      </c>
      <c r="O353">
        <f>'rockfish harvests'!P352</f>
        <v>277633.92962977174</v>
      </c>
      <c r="P353" s="32">
        <v>0.14601389000000001</v>
      </c>
      <c r="Q353" s="32">
        <v>1.586648E-3</v>
      </c>
      <c r="T353" s="13">
        <f t="shared" si="372"/>
        <v>225.36098818495751</v>
      </c>
      <c r="U353" s="14">
        <f t="shared" si="337"/>
        <v>9258.2974161104084</v>
      </c>
      <c r="V353">
        <f t="shared" si="343"/>
        <v>96.220046851528863</v>
      </c>
      <c r="W353" s="6">
        <f t="shared" si="344"/>
        <v>188.59129182899656</v>
      </c>
      <c r="Y353" s="13">
        <f t="shared" si="338"/>
        <v>842.02559660895747</v>
      </c>
      <c r="Z353">
        <f t="shared" si="339"/>
        <v>43819.492314402407</v>
      </c>
      <c r="AA353">
        <f t="shared" si="345"/>
        <v>209.33105912501949</v>
      </c>
      <c r="AB353" s="6">
        <f t="shared" si="346"/>
        <v>410.28887588503818</v>
      </c>
      <c r="AC353" s="14">
        <f t="shared" si="394"/>
        <v>0.24860415166480299</v>
      </c>
    </row>
    <row r="354" spans="1:29" x14ac:dyDescent="0.25">
      <c r="A354" t="str">
        <f>'rockfish harvests'!A353</f>
        <v>SE</v>
      </c>
      <c r="B354">
        <f>'rockfish harvests'!B353</f>
        <v>1999</v>
      </c>
      <c r="C354" t="str">
        <f>'rockfish harvests'!C353</f>
        <v>SSEO</v>
      </c>
      <c r="D354">
        <f>'rockfish harvests'!D353</f>
        <v>4616</v>
      </c>
      <c r="E354">
        <v>3048</v>
      </c>
      <c r="F354" t="s">
        <v>159</v>
      </c>
      <c r="G354" s="32">
        <v>0.357901688</v>
      </c>
      <c r="H354" s="32">
        <v>1.1641748E-2</v>
      </c>
      <c r="I354" s="13">
        <f t="shared" si="418"/>
        <v>1090.8843450239999</v>
      </c>
      <c r="J354">
        <f t="shared" si="340"/>
        <v>108155.37801139201</v>
      </c>
      <c r="K354">
        <f t="shared" si="341"/>
        <v>328.86984965392008</v>
      </c>
      <c r="L354" s="6">
        <f t="shared" si="342"/>
        <v>644.58490532168332</v>
      </c>
      <c r="N354" s="2">
        <f>'rockfish harvests'!O353</f>
        <v>2236.8709556215817</v>
      </c>
      <c r="O354">
        <f>'rockfish harvests'!P353</f>
        <v>583156.69651387446</v>
      </c>
      <c r="P354" s="32">
        <v>0.14601389000000001</v>
      </c>
      <c r="Q354" s="32">
        <v>1.586648E-3</v>
      </c>
      <c r="T354" s="13">
        <f t="shared" si="372"/>
        <v>326.61422965832452</v>
      </c>
      <c r="U354" s="14">
        <f t="shared" si="337"/>
        <v>19446.607782130835</v>
      </c>
      <c r="V354">
        <f t="shared" si="343"/>
        <v>139.45109458921732</v>
      </c>
      <c r="W354" s="6">
        <f t="shared" si="344"/>
        <v>273.32414539486592</v>
      </c>
      <c r="Y354" s="13">
        <f t="shared" si="338"/>
        <v>1417.4985746823245</v>
      </c>
      <c r="Z354">
        <f t="shared" si="339"/>
        <v>127601.98579352285</v>
      </c>
      <c r="AA354">
        <f t="shared" si="345"/>
        <v>357.21420155632512</v>
      </c>
      <c r="AB354" s="6">
        <f t="shared" si="346"/>
        <v>700.13983505039721</v>
      </c>
      <c r="AC354" s="14">
        <f t="shared" si="394"/>
        <v>0.25200321745394372</v>
      </c>
    </row>
    <row r="355" spans="1:29" x14ac:dyDescent="0.25">
      <c r="A355" t="str">
        <f>'rockfish harvests'!A354</f>
        <v>SE</v>
      </c>
      <c r="B355">
        <f>'rockfish harvests'!B354</f>
        <v>2000</v>
      </c>
      <c r="C355" t="str">
        <f>'rockfish harvests'!C354</f>
        <v>SSEO</v>
      </c>
      <c r="D355">
        <f>'rockfish harvests'!D354</f>
        <v>6910</v>
      </c>
      <c r="E355">
        <v>4760</v>
      </c>
      <c r="F355" t="s">
        <v>159</v>
      </c>
      <c r="G355" s="32">
        <v>0.357901688</v>
      </c>
      <c r="H355" s="32">
        <v>1.1641748E-2</v>
      </c>
      <c r="I355" s="13">
        <f t="shared" si="418"/>
        <v>1703.61203488</v>
      </c>
      <c r="J355">
        <f t="shared" si="340"/>
        <v>263774.06948479998</v>
      </c>
      <c r="K355">
        <f t="shared" si="341"/>
        <v>513.58939775349722</v>
      </c>
      <c r="L355" s="6">
        <f t="shared" si="342"/>
        <v>1006.6352195968545</v>
      </c>
      <c r="N355" s="2">
        <f>'rockfish harvests'!O354</f>
        <v>3348.5221627697429</v>
      </c>
      <c r="O355">
        <f>'rockfish harvests'!P354</f>
        <v>1306801.9129460659</v>
      </c>
      <c r="P355" s="32">
        <v>0.14601389000000001</v>
      </c>
      <c r="Q355" s="32">
        <v>1.586648E-3</v>
      </c>
      <c r="T355" s="13">
        <f t="shared" ref="T355:T372" si="419">N355*P355</f>
        <v>488.93074673722333</v>
      </c>
      <c r="U355" s="14">
        <f t="shared" si="337"/>
        <v>43578.105853742527</v>
      </c>
      <c r="V355">
        <f t="shared" si="343"/>
        <v>208.75369662294014</v>
      </c>
      <c r="W355" s="6">
        <f t="shared" si="344"/>
        <v>409.15724538096265</v>
      </c>
      <c r="Y355" s="13">
        <f t="shared" si="338"/>
        <v>2192.5427816172232</v>
      </c>
      <c r="Z355">
        <f t="shared" si="339"/>
        <v>307352.1753385425</v>
      </c>
      <c r="AA355">
        <f t="shared" si="345"/>
        <v>554.39352028910162</v>
      </c>
      <c r="AB355" s="6">
        <f t="shared" si="346"/>
        <v>1086.6112997666391</v>
      </c>
      <c r="AC355" s="14">
        <f t="shared" si="394"/>
        <v>0.25285414037858822</v>
      </c>
    </row>
    <row r="356" spans="1:29" x14ac:dyDescent="0.25">
      <c r="A356" t="str">
        <f>'rockfish harvests'!A355</f>
        <v>SE</v>
      </c>
      <c r="B356">
        <f>'rockfish harvests'!B355</f>
        <v>2001</v>
      </c>
      <c r="C356" t="str">
        <f>'rockfish harvests'!C355</f>
        <v>SSEO</v>
      </c>
      <c r="D356">
        <f>'rockfish harvests'!D355</f>
        <v>5756</v>
      </c>
      <c r="E356">
        <v>3877</v>
      </c>
      <c r="F356" t="s">
        <v>159</v>
      </c>
      <c r="G356" s="32">
        <v>0.357901688</v>
      </c>
      <c r="H356" s="32">
        <v>1.1641748E-2</v>
      </c>
      <c r="I356" s="13">
        <f t="shared" si="418"/>
        <v>1387.5848443760001</v>
      </c>
      <c r="J356">
        <f t="shared" si="340"/>
        <v>174988.61597349201</v>
      </c>
      <c r="K356">
        <f t="shared" si="341"/>
        <v>418.31640653157751</v>
      </c>
      <c r="L356" s="6">
        <f t="shared" si="342"/>
        <v>819.90015680189197</v>
      </c>
      <c r="N356" s="2">
        <f>'rockfish harvests'!O355</f>
        <v>2789.304423864347</v>
      </c>
      <c r="O356">
        <f>'rockfish harvests'!P355</f>
        <v>906766.02050430153</v>
      </c>
      <c r="P356" s="32">
        <v>0.14601389000000001</v>
      </c>
      <c r="Q356" s="32">
        <v>1.586648E-3</v>
      </c>
      <c r="T356" s="13">
        <f t="shared" si="419"/>
        <v>407.27718932264213</v>
      </c>
      <c r="U356" s="14">
        <f t="shared" si="337"/>
        <v>30238.053093318504</v>
      </c>
      <c r="V356">
        <f t="shared" si="343"/>
        <v>173.89092297563582</v>
      </c>
      <c r="W356" s="6">
        <f t="shared" si="344"/>
        <v>340.8262090322462</v>
      </c>
      <c r="Y356" s="13">
        <f t="shared" si="338"/>
        <v>1794.8620336986423</v>
      </c>
      <c r="Z356">
        <f t="shared" si="339"/>
        <v>205226.66906681051</v>
      </c>
      <c r="AA356">
        <f t="shared" si="345"/>
        <v>453.0195018614657</v>
      </c>
      <c r="AB356" s="6">
        <f t="shared" si="346"/>
        <v>887.9182236484728</v>
      </c>
      <c r="AC356" s="14">
        <f t="shared" si="394"/>
        <v>0.25239795224145223</v>
      </c>
    </row>
    <row r="357" spans="1:29" x14ac:dyDescent="0.25">
      <c r="A357" t="str">
        <f>'rockfish harvests'!A356</f>
        <v>SE</v>
      </c>
      <c r="B357">
        <f>'rockfish harvests'!B356</f>
        <v>2002</v>
      </c>
      <c r="C357" t="str">
        <f>'rockfish harvests'!C356</f>
        <v>SSEO</v>
      </c>
      <c r="D357">
        <f>'rockfish harvests'!D356</f>
        <v>7617</v>
      </c>
      <c r="E357">
        <v>4125</v>
      </c>
      <c r="F357" t="s">
        <v>159</v>
      </c>
      <c r="G357" s="32">
        <v>0.357901688</v>
      </c>
      <c r="H357" s="32">
        <v>1.1641748E-2</v>
      </c>
      <c r="I357" s="13">
        <f t="shared" si="418"/>
        <v>1476.3444629999999</v>
      </c>
      <c r="J357">
        <f t="shared" si="340"/>
        <v>198091.61831250001</v>
      </c>
      <c r="K357">
        <f t="shared" si="341"/>
        <v>445.0748457422639</v>
      </c>
      <c r="L357" s="6">
        <f t="shared" si="342"/>
        <v>872.34669765483727</v>
      </c>
      <c r="N357" s="2">
        <f>'rockfish harvests'!O356</f>
        <v>3691.1278312325794</v>
      </c>
      <c r="O357">
        <f>'rockfish harvests'!P356</f>
        <v>1587894.256982432</v>
      </c>
      <c r="P357" s="32">
        <v>0.14601389000000001</v>
      </c>
      <c r="Q357" s="32">
        <v>1.586648E-3</v>
      </c>
      <c r="T357" s="13">
        <f t="shared" si="419"/>
        <v>538.9559331255324</v>
      </c>
      <c r="U357" s="14">
        <f t="shared" ref="U357:U373" si="420">(N357^2)*Q357+(P357^2)*O357-(Q357*O357)</f>
        <v>52951.731497952096</v>
      </c>
      <c r="V357">
        <f t="shared" si="343"/>
        <v>230.11243229767507</v>
      </c>
      <c r="W357" s="6">
        <f t="shared" si="344"/>
        <v>451.02036730344315</v>
      </c>
      <c r="Y357" s="13">
        <f t="shared" si="338"/>
        <v>2015.3003961255322</v>
      </c>
      <c r="Z357">
        <f t="shared" si="339"/>
        <v>251043.34981045211</v>
      </c>
      <c r="AA357">
        <f t="shared" si="345"/>
        <v>501.0422634972544</v>
      </c>
      <c r="AB357" s="6">
        <f t="shared" si="346"/>
        <v>982.04283645461862</v>
      </c>
      <c r="AC357" s="14">
        <f t="shared" si="394"/>
        <v>0.2486191460392313</v>
      </c>
    </row>
    <row r="358" spans="1:29" x14ac:dyDescent="0.25">
      <c r="A358" t="str">
        <f>'rockfish harvests'!A357</f>
        <v>SE</v>
      </c>
      <c r="B358">
        <f>'rockfish harvests'!B357</f>
        <v>2003</v>
      </c>
      <c r="C358" t="str">
        <f>'rockfish harvests'!C357</f>
        <v>SSEO</v>
      </c>
      <c r="D358">
        <f>'rockfish harvests'!D357</f>
        <v>6896</v>
      </c>
      <c r="E358">
        <v>4090</v>
      </c>
      <c r="F358" t="s">
        <v>159</v>
      </c>
      <c r="G358" s="32">
        <v>0.357901688</v>
      </c>
      <c r="H358" s="32">
        <v>1.1641748E-2</v>
      </c>
      <c r="I358" s="13">
        <f t="shared" si="418"/>
        <v>1463.8179039199999</v>
      </c>
      <c r="J358">
        <f t="shared" si="340"/>
        <v>194744.3247188</v>
      </c>
      <c r="K358">
        <f t="shared" si="341"/>
        <v>441.29845311172346</v>
      </c>
      <c r="L358" s="6">
        <f t="shared" si="342"/>
        <v>864.94496809897794</v>
      </c>
      <c r="N358" s="2">
        <f>'rockfish harvests'!O357</f>
        <v>3341.7378921071122</v>
      </c>
      <c r="O358">
        <f>'rockfish harvests'!P357</f>
        <v>1301511.9872539048</v>
      </c>
      <c r="P358" s="32">
        <v>0.14601389000000001</v>
      </c>
      <c r="Q358" s="32">
        <v>1.586648E-3</v>
      </c>
      <c r="T358" s="13">
        <f t="shared" si="419"/>
        <v>487.9401489869598</v>
      </c>
      <c r="U358" s="14">
        <f t="shared" si="420"/>
        <v>43401.701963078085</v>
      </c>
      <c r="V358">
        <f t="shared" si="343"/>
        <v>208.33075136205429</v>
      </c>
      <c r="W358" s="6">
        <f t="shared" si="344"/>
        <v>408.32827266962641</v>
      </c>
      <c r="Y358" s="13">
        <f t="shared" si="338"/>
        <v>1951.7580529069596</v>
      </c>
      <c r="Z358">
        <f t="shared" si="339"/>
        <v>238146.02668187808</v>
      </c>
      <c r="AA358">
        <f t="shared" si="345"/>
        <v>488.00207651389974</v>
      </c>
      <c r="AB358" s="6">
        <f t="shared" si="346"/>
        <v>956.4840699672435</v>
      </c>
      <c r="AC358" s="14">
        <f t="shared" si="394"/>
        <v>0.25003205483746649</v>
      </c>
    </row>
    <row r="359" spans="1:29" x14ac:dyDescent="0.25">
      <c r="A359" t="str">
        <f>'rockfish harvests'!A358</f>
        <v>SE</v>
      </c>
      <c r="B359">
        <f>'rockfish harvests'!B358</f>
        <v>2004</v>
      </c>
      <c r="C359" t="str">
        <f>'rockfish harvests'!C358</f>
        <v>SSEO</v>
      </c>
      <c r="D359">
        <f>'rockfish harvests'!D358</f>
        <v>10061</v>
      </c>
      <c r="E359">
        <v>5918</v>
      </c>
      <c r="F359" t="s">
        <v>159</v>
      </c>
      <c r="G359" s="32">
        <v>0.357901688</v>
      </c>
      <c r="H359" s="32">
        <v>1.1641748E-2</v>
      </c>
      <c r="I359" s="13">
        <f t="shared" si="418"/>
        <v>2118.062189584</v>
      </c>
      <c r="J359">
        <f t="shared" si="340"/>
        <v>407725.72708155203</v>
      </c>
      <c r="K359">
        <f t="shared" si="341"/>
        <v>638.53404535823461</v>
      </c>
      <c r="L359" s="6">
        <f t="shared" si="342"/>
        <v>1251.5267289021399</v>
      </c>
      <c r="N359" s="2">
        <f>'rockfish harvests'!O358</f>
        <v>4875.4676526232088</v>
      </c>
      <c r="O359">
        <f>'rockfish harvests'!P358</f>
        <v>2770358.4485732173</v>
      </c>
      <c r="P359" s="32">
        <v>0.14601389000000001</v>
      </c>
      <c r="Q359" s="32">
        <v>1.586648E-3</v>
      </c>
      <c r="T359" s="13">
        <f t="shared" si="419"/>
        <v>711.88599752868345</v>
      </c>
      <c r="U359" s="14">
        <f t="shared" si="420"/>
        <v>92383.529996956931</v>
      </c>
      <c r="V359">
        <f t="shared" si="343"/>
        <v>303.94659069803191</v>
      </c>
      <c r="W359" s="6">
        <f t="shared" si="344"/>
        <v>595.73531776814252</v>
      </c>
      <c r="Y359" s="13">
        <f t="shared" si="338"/>
        <v>2829.9481871126836</v>
      </c>
      <c r="Z359">
        <f t="shared" si="339"/>
        <v>500109.25707850896</v>
      </c>
      <c r="AA359">
        <f t="shared" si="345"/>
        <v>707.18403338770941</v>
      </c>
      <c r="AB359" s="6">
        <f t="shared" si="346"/>
        <v>1386.0807054399104</v>
      </c>
      <c r="AC359" s="14">
        <f t="shared" si="394"/>
        <v>0.2498929261702241</v>
      </c>
    </row>
    <row r="360" spans="1:29" x14ac:dyDescent="0.25">
      <c r="A360" t="str">
        <f>'rockfish harvests'!A359</f>
        <v>SE</v>
      </c>
      <c r="B360">
        <f>'rockfish harvests'!B359</f>
        <v>2005</v>
      </c>
      <c r="C360" t="str">
        <f>'rockfish harvests'!C359</f>
        <v>SSEO</v>
      </c>
      <c r="D360">
        <f>'rockfish harvests'!D359</f>
        <v>12666</v>
      </c>
      <c r="E360">
        <v>7243</v>
      </c>
      <c r="F360" t="s">
        <v>159</v>
      </c>
      <c r="G360" s="32">
        <v>0.357901688</v>
      </c>
      <c r="H360" s="32">
        <v>1.1641748E-2</v>
      </c>
      <c r="I360" s="13">
        <f t="shared" si="418"/>
        <v>2592.281926184</v>
      </c>
      <c r="J360">
        <f t="shared" si="340"/>
        <v>610738.31227365206</v>
      </c>
      <c r="K360">
        <f t="shared" si="341"/>
        <v>781.49748065726487</v>
      </c>
      <c r="L360" s="6">
        <f t="shared" si="342"/>
        <v>1531.7350620882391</v>
      </c>
      <c r="N360" s="2">
        <f>'rockfish harvests'!O359</f>
        <v>6137.826586634088</v>
      </c>
      <c r="O360">
        <f>'rockfish harvests'!P359</f>
        <v>4390688.5733686173</v>
      </c>
      <c r="P360" s="32">
        <v>0.14601389000000001</v>
      </c>
      <c r="Q360" s="32">
        <v>1.586648E-3</v>
      </c>
      <c r="T360" s="13">
        <f t="shared" si="419"/>
        <v>896.20793605986523</v>
      </c>
      <c r="U360" s="14">
        <f t="shared" si="420"/>
        <v>146416.90490773882</v>
      </c>
      <c r="V360">
        <f t="shared" si="343"/>
        <v>382.64461959857584</v>
      </c>
      <c r="W360" s="6">
        <f t="shared" si="344"/>
        <v>749.98345441320862</v>
      </c>
      <c r="Y360" s="13">
        <f t="shared" ref="Y360:Y372" si="421">T360+I360</f>
        <v>3488.489862243865</v>
      </c>
      <c r="Z360">
        <f t="shared" ref="Z360:Z373" si="422">U360+J360</f>
        <v>757155.21718139085</v>
      </c>
      <c r="AA360">
        <f t="shared" si="345"/>
        <v>870.14666417874116</v>
      </c>
      <c r="AB360" s="6">
        <f t="shared" si="346"/>
        <v>1705.4874617903326</v>
      </c>
      <c r="AC360" s="14">
        <f t="shared" si="394"/>
        <v>0.24943362272494773</v>
      </c>
    </row>
    <row r="361" spans="1:29" x14ac:dyDescent="0.25">
      <c r="A361" t="str">
        <f>'rockfish harvests'!A360</f>
        <v>SE</v>
      </c>
      <c r="B361">
        <f>'rockfish harvests'!B360</f>
        <v>2006</v>
      </c>
      <c r="C361" t="str">
        <f>'rockfish harvests'!C360</f>
        <v>SSEO</v>
      </c>
      <c r="D361">
        <f>'rockfish harvests'!D360</f>
        <v>12007</v>
      </c>
      <c r="E361">
        <v>7233</v>
      </c>
      <c r="F361">
        <v>4257</v>
      </c>
      <c r="I361" s="13">
        <f>F361</f>
        <v>4257</v>
      </c>
      <c r="J361">
        <f t="shared" ref="J361:J373" si="423">(E361^2)*H361</f>
        <v>0</v>
      </c>
      <c r="K361">
        <f t="shared" ref="K361:K373" si="424">SQRT(J361)</f>
        <v>0</v>
      </c>
      <c r="L361" s="6">
        <f t="shared" ref="L361:L373" si="425">(1.96*K361)</f>
        <v>0</v>
      </c>
      <c r="N361" s="2">
        <f>'rockfish harvests'!O360</f>
        <v>5818.4812747288415</v>
      </c>
      <c r="O361">
        <f>'rockfish harvests'!P360</f>
        <v>3945687.5188521035</v>
      </c>
      <c r="P361">
        <f>IF([2]species_comp_Region1_forR!$D296&gt;49,[2]species_comp_Region1_forR!$J296,[2]species_comp_Region1_forR!$L296)</f>
        <v>0.20588235299999999</v>
      </c>
      <c r="Q361">
        <f>IF([2]species_comp_Region1_forR!$D296&gt;49,[2]species_comp_Region1_forR!$K296,[2]species_comp_Region1_forR!$M296)</f>
        <v>1.211073E-3</v>
      </c>
      <c r="T361" s="13">
        <f t="shared" si="419"/>
        <v>1197.9226157276132</v>
      </c>
      <c r="U361" s="14">
        <f t="shared" si="420"/>
        <v>203470.02741752932</v>
      </c>
      <c r="V361">
        <f t="shared" ref="V361:V373" si="426">SQRT(U361)</f>
        <v>451.07652057885844</v>
      </c>
      <c r="W361" s="6">
        <f t="shared" ref="W361:W373" si="427">(1.96*V361)</f>
        <v>884.10998033456247</v>
      </c>
      <c r="Y361" s="13">
        <f t="shared" si="421"/>
        <v>5454.9226157276134</v>
      </c>
      <c r="Z361">
        <f t="shared" si="422"/>
        <v>203470.02741752932</v>
      </c>
      <c r="AA361">
        <f t="shared" ref="AA361:AA373" si="428">SQRT(Z361)</f>
        <v>451.07652057885844</v>
      </c>
      <c r="AB361" s="6">
        <f t="shared" ref="AB361:AB373" si="429">(1.96*AA361)</f>
        <v>884.10998033456247</v>
      </c>
      <c r="AC361" s="14">
        <f t="shared" si="394"/>
        <v>8.2691644291766161E-2</v>
      </c>
    </row>
    <row r="362" spans="1:29" x14ac:dyDescent="0.25">
      <c r="A362" t="str">
        <f>'rockfish harvests'!A361</f>
        <v>SE</v>
      </c>
      <c r="B362">
        <f>'rockfish harvests'!B361</f>
        <v>2007</v>
      </c>
      <c r="C362" t="str">
        <f>'rockfish harvests'!C361</f>
        <v>SSEO</v>
      </c>
      <c r="D362">
        <f>'rockfish harvests'!D361</f>
        <v>12018</v>
      </c>
      <c r="E362">
        <v>6094</v>
      </c>
      <c r="F362">
        <v>3554</v>
      </c>
      <c r="I362" s="13">
        <f t="shared" ref="I362:I372" si="430">F362</f>
        <v>3554</v>
      </c>
      <c r="J362">
        <f t="shared" si="423"/>
        <v>0</v>
      </c>
      <c r="K362">
        <f t="shared" si="424"/>
        <v>0</v>
      </c>
      <c r="L362" s="6">
        <f t="shared" si="425"/>
        <v>0</v>
      </c>
      <c r="N362" s="2">
        <f>'rockfish harvests'!O361</f>
        <v>5823.8117731066231</v>
      </c>
      <c r="O362">
        <f>'rockfish harvests'!P361</f>
        <v>3952920.3736786586</v>
      </c>
      <c r="P362">
        <f>IF([2]species_comp_Region1_forR!$D297&gt;49,[2]species_comp_Region1_forR!$J297,[2]species_comp_Region1_forR!$L297)</f>
        <v>0.15094339600000001</v>
      </c>
      <c r="Q362">
        <f>IF([2]species_comp_Region1_forR!$D297&gt;49,[2]species_comp_Region1_forR!$K297,[2]species_comp_Region1_forR!$M297)</f>
        <v>3.4637699999999998E-4</v>
      </c>
      <c r="T362" s="13">
        <f t="shared" si="419"/>
        <v>879.06592669749523</v>
      </c>
      <c r="U362" s="14">
        <f t="shared" si="420"/>
        <v>100441.77031365418</v>
      </c>
      <c r="V362">
        <f t="shared" si="426"/>
        <v>316.92549647141703</v>
      </c>
      <c r="W362" s="6">
        <f t="shared" si="427"/>
        <v>621.17397308397733</v>
      </c>
      <c r="Y362" s="13">
        <f t="shared" si="421"/>
        <v>4433.0659266974953</v>
      </c>
      <c r="Z362">
        <f t="shared" si="422"/>
        <v>100441.77031365418</v>
      </c>
      <c r="AA362">
        <f t="shared" si="428"/>
        <v>316.92549647141703</v>
      </c>
      <c r="AB362" s="6">
        <f t="shared" si="429"/>
        <v>621.17397308397733</v>
      </c>
      <c r="AC362" s="14">
        <f t="shared" si="394"/>
        <v>7.1491266250469976E-2</v>
      </c>
    </row>
    <row r="363" spans="1:29" x14ac:dyDescent="0.25">
      <c r="A363" t="str">
        <f>'rockfish harvests'!A362</f>
        <v>SE</v>
      </c>
      <c r="B363">
        <f>'rockfish harvests'!B362</f>
        <v>2008</v>
      </c>
      <c r="C363" t="str">
        <f>'rockfish harvests'!C362</f>
        <v>SSEO</v>
      </c>
      <c r="D363">
        <f>'rockfish harvests'!D362</f>
        <v>17754</v>
      </c>
      <c r="E363">
        <v>6953</v>
      </c>
      <c r="F363">
        <v>3418</v>
      </c>
      <c r="I363" s="13">
        <f t="shared" si="430"/>
        <v>3418</v>
      </c>
      <c r="J363">
        <f t="shared" si="423"/>
        <v>0</v>
      </c>
      <c r="K363">
        <f t="shared" si="424"/>
        <v>0</v>
      </c>
      <c r="L363" s="6">
        <f t="shared" si="425"/>
        <v>0</v>
      </c>
      <c r="N363" s="2">
        <f>'rockfish harvests'!O362</f>
        <v>8603.4243817386414</v>
      </c>
      <c r="O363">
        <f>'rockfish harvests'!P362</f>
        <v>8626727.8588684946</v>
      </c>
      <c r="P363">
        <f>IF([2]species_comp_Region1_forR!$D298&gt;49,[2]species_comp_Region1_forR!$J298,[2]species_comp_Region1_forR!$L298)</f>
        <v>0.12593984999999999</v>
      </c>
      <c r="Q363">
        <f>IF([2]species_comp_Region1_forR!$D298&gt;49,[2]species_comp_Region1_forR!$K298,[2]species_comp_Region1_forR!$M298)</f>
        <v>2.0730499999999999E-4</v>
      </c>
      <c r="T363" s="13">
        <f t="shared" si="419"/>
        <v>1083.5139761225071</v>
      </c>
      <c r="U363" s="14">
        <f t="shared" si="420"/>
        <v>150383.32702875804</v>
      </c>
      <c r="V363">
        <f t="shared" si="426"/>
        <v>387.79289192655148</v>
      </c>
      <c r="W363" s="6">
        <f t="shared" si="427"/>
        <v>760.0740681760409</v>
      </c>
      <c r="Y363" s="13">
        <f t="shared" si="421"/>
        <v>4501.5139761225073</v>
      </c>
      <c r="Z363">
        <f t="shared" si="422"/>
        <v>150383.32702875804</v>
      </c>
      <c r="AA363">
        <f t="shared" si="428"/>
        <v>387.79289192655148</v>
      </c>
      <c r="AB363" s="6">
        <f t="shared" si="429"/>
        <v>760.0740681760409</v>
      </c>
      <c r="AC363" s="14">
        <f t="shared" si="394"/>
        <v>8.6147214911145673E-2</v>
      </c>
    </row>
    <row r="364" spans="1:29" x14ac:dyDescent="0.25">
      <c r="A364" t="str">
        <f>'rockfish harvests'!A363</f>
        <v>SE</v>
      </c>
      <c r="B364">
        <f>'rockfish harvests'!B363</f>
        <v>2009</v>
      </c>
      <c r="C364" t="str">
        <f>'rockfish harvests'!C363</f>
        <v>SSEO</v>
      </c>
      <c r="D364">
        <f>'rockfish harvests'!D363</f>
        <v>9645</v>
      </c>
      <c r="E364">
        <v>3692</v>
      </c>
      <c r="F364">
        <v>1788</v>
      </c>
      <c r="I364" s="13">
        <f t="shared" si="430"/>
        <v>1788</v>
      </c>
      <c r="J364">
        <f t="shared" si="423"/>
        <v>0</v>
      </c>
      <c r="K364">
        <f t="shared" si="424"/>
        <v>0</v>
      </c>
      <c r="L364" s="6">
        <f t="shared" si="425"/>
        <v>0</v>
      </c>
      <c r="N364" s="2">
        <f>'rockfish harvests'!O363</f>
        <v>4673.8778957907616</v>
      </c>
      <c r="O364">
        <f>'rockfish harvests'!P363</f>
        <v>2545998.4255660125</v>
      </c>
      <c r="P364">
        <f>IF([2]species_comp_Region1_forR!$D299&gt;49,[2]species_comp_Region1_forR!$J299,[2]species_comp_Region1_forR!$L299)</f>
        <v>0.120795107</v>
      </c>
      <c r="Q364">
        <f>IF([2]species_comp_Region1_forR!$D299&gt;49,[2]species_comp_Region1_forR!$K299,[2]species_comp_Region1_forR!$M299)</f>
        <v>1.6264E-4</v>
      </c>
      <c r="T364" s="13">
        <f t="shared" si="419"/>
        <v>564.58158052697991</v>
      </c>
      <c r="U364" s="14">
        <f t="shared" si="420"/>
        <v>40288.64028175448</v>
      </c>
      <c r="V364">
        <f t="shared" si="426"/>
        <v>200.7203036111556</v>
      </c>
      <c r="W364" s="6">
        <f t="shared" si="427"/>
        <v>393.41179507786495</v>
      </c>
      <c r="Y364" s="13">
        <f t="shared" si="421"/>
        <v>2352.5815805269799</v>
      </c>
      <c r="Z364">
        <f t="shared" si="422"/>
        <v>40288.64028175448</v>
      </c>
      <c r="AA364">
        <f t="shared" si="428"/>
        <v>200.7203036111556</v>
      </c>
      <c r="AB364" s="6">
        <f t="shared" si="429"/>
        <v>393.41179507786495</v>
      </c>
      <c r="AC364" s="14">
        <f t="shared" si="394"/>
        <v>8.5319168216132224E-2</v>
      </c>
    </row>
    <row r="365" spans="1:29" x14ac:dyDescent="0.25">
      <c r="A365" t="str">
        <f>'rockfish harvests'!A364</f>
        <v>SE</v>
      </c>
      <c r="B365">
        <f>'rockfish harvests'!B364</f>
        <v>2010</v>
      </c>
      <c r="C365" t="str">
        <f>'rockfish harvests'!C364</f>
        <v>SSEO</v>
      </c>
      <c r="D365">
        <f>'rockfish harvests'!D364</f>
        <v>12415</v>
      </c>
      <c r="E365">
        <v>4993</v>
      </c>
      <c r="F365">
        <v>2393</v>
      </c>
      <c r="I365" s="13">
        <f t="shared" si="430"/>
        <v>2393</v>
      </c>
      <c r="J365">
        <f t="shared" si="423"/>
        <v>0</v>
      </c>
      <c r="K365">
        <f t="shared" si="424"/>
        <v>0</v>
      </c>
      <c r="L365" s="6">
        <f t="shared" si="425"/>
        <v>0</v>
      </c>
      <c r="N365" s="2">
        <f>'rockfish harvests'!O364</f>
        <v>6016.1943054683579</v>
      </c>
      <c r="O365">
        <f>'rockfish harvests'!P364</f>
        <v>4218393.7471152442</v>
      </c>
      <c r="P365">
        <f>IF([2]species_comp_Region1_forR!$D300&gt;49,[2]species_comp_Region1_forR!$J300,[2]species_comp_Region1_forR!$L300)</f>
        <v>0.185185185</v>
      </c>
      <c r="Q365">
        <f>IF([2]species_comp_Region1_forR!$D300&gt;49,[2]species_comp_Region1_forR!$K300,[2]species_comp_Region1_forR!$M300)</f>
        <v>1.9295599999999999E-4</v>
      </c>
      <c r="T365" s="13">
        <f t="shared" si="419"/>
        <v>1114.1100554541044</v>
      </c>
      <c r="U365" s="14">
        <f t="shared" si="420"/>
        <v>150833.7081402617</v>
      </c>
      <c r="V365">
        <f t="shared" si="426"/>
        <v>388.37315579254664</v>
      </c>
      <c r="W365" s="6">
        <f t="shared" si="427"/>
        <v>761.21138535339139</v>
      </c>
      <c r="Y365" s="13">
        <f t="shared" si="421"/>
        <v>3507.1100554541044</v>
      </c>
      <c r="Z365">
        <f t="shared" si="422"/>
        <v>150833.7081402617</v>
      </c>
      <c r="AA365">
        <f t="shared" si="428"/>
        <v>388.37315579254664</v>
      </c>
      <c r="AB365" s="6">
        <f t="shared" si="429"/>
        <v>761.21138535339139</v>
      </c>
      <c r="AC365" s="14">
        <f t="shared" si="394"/>
        <v>0.11073879908289894</v>
      </c>
    </row>
    <row r="366" spans="1:29" x14ac:dyDescent="0.25">
      <c r="A366" t="str">
        <f>'rockfish harvests'!A365</f>
        <v>SE</v>
      </c>
      <c r="B366">
        <f>'rockfish harvests'!B365</f>
        <v>2011</v>
      </c>
      <c r="C366" t="str">
        <f>'rockfish harvests'!C365</f>
        <v>SSEO</v>
      </c>
      <c r="D366">
        <f>'rockfish harvests'!D365</f>
        <v>11926</v>
      </c>
      <c r="E366">
        <v>3783</v>
      </c>
      <c r="F366">
        <v>1424</v>
      </c>
      <c r="I366" s="13">
        <f t="shared" si="430"/>
        <v>1424</v>
      </c>
      <c r="J366">
        <f t="shared" si="423"/>
        <v>0</v>
      </c>
      <c r="K366">
        <f t="shared" si="424"/>
        <v>0</v>
      </c>
      <c r="L366" s="6">
        <f t="shared" si="425"/>
        <v>0</v>
      </c>
      <c r="N366" s="2">
        <f>'rockfish harvests'!O365</f>
        <v>5499.8326454033777</v>
      </c>
      <c r="O366">
        <f>'rockfish harvests'!P365</f>
        <v>3434887.6393615259</v>
      </c>
      <c r="P366">
        <f>IF([2]species_comp_Region1_forR!$D301&gt;49,[2]species_comp_Region1_forR!$J301,[2]species_comp_Region1_forR!$L301)</f>
        <v>0.121330724</v>
      </c>
      <c r="Q366">
        <f>IF([2]species_comp_Region1_forR!$D301&gt;49,[2]species_comp_Region1_forR!$K301,[2]species_comp_Region1_forR!$M301)</f>
        <v>2.0903800000000001E-4</v>
      </c>
      <c r="T366" s="13">
        <f t="shared" si="419"/>
        <v>667.29867674562706</v>
      </c>
      <c r="U366" s="14">
        <f t="shared" si="420"/>
        <v>56170.470222282085</v>
      </c>
      <c r="V366">
        <f t="shared" si="426"/>
        <v>237.00310171447563</v>
      </c>
      <c r="W366" s="6">
        <f t="shared" si="427"/>
        <v>464.52607936037225</v>
      </c>
      <c r="Y366" s="13">
        <f t="shared" si="421"/>
        <v>2091.2986767456268</v>
      </c>
      <c r="Z366">
        <f t="shared" si="422"/>
        <v>56170.470222282085</v>
      </c>
      <c r="AA366">
        <f t="shared" si="428"/>
        <v>237.00310171447563</v>
      </c>
      <c r="AB366" s="6">
        <f t="shared" si="429"/>
        <v>464.52607936037225</v>
      </c>
      <c r="AC366" s="14">
        <f t="shared" si="394"/>
        <v>0.11332819379166245</v>
      </c>
    </row>
    <row r="367" spans="1:29" x14ac:dyDescent="0.25">
      <c r="A367" t="str">
        <f>'rockfish harvests'!A366</f>
        <v>SE</v>
      </c>
      <c r="B367">
        <f>'rockfish harvests'!B366</f>
        <v>2012</v>
      </c>
      <c r="C367" t="str">
        <f>'rockfish harvests'!C366</f>
        <v>SSEO</v>
      </c>
      <c r="D367">
        <f>'rockfish harvests'!D366</f>
        <v>14290</v>
      </c>
      <c r="E367">
        <v>4684</v>
      </c>
      <c r="F367">
        <v>1749</v>
      </c>
      <c r="I367" s="13">
        <f t="shared" si="430"/>
        <v>1749</v>
      </c>
      <c r="J367">
        <f t="shared" si="423"/>
        <v>0</v>
      </c>
      <c r="K367">
        <f t="shared" si="424"/>
        <v>0</v>
      </c>
      <c r="L367" s="6">
        <f t="shared" si="425"/>
        <v>0</v>
      </c>
      <c r="N367" s="2">
        <f>'rockfish harvests'!O366</f>
        <v>7211.4840486137473</v>
      </c>
      <c r="O367">
        <f>'rockfish harvests'!P366</f>
        <v>3512142.9566568048</v>
      </c>
      <c r="P367">
        <f>IF([2]species_comp_Region1_forR!$D302&gt;49,[2]species_comp_Region1_forR!$J302,[2]species_comp_Region1_forR!$L302)</f>
        <v>0.13888888899999999</v>
      </c>
      <c r="Q367">
        <f>IF([2]species_comp_Region1_forR!$D302&gt;49,[2]species_comp_Region1_forR!$K302,[2]species_comp_Region1_forR!$M302)</f>
        <v>1.9574300000000001E-4</v>
      </c>
      <c r="T367" s="13">
        <f t="shared" si="419"/>
        <v>1001.5950075531853</v>
      </c>
      <c r="U367" s="14">
        <f t="shared" si="420"/>
        <v>77241.906955327577</v>
      </c>
      <c r="V367">
        <f t="shared" si="426"/>
        <v>277.92428277379361</v>
      </c>
      <c r="W367" s="6">
        <f t="shared" si="427"/>
        <v>544.73159423663549</v>
      </c>
      <c r="Y367" s="13">
        <f t="shared" si="421"/>
        <v>2750.5950075531855</v>
      </c>
      <c r="Z367">
        <f t="shared" si="422"/>
        <v>77241.906955327577</v>
      </c>
      <c r="AA367">
        <f t="shared" si="428"/>
        <v>277.92428277379361</v>
      </c>
      <c r="AB367" s="6">
        <f t="shared" si="429"/>
        <v>544.73159423663549</v>
      </c>
      <c r="AC367" s="14">
        <f t="shared" si="394"/>
        <v>0.10104151356728573</v>
      </c>
    </row>
    <row r="368" spans="1:29" x14ac:dyDescent="0.25">
      <c r="A368" t="str">
        <f>'rockfish harvests'!A367</f>
        <v>SE</v>
      </c>
      <c r="B368">
        <f>'rockfish harvests'!B367</f>
        <v>2013</v>
      </c>
      <c r="C368" t="str">
        <f>'rockfish harvests'!C367</f>
        <v>SSEO</v>
      </c>
      <c r="D368">
        <f>'rockfish harvests'!D367</f>
        <v>15619</v>
      </c>
      <c r="E368">
        <v>4475</v>
      </c>
      <c r="F368">
        <v>1811</v>
      </c>
      <c r="I368" s="13">
        <f t="shared" si="430"/>
        <v>1811</v>
      </c>
      <c r="J368">
        <f t="shared" si="423"/>
        <v>0</v>
      </c>
      <c r="K368">
        <f t="shared" si="424"/>
        <v>0</v>
      </c>
      <c r="L368" s="6">
        <f t="shared" si="425"/>
        <v>0</v>
      </c>
      <c r="N368" s="2">
        <f>'rockfish harvests'!O367</f>
        <v>7064.6801916454569</v>
      </c>
      <c r="O368">
        <f>'rockfish harvests'!P367</f>
        <v>3429125.8906986257</v>
      </c>
      <c r="P368">
        <f>IF([2]species_comp_Region1_forR!$D303&gt;49,[2]species_comp_Region1_forR!$J303,[2]species_comp_Region1_forR!$L303)</f>
        <v>0.149473684</v>
      </c>
      <c r="Q368">
        <f>IF([2]species_comp_Region1_forR!$D303&gt;49,[2]species_comp_Region1_forR!$K303,[2]species_comp_Region1_forR!$M303)</f>
        <v>2.6820899999999999E-4</v>
      </c>
      <c r="T368" s="13">
        <f t="shared" si="419"/>
        <v>1055.9837745270725</v>
      </c>
      <c r="U368" s="14">
        <f t="shared" si="420"/>
        <v>89081.3512580815</v>
      </c>
      <c r="V368">
        <f t="shared" si="426"/>
        <v>298.46499167922775</v>
      </c>
      <c r="W368" s="6">
        <f t="shared" si="427"/>
        <v>584.99138369128639</v>
      </c>
      <c r="Y368" s="13">
        <f t="shared" si="421"/>
        <v>2866.9837745270725</v>
      </c>
      <c r="Z368">
        <f t="shared" si="422"/>
        <v>89081.3512580815</v>
      </c>
      <c r="AA368">
        <f t="shared" si="428"/>
        <v>298.46499167922775</v>
      </c>
      <c r="AB368" s="6">
        <f t="shared" si="429"/>
        <v>584.99138369128639</v>
      </c>
      <c r="AC368" s="14">
        <f t="shared" si="394"/>
        <v>0.10410417886946761</v>
      </c>
    </row>
    <row r="369" spans="1:29" x14ac:dyDescent="0.25">
      <c r="A369" t="str">
        <f>'rockfish harvests'!A368</f>
        <v>SE</v>
      </c>
      <c r="B369">
        <f>'rockfish harvests'!B368</f>
        <v>2014</v>
      </c>
      <c r="C369" t="str">
        <f>'rockfish harvests'!C368</f>
        <v>SSEO</v>
      </c>
      <c r="D369">
        <f>'rockfish harvests'!D368</f>
        <v>18453</v>
      </c>
      <c r="E369">
        <v>5130</v>
      </c>
      <c r="F369">
        <v>1522</v>
      </c>
      <c r="I369" s="13">
        <f t="shared" si="430"/>
        <v>1522</v>
      </c>
      <c r="J369">
        <f t="shared" si="423"/>
        <v>0</v>
      </c>
      <c r="K369">
        <f t="shared" si="424"/>
        <v>0</v>
      </c>
      <c r="L369" s="6">
        <f t="shared" si="425"/>
        <v>0</v>
      </c>
      <c r="N369" s="2">
        <f>'rockfish harvests'!O368</f>
        <v>5969.0572591587515</v>
      </c>
      <c r="O369">
        <f>'rockfish harvests'!P368</f>
        <v>5648205.4842977012</v>
      </c>
      <c r="P369">
        <f>IF([2]species_comp_Region1_forR!$D304&gt;49,[2]species_comp_Region1_forR!$J304,[2]species_comp_Region1_forR!$L304)</f>
        <v>0.105177994</v>
      </c>
      <c r="Q369">
        <f>IF([2]species_comp_Region1_forR!$D304&gt;49,[2]species_comp_Region1_forR!$K304,[2]species_comp_Region1_forR!$M304)</f>
        <v>1.5253700000000001E-4</v>
      </c>
      <c r="T369" s="13">
        <f t="shared" si="419"/>
        <v>627.81346858945562</v>
      </c>
      <c r="U369" s="14">
        <f t="shared" si="420"/>
        <v>67056.045987090169</v>
      </c>
      <c r="V369">
        <f t="shared" si="426"/>
        <v>258.95182174893108</v>
      </c>
      <c r="W369" s="6">
        <f t="shared" si="427"/>
        <v>507.54557062790491</v>
      </c>
      <c r="Y369" s="13">
        <f t="shared" si="421"/>
        <v>2149.8134685894556</v>
      </c>
      <c r="Z369">
        <f t="shared" si="422"/>
        <v>67056.045987090169</v>
      </c>
      <c r="AA369">
        <f t="shared" si="428"/>
        <v>258.95182174893108</v>
      </c>
      <c r="AB369" s="6">
        <f t="shared" si="429"/>
        <v>507.54557062790491</v>
      </c>
      <c r="AC369" s="14">
        <f t="shared" si="394"/>
        <v>0.12045315816112902</v>
      </c>
    </row>
    <row r="370" spans="1:29" x14ac:dyDescent="0.25">
      <c r="A370" t="str">
        <f>'rockfish harvests'!A369</f>
        <v>SE</v>
      </c>
      <c r="B370">
        <f>'rockfish harvests'!B369</f>
        <v>2015</v>
      </c>
      <c r="C370" t="str">
        <f>'rockfish harvests'!C369</f>
        <v>SSEO</v>
      </c>
      <c r="D370">
        <f>'rockfish harvests'!D369</f>
        <v>17669</v>
      </c>
      <c r="E370">
        <v>4920</v>
      </c>
      <c r="F370">
        <v>1419</v>
      </c>
      <c r="I370" s="13">
        <f t="shared" si="430"/>
        <v>1419</v>
      </c>
      <c r="J370">
        <f t="shared" si="423"/>
        <v>0</v>
      </c>
      <c r="K370">
        <f t="shared" si="424"/>
        <v>0</v>
      </c>
      <c r="L370" s="6">
        <f t="shared" si="425"/>
        <v>0</v>
      </c>
      <c r="N370" s="2">
        <f>'rockfish harvests'!O369</f>
        <v>15546.524335519505</v>
      </c>
      <c r="O370">
        <f>'rockfish harvests'!P369</f>
        <v>23591989.047447968</v>
      </c>
      <c r="P370">
        <f>IF([2]species_comp_Region1_forR!$D305&gt;49,[2]species_comp_Region1_forR!$J305,[2]species_comp_Region1_forR!$L305)</f>
        <v>9.2647059000000004E-2</v>
      </c>
      <c r="Q370">
        <f>IF([2]species_comp_Region1_forR!$D305&gt;49,[2]species_comp_Region1_forR!$K305,[2]species_comp_Region1_forR!$M305)</f>
        <v>1.23805E-4</v>
      </c>
      <c r="T370" s="13">
        <f t="shared" si="419"/>
        <v>1440.3397573578115</v>
      </c>
      <c r="U370" s="14">
        <f t="shared" si="420"/>
        <v>229503.47947427252</v>
      </c>
      <c r="V370">
        <f t="shared" si="426"/>
        <v>479.06521421855763</v>
      </c>
      <c r="W370" s="6">
        <f t="shared" si="427"/>
        <v>938.96781986837289</v>
      </c>
      <c r="Y370" s="13">
        <f t="shared" si="421"/>
        <v>2859.3397573578113</v>
      </c>
      <c r="Z370">
        <f t="shared" si="422"/>
        <v>229503.47947427252</v>
      </c>
      <c r="AA370">
        <f t="shared" si="428"/>
        <v>479.06521421855763</v>
      </c>
      <c r="AB370" s="6">
        <f t="shared" si="429"/>
        <v>938.96781986837289</v>
      </c>
      <c r="AC370" s="14">
        <f t="shared" si="394"/>
        <v>0.16754399787076737</v>
      </c>
    </row>
    <row r="371" spans="1:29" x14ac:dyDescent="0.25">
      <c r="A371" t="str">
        <f>'rockfish harvests'!A370</f>
        <v>SE</v>
      </c>
      <c r="B371">
        <f>'rockfish harvests'!B370</f>
        <v>2016</v>
      </c>
      <c r="C371" t="str">
        <f>'rockfish harvests'!C370</f>
        <v>SSEO</v>
      </c>
      <c r="D371">
        <f>'rockfish harvests'!D370</f>
        <v>17707</v>
      </c>
      <c r="E371">
        <v>4149</v>
      </c>
      <c r="F371">
        <v>1399</v>
      </c>
      <c r="I371" s="13">
        <f t="shared" si="430"/>
        <v>1399</v>
      </c>
      <c r="J371">
        <f t="shared" si="423"/>
        <v>0</v>
      </c>
      <c r="K371">
        <f t="shared" si="424"/>
        <v>0</v>
      </c>
      <c r="L371" s="6">
        <f t="shared" si="425"/>
        <v>0</v>
      </c>
      <c r="N371" s="2">
        <f>'rockfish harvests'!O370</f>
        <v>9530.7617028217246</v>
      </c>
      <c r="O371">
        <f>'rockfish harvests'!P370</f>
        <v>11849070.145310419</v>
      </c>
      <c r="P371">
        <f>IF([2]species_comp_Region1_forR!$D306&gt;49,[2]species_comp_Region1_forR!$J306,[2]species_comp_Region1_forR!$L306)</f>
        <v>0.16850828700000001</v>
      </c>
      <c r="Q371">
        <f>IF([2]species_comp_Region1_forR!$D306&gt;49,[2]species_comp_Region1_forR!$K306,[2]species_comp_Region1_forR!$M306)</f>
        <v>3.8812500000000002E-4</v>
      </c>
      <c r="T371" s="13">
        <f t="shared" si="419"/>
        <v>1606.0123283476919</v>
      </c>
      <c r="U371" s="14">
        <f t="shared" si="420"/>
        <v>367111.43027818284</v>
      </c>
      <c r="V371">
        <f t="shared" si="426"/>
        <v>605.89721098399423</v>
      </c>
      <c r="W371" s="6">
        <f t="shared" si="427"/>
        <v>1187.5585335286287</v>
      </c>
      <c r="Y371" s="13">
        <f t="shared" si="421"/>
        <v>3005.0123283476919</v>
      </c>
      <c r="Z371">
        <f t="shared" si="422"/>
        <v>367111.43027818284</v>
      </c>
      <c r="AA371">
        <f t="shared" si="428"/>
        <v>605.89721098399423</v>
      </c>
      <c r="AB371" s="6">
        <f t="shared" si="429"/>
        <v>1187.5585335286287</v>
      </c>
      <c r="AC371" s="14">
        <f t="shared" si="394"/>
        <v>0.20162886031058222</v>
      </c>
    </row>
    <row r="372" spans="1:29" x14ac:dyDescent="0.25">
      <c r="A372" t="str">
        <f>'rockfish harvests'!A371</f>
        <v>SE</v>
      </c>
      <c r="B372">
        <f>'rockfish harvests'!B371</f>
        <v>2017</v>
      </c>
      <c r="C372" t="str">
        <f>'rockfish harvests'!C371</f>
        <v>SSEO</v>
      </c>
      <c r="D372">
        <f>'rockfish harvests'!D371</f>
        <v>20760</v>
      </c>
      <c r="E372">
        <v>4370</v>
      </c>
      <c r="F372">
        <v>1924</v>
      </c>
      <c r="I372" s="13">
        <f t="shared" si="430"/>
        <v>1924</v>
      </c>
      <c r="J372">
        <f t="shared" si="423"/>
        <v>0</v>
      </c>
      <c r="K372">
        <f t="shared" si="424"/>
        <v>0</v>
      </c>
      <c r="L372" s="6">
        <f t="shared" si="425"/>
        <v>0</v>
      </c>
      <c r="N372" s="2">
        <f>'rockfish harvests'!O371</f>
        <v>7420.2213327054378</v>
      </c>
      <c r="O372">
        <f>'rockfish harvests'!P371</f>
        <v>9465736.8938175309</v>
      </c>
      <c r="P372">
        <f>IF([2]species_comp_Region1_forR!$D307&gt;49,[2]species_comp_Region1_forR!$J307,[2]species_comp_Region1_forR!$L307)</f>
        <v>0.10270270300000001</v>
      </c>
      <c r="Q372">
        <f>IF([2]species_comp_Region1_forR!$D307&gt;49,[2]species_comp_Region1_forR!$K307,[2]species_comp_Region1_forR!$M307)</f>
        <v>2.4974200000000001E-4</v>
      </c>
      <c r="T372" s="13">
        <f t="shared" si="419"/>
        <v>762.07678772711085</v>
      </c>
      <c r="U372" s="14">
        <f t="shared" si="420"/>
        <v>111229.85118771985</v>
      </c>
      <c r="V372">
        <f t="shared" si="426"/>
        <v>333.51139588883592</v>
      </c>
      <c r="W372" s="6">
        <f t="shared" si="427"/>
        <v>653.68233594211836</v>
      </c>
      <c r="Y372" s="13">
        <f t="shared" si="421"/>
        <v>2686.076787727111</v>
      </c>
      <c r="Z372">
        <f t="shared" si="422"/>
        <v>111229.85118771985</v>
      </c>
      <c r="AA372">
        <f t="shared" si="428"/>
        <v>333.51139588883592</v>
      </c>
      <c r="AB372" s="6">
        <f t="shared" si="429"/>
        <v>653.68233594211836</v>
      </c>
      <c r="AC372" s="14">
        <f t="shared" si="394"/>
        <v>0.1241630162669492</v>
      </c>
    </row>
    <row r="373" spans="1:29" x14ac:dyDescent="0.25">
      <c r="A373" t="str">
        <f>'rockfish harvests'!A372</f>
        <v>SE</v>
      </c>
      <c r="B373">
        <f>'rockfish harvests'!B372</f>
        <v>2018</v>
      </c>
      <c r="C373" t="str">
        <f>'rockfish harvests'!C372</f>
        <v>SSEO</v>
      </c>
      <c r="D373">
        <f>'rockfish harvests'!D372</f>
        <v>26949</v>
      </c>
      <c r="E373">
        <v>4535</v>
      </c>
      <c r="F373">
        <v>1795</v>
      </c>
      <c r="I373" s="13">
        <f>F373</f>
        <v>1795</v>
      </c>
      <c r="J373">
        <f t="shared" si="423"/>
        <v>0</v>
      </c>
      <c r="K373">
        <f t="shared" si="424"/>
        <v>0</v>
      </c>
      <c r="L373" s="6">
        <f t="shared" si="425"/>
        <v>0</v>
      </c>
      <c r="N373" s="2">
        <f>'rockfish harvests'!O372</f>
        <v>12867.635899450121</v>
      </c>
      <c r="O373">
        <f>'rockfish harvests'!P372</f>
        <v>12734528.822682161</v>
      </c>
      <c r="P373">
        <f>IF([2]species_comp_Region1_forR!$D308&gt;49,[2]species_comp_Region1_forR!$J308,[2]species_comp_Region1_forR!$L308)</f>
        <v>0.150706436</v>
      </c>
      <c r="Q373">
        <f>IF([2]species_comp_Region1_forR!$D308&gt;49,[2]species_comp_Region1_forR!$K308,[2]species_comp_Region1_forR!$M308)</f>
        <v>2.0124800000000001E-4</v>
      </c>
      <c r="T373" s="13">
        <f>N373*P373</f>
        <v>1939.235546151782</v>
      </c>
      <c r="U373" s="14">
        <f t="shared" si="420"/>
        <v>319991.14376777533</v>
      </c>
      <c r="V373">
        <f t="shared" si="426"/>
        <v>565.67759701774946</v>
      </c>
      <c r="W373" s="6">
        <f t="shared" si="427"/>
        <v>1108.728090154789</v>
      </c>
      <c r="Y373" s="13">
        <f>T373+I373</f>
        <v>3734.2355461517818</v>
      </c>
      <c r="Z373">
        <f t="shared" si="422"/>
        <v>319991.14376777533</v>
      </c>
      <c r="AA373">
        <f t="shared" si="428"/>
        <v>565.67759701774946</v>
      </c>
      <c r="AB373" s="6">
        <f t="shared" si="429"/>
        <v>1108.728090154789</v>
      </c>
      <c r="AC373" s="14">
        <f t="shared" si="394"/>
        <v>0.15148417662102051</v>
      </c>
    </row>
    <row r="374" spans="1:29" x14ac:dyDescent="0.25">
      <c r="A374" t="str">
        <f>'rockfish harvests'!A373</f>
        <v>SE</v>
      </c>
      <c r="B374">
        <f>'rockfish harvests'!B373</f>
        <v>2019</v>
      </c>
      <c r="C374" t="str">
        <f>'rockfish harvests'!C373</f>
        <v>SSEO</v>
      </c>
      <c r="D374">
        <f>'rockfish harvests'!D373</f>
        <v>22912</v>
      </c>
      <c r="E374">
        <v>3570</v>
      </c>
      <c r="F374">
        <v>1727</v>
      </c>
      <c r="I374" s="13">
        <f>F374</f>
        <v>1727</v>
      </c>
      <c r="J374">
        <f>(E374^2)*H374</f>
        <v>0</v>
      </c>
      <c r="K374">
        <f>SQRT(J374)</f>
        <v>0</v>
      </c>
      <c r="L374" s="6">
        <f>(1.96*K374)</f>
        <v>0</v>
      </c>
      <c r="N374" s="2">
        <f>'rockfish harvests'!O373</f>
        <v>16359.985999299963</v>
      </c>
      <c r="O374">
        <f>'rockfish harvests'!P373</f>
        <v>28189042.115738388</v>
      </c>
      <c r="P374">
        <v>0.24497991967871485</v>
      </c>
      <c r="Q374">
        <v>3.7216249221916554E-4</v>
      </c>
      <c r="T374" s="13">
        <f>N374*P374</f>
        <v>4007.8680560534044</v>
      </c>
      <c r="U374" s="14">
        <f>(N374^2)*Q374+(P374^2)*O374-(Q374*O374)</f>
        <v>1780887.9698243369</v>
      </c>
      <c r="V374">
        <f>SQRT(U374)</f>
        <v>1334.4991456813814</v>
      </c>
      <c r="W374" s="6">
        <f>(1.96*V374)</f>
        <v>2615.6183255355077</v>
      </c>
      <c r="Y374" s="13">
        <f>T374+I374</f>
        <v>5734.8680560534049</v>
      </c>
      <c r="Z374">
        <f>U374+J374</f>
        <v>1780887.9698243369</v>
      </c>
      <c r="AA374">
        <f>SQRT(Z374)</f>
        <v>1334.4991456813814</v>
      </c>
      <c r="AB374" s="6">
        <f>(1.96*AA374)</f>
        <v>2615.6183255355077</v>
      </c>
      <c r="AC374" s="14">
        <f t="shared" si="394"/>
        <v>0.23269918900274592</v>
      </c>
    </row>
    <row r="375" spans="1:29" x14ac:dyDescent="0.25">
      <c r="A375" t="str">
        <f>'rockfish harvests'!A374</f>
        <v>SE</v>
      </c>
      <c r="B375">
        <f>'rockfish harvests'!B374</f>
        <v>2020</v>
      </c>
      <c r="C375" t="str">
        <f>'rockfish harvests'!C374</f>
        <v>SSEO</v>
      </c>
      <c r="D375">
        <f>'rockfish harvests'!D374</f>
        <v>12619</v>
      </c>
      <c r="E375">
        <v>170</v>
      </c>
      <c r="F375">
        <v>1</v>
      </c>
      <c r="I375" s="13">
        <f t="shared" ref="I375" si="431">F375</f>
        <v>1</v>
      </c>
      <c r="J375">
        <f t="shared" ref="J375:J377" si="432">(E375^2)*H375</f>
        <v>0</v>
      </c>
      <c r="K375">
        <f t="shared" ref="K375:K377" si="433">SQRT(J375)</f>
        <v>0</v>
      </c>
      <c r="L375" s="6">
        <f t="shared" ref="L375:L377" si="434">(1.96*K375)</f>
        <v>0</v>
      </c>
      <c r="N375" s="2">
        <f>'rockfish harvests'!O374</f>
        <v>2769.6225355790575</v>
      </c>
      <c r="O375">
        <f>'rockfish harvests'!P374</f>
        <v>1279455.8924929332</v>
      </c>
      <c r="P375">
        <v>0</v>
      </c>
      <c r="Q375">
        <v>0</v>
      </c>
      <c r="T375" s="13">
        <f>N375*P375</f>
        <v>0</v>
      </c>
      <c r="U375" s="14">
        <f t="shared" ref="U375" si="435">(N375^2)*Q375+(P375^2)*O375-(Q375*O375)</f>
        <v>0</v>
      </c>
      <c r="V375">
        <f t="shared" ref="V375" si="436">SQRT(U375)</f>
        <v>0</v>
      </c>
      <c r="W375" s="6">
        <f t="shared" ref="W375" si="437">(1.96*V375)</f>
        <v>0</v>
      </c>
      <c r="Y375" s="13">
        <f t="shared" ref="Y375" si="438">T375+I375</f>
        <v>1</v>
      </c>
      <c r="Z375">
        <f t="shared" ref="Z375" si="439">U375+J375</f>
        <v>0</v>
      </c>
      <c r="AA375">
        <f t="shared" ref="AA375" si="440">SQRT(Z375)</f>
        <v>0</v>
      </c>
      <c r="AB375" s="6">
        <f t="shared" ref="AB375" si="441">(1.96*AA375)</f>
        <v>0</v>
      </c>
      <c r="AC375" s="14">
        <f t="shared" ref="AC375" si="442">AA375/Y375</f>
        <v>0</v>
      </c>
    </row>
    <row r="376" spans="1:29" x14ac:dyDescent="0.25">
      <c r="A376" t="str">
        <f>'rockfish harvests'!A375</f>
        <v>SE</v>
      </c>
      <c r="B376">
        <f>'rockfish harvests'!B375</f>
        <v>2021</v>
      </c>
      <c r="C376" t="str">
        <f>'rockfish harvests'!C375</f>
        <v>SSEO</v>
      </c>
      <c r="D376">
        <f>'rockfish harvests'!D375</f>
        <v>29399</v>
      </c>
      <c r="E376">
        <v>361</v>
      </c>
      <c r="F376">
        <v>1</v>
      </c>
      <c r="I376" s="13">
        <f>F376</f>
        <v>1</v>
      </c>
      <c r="J376">
        <f t="shared" si="432"/>
        <v>0</v>
      </c>
      <c r="K376">
        <f t="shared" si="433"/>
        <v>0</v>
      </c>
      <c r="L376" s="6">
        <f t="shared" si="434"/>
        <v>0</v>
      </c>
      <c r="N376" s="2">
        <f>'rockfish harvests'!O375</f>
        <v>1670.0870000715477</v>
      </c>
      <c r="O376">
        <f>'rockfish harvests'!P375</f>
        <v>492653.23167840909</v>
      </c>
      <c r="P376">
        <v>0</v>
      </c>
      <c r="Q376">
        <v>0</v>
      </c>
      <c r="T376" s="13">
        <f>N376*P376</f>
        <v>0</v>
      </c>
      <c r="U376" s="14">
        <f t="shared" ref="U376:U377" si="443">(N376^2)*Q376+(P376^2)*O376-(Q376*O376)</f>
        <v>0</v>
      </c>
      <c r="V376">
        <f t="shared" ref="V376:V377" si="444">SQRT(U376)</f>
        <v>0</v>
      </c>
      <c r="W376" s="6">
        <f t="shared" ref="W376:W377" si="445">(1.96*V376)</f>
        <v>0</v>
      </c>
      <c r="Y376" s="13">
        <f t="shared" ref="Y376:Y377" si="446">T376+I376</f>
        <v>1</v>
      </c>
      <c r="Z376">
        <f t="shared" ref="Z376:Z377" si="447">U376+J376</f>
        <v>0</v>
      </c>
      <c r="AA376">
        <f t="shared" ref="AA376:AA377" si="448">SQRT(Z376)</f>
        <v>0</v>
      </c>
      <c r="AB376" s="6">
        <f t="shared" ref="AB376:AB377" si="449">(1.96*AA376)</f>
        <v>0</v>
      </c>
      <c r="AC376" s="14">
        <f t="shared" ref="AC376:AC377" si="450">AA376/Y376</f>
        <v>0</v>
      </c>
    </row>
    <row r="377" spans="1:29" s="51" customFormat="1" x14ac:dyDescent="0.25">
      <c r="A377" s="51" t="s">
        <v>151</v>
      </c>
      <c r="B377" s="51">
        <v>2022</v>
      </c>
      <c r="C377" s="51" t="s">
        <v>40</v>
      </c>
      <c r="D377">
        <f>'rockfish harvests'!D376</f>
        <v>38456</v>
      </c>
      <c r="E377" s="51">
        <v>918</v>
      </c>
      <c r="F377" s="51">
        <v>1</v>
      </c>
      <c r="I377" s="71">
        <f>F377</f>
        <v>1</v>
      </c>
      <c r="J377" s="51">
        <f t="shared" si="432"/>
        <v>0</v>
      </c>
      <c r="K377" s="51">
        <f t="shared" si="433"/>
        <v>0</v>
      </c>
      <c r="L377" s="51">
        <f t="shared" si="434"/>
        <v>0</v>
      </c>
      <c r="N377" s="2">
        <f>'rockfish harvests'!O376</f>
        <v>6059.5121025154294</v>
      </c>
      <c r="O377">
        <f>'rockfish harvests'!P376</f>
        <v>7024339.3858510992</v>
      </c>
      <c r="P377" s="51">
        <v>0</v>
      </c>
      <c r="Q377" s="51">
        <v>0</v>
      </c>
      <c r="T377" s="71">
        <f>N377*P377</f>
        <v>0</v>
      </c>
      <c r="U377" s="51">
        <f t="shared" si="443"/>
        <v>0</v>
      </c>
      <c r="V377" s="81">
        <f t="shared" si="444"/>
        <v>0</v>
      </c>
      <c r="W377" s="81">
        <f t="shared" si="445"/>
        <v>0</v>
      </c>
      <c r="Y377" s="71">
        <f t="shared" si="446"/>
        <v>1</v>
      </c>
      <c r="Z377" s="51">
        <f t="shared" si="447"/>
        <v>0</v>
      </c>
      <c r="AA377" s="51">
        <f t="shared" si="448"/>
        <v>0</v>
      </c>
      <c r="AB377" s="51">
        <f t="shared" si="449"/>
        <v>0</v>
      </c>
      <c r="AC377" s="51">
        <f t="shared" si="450"/>
        <v>0</v>
      </c>
    </row>
  </sheetData>
  <autoFilter ref="A2:AG377" xr:uid="{20647F83-1005-4FCE-8C54-E1222D7E9FB7}">
    <filterColumn colId="0">
      <filters>
        <filter val="SE"/>
      </filters>
    </filterColumn>
    <filterColumn colId="2">
      <filters>
        <filter val="SSEO"/>
      </filters>
    </filterColumn>
  </autoFilter>
  <mergeCells count="6">
    <mergeCell ref="Y1:AB1"/>
    <mergeCell ref="A1:A2"/>
    <mergeCell ref="B1:B2"/>
    <mergeCell ref="C1:C2"/>
    <mergeCell ref="D1:L1"/>
    <mergeCell ref="N1:U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E384-5DC1-47C1-85C7-EAFE9CB63710}">
  <dimension ref="A1:AN89"/>
  <sheetViews>
    <sheetView workbookViewId="0">
      <selection activeCell="T28" sqref="T28"/>
    </sheetView>
  </sheetViews>
  <sheetFormatPr defaultRowHeight="15" x14ac:dyDescent="0.25"/>
  <sheetData>
    <row r="1" spans="1:32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1:32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 spans="1:32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spans="1:40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40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5" spans="1:40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0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</row>
    <row r="50" spans="1:40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</row>
    <row r="51" spans="1:40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</row>
    <row r="52" spans="1:40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</row>
    <row r="53" spans="1:40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</row>
    <row r="54" spans="1:40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</row>
    <row r="55" spans="1:40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</row>
    <row r="56" spans="1:40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40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40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40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40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40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40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40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40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  <row r="76" spans="1:32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</row>
    <row r="77" spans="1:32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</row>
    <row r="78" spans="1:32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</row>
    <row r="79" spans="1:32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</row>
    <row r="80" spans="1:32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</row>
    <row r="81" spans="1:32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</row>
    <row r="82" spans="1:32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</row>
    <row r="83" spans="1:32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</row>
    <row r="84" spans="1:32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</row>
    <row r="85" spans="1:32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</row>
    <row r="86" spans="1:32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</row>
    <row r="87" spans="1:32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</row>
    <row r="88" spans="1:32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</row>
    <row r="89" spans="1:32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1E09-9A36-4950-AD3E-BD2C87B3CB41}">
  <sheetPr filterMode="1">
    <tabColor theme="9"/>
  </sheetPr>
  <dimension ref="A1:AF369"/>
  <sheetViews>
    <sheetView tabSelected="1" zoomScale="70" zoomScaleNormal="70" workbookViewId="0">
      <pane ySplit="2" topLeftCell="A220" activePane="bottomLeft" state="frozen"/>
      <selection pane="bottomLeft" activeCell="B372" sqref="A372:B372"/>
    </sheetView>
  </sheetViews>
  <sheetFormatPr defaultRowHeight="15" x14ac:dyDescent="0.25"/>
  <cols>
    <col min="3" max="3" width="14.85546875" customWidth="1"/>
    <col min="4" max="4" width="14" customWidth="1"/>
    <col min="7" max="7" width="12" bestFit="1" customWidth="1"/>
    <col min="8" max="8" width="9.5703125" style="13" bestFit="1" customWidth="1"/>
    <col min="9" max="9" width="11.42578125" customWidth="1"/>
    <col min="10" max="10" width="9.140625" hidden="1" customWidth="1"/>
    <col min="11" max="11" width="0.42578125" hidden="1" customWidth="1"/>
    <col min="12" max="12" width="1.7109375" customWidth="1"/>
    <col min="16" max="16" width="12.28515625" bestFit="1" customWidth="1"/>
    <col min="17" max="17" width="10.5703125" style="13" bestFit="1" customWidth="1"/>
    <col min="18" max="18" width="12.85546875" customWidth="1"/>
    <col min="19" max="19" width="0.140625" style="4" customWidth="1"/>
    <col min="20" max="20" width="5.42578125" style="4" hidden="1" customWidth="1"/>
    <col min="21" max="21" width="14.5703125" customWidth="1"/>
    <col min="22" max="22" width="10.5703125" style="13" bestFit="1" customWidth="1"/>
    <col min="23" max="23" width="11.85546875" customWidth="1"/>
    <col min="24" max="24" width="12.42578125" bestFit="1" customWidth="1"/>
    <col min="25" max="25" width="8.42578125" bestFit="1" customWidth="1"/>
  </cols>
  <sheetData>
    <row r="1" spans="1:30" x14ac:dyDescent="0.25">
      <c r="A1" s="110" t="str">
        <f>'rockfish harvests'!A1</f>
        <v>Region</v>
      </c>
      <c r="B1" s="110" t="str">
        <f>'rockfish harvests'!B1</f>
        <v>year</v>
      </c>
      <c r="C1" s="110" t="str">
        <f>'rockfish harvests'!C1</f>
        <v>RptArea</v>
      </c>
      <c r="D1" s="109" t="s">
        <v>16</v>
      </c>
      <c r="E1" s="109"/>
      <c r="F1" s="109"/>
      <c r="G1" s="109"/>
      <c r="H1" s="109"/>
      <c r="I1" s="109"/>
      <c r="J1" s="109"/>
      <c r="K1" s="109"/>
      <c r="M1" s="109" t="s">
        <v>17</v>
      </c>
      <c r="N1" s="109"/>
      <c r="O1" s="109"/>
      <c r="P1" s="109"/>
      <c r="Q1" s="109"/>
      <c r="R1" s="109"/>
      <c r="S1" s="9"/>
      <c r="T1" s="9"/>
      <c r="V1" s="109" t="s">
        <v>29</v>
      </c>
      <c r="W1" s="109"/>
      <c r="X1" s="109"/>
      <c r="Y1" s="109"/>
    </row>
    <row r="2" spans="1:30" s="92" customFormat="1" ht="101.25" customHeight="1" x14ac:dyDescent="0.35">
      <c r="A2" s="110"/>
      <c r="B2" s="110"/>
      <c r="C2" s="110"/>
      <c r="D2" s="92" t="s">
        <v>14</v>
      </c>
      <c r="E2" s="92" t="s">
        <v>162</v>
      </c>
      <c r="F2" s="96" t="s">
        <v>163</v>
      </c>
      <c r="G2" s="92" t="s">
        <v>164</v>
      </c>
      <c r="H2" s="93" t="s">
        <v>165</v>
      </c>
      <c r="I2" s="92" t="s">
        <v>166</v>
      </c>
      <c r="J2" s="92" t="s">
        <v>18</v>
      </c>
      <c r="K2" s="92" t="s">
        <v>24</v>
      </c>
      <c r="M2" s="92" t="s">
        <v>5</v>
      </c>
      <c r="N2" s="92" t="s">
        <v>8</v>
      </c>
      <c r="O2" s="92" t="s">
        <v>167</v>
      </c>
      <c r="P2" s="92" t="s">
        <v>168</v>
      </c>
      <c r="Q2" s="94" t="s">
        <v>169</v>
      </c>
      <c r="R2" s="92" t="s">
        <v>170</v>
      </c>
      <c r="S2" s="92" t="s">
        <v>25</v>
      </c>
      <c r="T2" s="92" t="s">
        <v>26</v>
      </c>
      <c r="V2" s="95" t="s">
        <v>171</v>
      </c>
      <c r="W2" s="92" t="s">
        <v>172</v>
      </c>
      <c r="X2" s="92" t="s">
        <v>27</v>
      </c>
      <c r="Y2" s="92" t="s">
        <v>28</v>
      </c>
    </row>
    <row r="3" spans="1:30" hidden="1" x14ac:dyDescent="0.25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f>'YE harvest'!E3</f>
        <v>87</v>
      </c>
      <c r="F3" s="38"/>
      <c r="G3" s="39"/>
      <c r="H3" s="13">
        <f t="shared" ref="H3:H10" si="0">E3*F3</f>
        <v>0</v>
      </c>
      <c r="I3">
        <f t="shared" ref="I3:I76" si="1">(E3^2)*G3</f>
        <v>0</v>
      </c>
      <c r="J3">
        <f>SQRT(I3)</f>
        <v>0</v>
      </c>
      <c r="K3" s="6">
        <f>(1.96*J3)</f>
        <v>0</v>
      </c>
      <c r="M3" s="2">
        <f>'rockfish harvests'!O2</f>
        <v>113.5015960846614</v>
      </c>
      <c r="N3">
        <f>'rockfish harvests'!P2</f>
        <v>3943.5752117924521</v>
      </c>
      <c r="Q3" s="13" t="e">
        <f>#REF!*M3</f>
        <v>#REF!</v>
      </c>
      <c r="R3" s="14" t="e">
        <f>(M3^2)*#REF!+(#REF!^2)*N3-(#REF!*N3)</f>
        <v>#REF!</v>
      </c>
      <c r="S3" t="e">
        <f>SQRT(R3)</f>
        <v>#REF!</v>
      </c>
      <c r="T3" s="6" t="e">
        <f>(1.96*S3)</f>
        <v>#REF!</v>
      </c>
      <c r="V3" s="13" t="e">
        <f t="shared" ref="V3:V76" si="2">Q3+H3</f>
        <v>#REF!</v>
      </c>
      <c r="W3" t="e">
        <f t="shared" ref="W3:W76" si="3">R3+I3</f>
        <v>#REF!</v>
      </c>
      <c r="X3" t="e">
        <f>SQRT(W3)</f>
        <v>#REF!</v>
      </c>
      <c r="Y3" s="6" t="e">
        <f>(1.96*X3)</f>
        <v>#REF!</v>
      </c>
      <c r="AC3" s="32"/>
      <c r="AD3" t="s">
        <v>84</v>
      </c>
    </row>
    <row r="4" spans="1:30" hidden="1" x14ac:dyDescent="0.25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f>'YE harvest'!E4</f>
        <v>87</v>
      </c>
      <c r="F4" s="38"/>
      <c r="G4" s="39"/>
      <c r="H4" s="13">
        <f t="shared" si="0"/>
        <v>0</v>
      </c>
      <c r="I4">
        <f t="shared" si="1"/>
        <v>0</v>
      </c>
      <c r="J4">
        <f t="shared" ref="J4:J77" si="4">SQRT(I4)</f>
        <v>0</v>
      </c>
      <c r="K4" s="6">
        <f t="shared" ref="K4:K77" si="5">(1.96*J4)</f>
        <v>0</v>
      </c>
      <c r="M4" s="2">
        <f>'rockfish harvests'!O3</f>
        <v>138.05722985297768</v>
      </c>
      <c r="N4">
        <f>'rockfish harvests'!P3</f>
        <v>5834.5115045216135</v>
      </c>
      <c r="Q4" s="13" t="e">
        <f>#REF!*M4</f>
        <v>#REF!</v>
      </c>
      <c r="R4" s="14" t="e">
        <f>(M4^2)*#REF!+(#REF!^2)*N4-(#REF!*N4)</f>
        <v>#REF!</v>
      </c>
      <c r="S4" t="e">
        <f t="shared" ref="S4:S77" si="6">SQRT(R4)</f>
        <v>#REF!</v>
      </c>
      <c r="T4" s="6" t="e">
        <f t="shared" ref="T4:T77" si="7">(1.96*S4)</f>
        <v>#REF!</v>
      </c>
      <c r="V4" s="13" t="e">
        <f t="shared" si="2"/>
        <v>#REF!</v>
      </c>
      <c r="W4" t="e">
        <f t="shared" si="3"/>
        <v>#REF!</v>
      </c>
      <c r="X4" t="e">
        <f t="shared" ref="X4:X77" si="8">SQRT(W4)</f>
        <v>#REF!</v>
      </c>
      <c r="Y4" s="6" t="e">
        <f t="shared" ref="Y4:Y77" si="9">(1.96*X4)</f>
        <v>#REF!</v>
      </c>
      <c r="AD4" s="38" t="s">
        <v>93</v>
      </c>
    </row>
    <row r="5" spans="1:30" hidden="1" x14ac:dyDescent="0.25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f>'YE harvest'!E5</f>
        <v>188</v>
      </c>
      <c r="F5" s="38"/>
      <c r="G5" s="39"/>
      <c r="H5" s="13">
        <f t="shared" si="0"/>
        <v>0</v>
      </c>
      <c r="I5">
        <f t="shared" si="1"/>
        <v>0</v>
      </c>
      <c r="J5">
        <f t="shared" si="4"/>
        <v>0</v>
      </c>
      <c r="K5" s="6">
        <f t="shared" si="5"/>
        <v>0</v>
      </c>
      <c r="M5" s="2">
        <f>'rockfish harvests'!O4</f>
        <v>385.25060978736042</v>
      </c>
      <c r="N5">
        <f>'rockfish harvests'!P4</f>
        <v>45433.151217293431</v>
      </c>
      <c r="Q5" s="13" t="e">
        <f>#REF!*M5</f>
        <v>#REF!</v>
      </c>
      <c r="R5" s="14" t="e">
        <f>(M5^2)*#REF!+(#REF!^2)*N5-(#REF!*N5)</f>
        <v>#REF!</v>
      </c>
      <c r="S5" t="e">
        <f t="shared" si="6"/>
        <v>#REF!</v>
      </c>
      <c r="T5" s="6" t="e">
        <f t="shared" si="7"/>
        <v>#REF!</v>
      </c>
      <c r="V5" s="13" t="e">
        <f t="shared" si="2"/>
        <v>#REF!</v>
      </c>
      <c r="W5" t="e">
        <f t="shared" si="3"/>
        <v>#REF!</v>
      </c>
      <c r="X5" t="e">
        <f t="shared" si="8"/>
        <v>#REF!</v>
      </c>
      <c r="Y5" s="6" t="e">
        <f t="shared" si="9"/>
        <v>#REF!</v>
      </c>
      <c r="AD5" s="27" t="s">
        <v>140</v>
      </c>
    </row>
    <row r="6" spans="1:30" hidden="1" x14ac:dyDescent="0.25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f>'YE harvest'!E6</f>
        <v>58</v>
      </c>
      <c r="F6" s="38"/>
      <c r="G6" s="39"/>
      <c r="H6" s="13">
        <f t="shared" si="0"/>
        <v>0</v>
      </c>
      <c r="I6">
        <f t="shared" si="1"/>
        <v>0</v>
      </c>
      <c r="J6">
        <f t="shared" si="4"/>
        <v>0</v>
      </c>
      <c r="K6" s="6">
        <f t="shared" si="5"/>
        <v>0</v>
      </c>
      <c r="M6" s="2">
        <f>'rockfish harvests'!O5</f>
        <v>145.96960073387947</v>
      </c>
      <c r="N6">
        <f>'rockfish harvests'!P5</f>
        <v>6522.4540899783578</v>
      </c>
      <c r="Q6" s="13" t="e">
        <f>#REF!*M6</f>
        <v>#REF!</v>
      </c>
      <c r="R6" s="14" t="e">
        <f>(M6^2)*#REF!+(#REF!^2)*N6-(#REF!*N6)</f>
        <v>#REF!</v>
      </c>
      <c r="S6" t="e">
        <f t="shared" si="6"/>
        <v>#REF!</v>
      </c>
      <c r="T6" s="6" t="e">
        <f t="shared" si="7"/>
        <v>#REF!</v>
      </c>
      <c r="V6" s="13" t="e">
        <f t="shared" si="2"/>
        <v>#REF!</v>
      </c>
      <c r="W6" t="e">
        <f t="shared" si="3"/>
        <v>#REF!</v>
      </c>
      <c r="X6" t="e">
        <f t="shared" si="8"/>
        <v>#REF!</v>
      </c>
      <c r="Y6" s="6" t="e">
        <f t="shared" si="9"/>
        <v>#REF!</v>
      </c>
    </row>
    <row r="7" spans="1:30" hidden="1" x14ac:dyDescent="0.25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f>'YE harvest'!E7</f>
        <v>54</v>
      </c>
      <c r="F7" s="38"/>
      <c r="G7" s="39"/>
      <c r="H7" s="13">
        <f t="shared" si="0"/>
        <v>0</v>
      </c>
      <c r="I7">
        <f t="shared" si="1"/>
        <v>0</v>
      </c>
      <c r="J7">
        <f t="shared" si="4"/>
        <v>0</v>
      </c>
      <c r="K7" s="6">
        <f t="shared" si="5"/>
        <v>0</v>
      </c>
      <c r="M7" s="2">
        <f>'rockfish harvests'!O6</f>
        <v>94.129929445212042</v>
      </c>
      <c r="N7">
        <f>'rockfish harvests'!P6</f>
        <v>2712.3245630524034</v>
      </c>
      <c r="Q7" s="13" t="e">
        <f>#REF!*M7</f>
        <v>#REF!</v>
      </c>
      <c r="R7" s="14" t="e">
        <f>(M7^2)*#REF!+(#REF!^2)*N7-(#REF!*N7)</f>
        <v>#REF!</v>
      </c>
      <c r="S7" t="e">
        <f t="shared" si="6"/>
        <v>#REF!</v>
      </c>
      <c r="T7" s="6" t="e">
        <f t="shared" si="7"/>
        <v>#REF!</v>
      </c>
      <c r="V7" s="13" t="e">
        <f t="shared" si="2"/>
        <v>#REF!</v>
      </c>
      <c r="W7" t="e">
        <f t="shared" si="3"/>
        <v>#REF!</v>
      </c>
      <c r="X7" t="e">
        <f t="shared" si="8"/>
        <v>#REF!</v>
      </c>
      <c r="Y7" s="6" t="e">
        <f t="shared" si="9"/>
        <v>#REF!</v>
      </c>
    </row>
    <row r="8" spans="1:30" hidden="1" x14ac:dyDescent="0.25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f>'YE harvest'!E8</f>
        <v>83</v>
      </c>
      <c r="F8" s="38"/>
      <c r="G8" s="39"/>
      <c r="H8" s="13">
        <f t="shared" si="0"/>
        <v>0</v>
      </c>
      <c r="I8">
        <f t="shared" si="1"/>
        <v>0</v>
      </c>
      <c r="J8">
        <f t="shared" si="4"/>
        <v>0</v>
      </c>
      <c r="K8" s="6">
        <f t="shared" si="5"/>
        <v>0</v>
      </c>
      <c r="M8" s="2">
        <f>'rockfish harvests'!O7</f>
        <v>154.70049274039195</v>
      </c>
      <c r="N8">
        <f>'rockfish harvests'!P7</f>
        <v>7326.0450447481962</v>
      </c>
      <c r="Q8" s="13" t="e">
        <f>#REF!*M8</f>
        <v>#REF!</v>
      </c>
      <c r="R8" s="14" t="e">
        <f>(M8^2)*#REF!+(#REF!^2)*N8-(#REF!*N8)</f>
        <v>#REF!</v>
      </c>
      <c r="S8" t="e">
        <f t="shared" si="6"/>
        <v>#REF!</v>
      </c>
      <c r="T8" s="6" t="e">
        <f t="shared" si="7"/>
        <v>#REF!</v>
      </c>
      <c r="V8" s="13" t="e">
        <f t="shared" si="2"/>
        <v>#REF!</v>
      </c>
      <c r="W8" t="e">
        <f t="shared" si="3"/>
        <v>#REF!</v>
      </c>
      <c r="X8" t="e">
        <f t="shared" si="8"/>
        <v>#REF!</v>
      </c>
      <c r="Y8" s="6" t="e">
        <f t="shared" si="9"/>
        <v>#REF!</v>
      </c>
    </row>
    <row r="9" spans="1:30" hidden="1" x14ac:dyDescent="0.25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f>'YE harvest'!E9</f>
        <v>130</v>
      </c>
      <c r="F9" s="38"/>
      <c r="G9" s="39"/>
      <c r="H9" s="13">
        <f t="shared" si="0"/>
        <v>0</v>
      </c>
      <c r="I9">
        <f t="shared" si="1"/>
        <v>0</v>
      </c>
      <c r="J9">
        <f t="shared" si="4"/>
        <v>0</v>
      </c>
      <c r="K9" s="6">
        <f t="shared" si="5"/>
        <v>0</v>
      </c>
      <c r="M9" s="2">
        <f>'rockfish harvests'!O8</f>
        <v>127.68929559524418</v>
      </c>
      <c r="N9">
        <f>'rockfish harvests'!P8</f>
        <v>4991.087377424823</v>
      </c>
      <c r="Q9" s="13" t="e">
        <f>#REF!*M9</f>
        <v>#REF!</v>
      </c>
      <c r="R9" s="14" t="e">
        <f>(M9^2)*#REF!+(#REF!^2)*N9-(#REF!*N9)</f>
        <v>#REF!</v>
      </c>
      <c r="S9" t="e">
        <f t="shared" si="6"/>
        <v>#REF!</v>
      </c>
      <c r="T9" s="6" t="e">
        <f t="shared" si="7"/>
        <v>#REF!</v>
      </c>
      <c r="V9" s="13" t="e">
        <f t="shared" si="2"/>
        <v>#REF!</v>
      </c>
      <c r="W9" t="e">
        <f t="shared" si="3"/>
        <v>#REF!</v>
      </c>
      <c r="X9" t="e">
        <f t="shared" si="8"/>
        <v>#REF!</v>
      </c>
      <c r="Y9" s="6" t="e">
        <f t="shared" si="9"/>
        <v>#REF!</v>
      </c>
    </row>
    <row r="10" spans="1:30" ht="36" hidden="1" x14ac:dyDescent="0.55000000000000004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f>'YE harvest'!E10</f>
        <v>206</v>
      </c>
      <c r="F10" s="38"/>
      <c r="G10" s="39"/>
      <c r="H10" s="13">
        <f t="shared" si="0"/>
        <v>0</v>
      </c>
      <c r="I10">
        <f t="shared" si="1"/>
        <v>0</v>
      </c>
      <c r="J10">
        <f t="shared" si="4"/>
        <v>0</v>
      </c>
      <c r="K10" s="6">
        <f t="shared" si="5"/>
        <v>0</v>
      </c>
      <c r="M10" s="2">
        <f>'rockfish harvests'!O9</f>
        <v>377.8839196568656</v>
      </c>
      <c r="N10">
        <f>'rockfish harvests'!P9</f>
        <v>43712.235118346529</v>
      </c>
      <c r="Q10" s="13" t="e">
        <f>#REF!*M10</f>
        <v>#REF!</v>
      </c>
      <c r="R10" s="14" t="e">
        <f>(M10^2)*#REF!+(#REF!^2)*N10-(#REF!*N10)</f>
        <v>#REF!</v>
      </c>
      <c r="S10" t="e">
        <f t="shared" si="6"/>
        <v>#REF!</v>
      </c>
      <c r="T10" s="6" t="e">
        <f t="shared" si="7"/>
        <v>#REF!</v>
      </c>
      <c r="V10" s="13" t="e">
        <f t="shared" si="2"/>
        <v>#REF!</v>
      </c>
      <c r="W10" t="e">
        <f t="shared" si="3"/>
        <v>#REF!</v>
      </c>
      <c r="X10" t="e">
        <f t="shared" si="8"/>
        <v>#REF!</v>
      </c>
      <c r="Y10" s="6" t="e">
        <f t="shared" si="9"/>
        <v>#REF!</v>
      </c>
      <c r="AC10" s="97" t="s">
        <v>173</v>
      </c>
    </row>
    <row r="11" spans="1:30" hidden="1" x14ac:dyDescent="0.25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f>'YE harvest'!E11</f>
        <v>159</v>
      </c>
      <c r="H11" s="13" t="e">
        <f>#REF!</f>
        <v>#REF!</v>
      </c>
      <c r="I11">
        <f t="shared" si="1"/>
        <v>0</v>
      </c>
      <c r="J11">
        <f t="shared" si="4"/>
        <v>0</v>
      </c>
      <c r="K11" s="6">
        <f t="shared" si="5"/>
        <v>0</v>
      </c>
      <c r="M11" s="2">
        <f>'rockfish harvests'!O10</f>
        <v>252.37734706324954</v>
      </c>
      <c r="N11">
        <f>'rockfish harvests'!P10</f>
        <v>19497.859309067106</v>
      </c>
      <c r="Q11" s="13" t="e">
        <f>#REF!*M11</f>
        <v>#REF!</v>
      </c>
      <c r="R11" s="14" t="e">
        <f>(M11^2)*#REF!+(#REF!^2)*N11-(#REF!*N11)</f>
        <v>#REF!</v>
      </c>
      <c r="S11" t="e">
        <f t="shared" si="6"/>
        <v>#REF!</v>
      </c>
      <c r="T11" s="6" t="e">
        <f t="shared" si="7"/>
        <v>#REF!</v>
      </c>
      <c r="V11" s="13" t="e">
        <f t="shared" si="2"/>
        <v>#REF!</v>
      </c>
      <c r="W11" t="e">
        <f t="shared" si="3"/>
        <v>#REF!</v>
      </c>
      <c r="X11" t="e">
        <f t="shared" si="8"/>
        <v>#REF!</v>
      </c>
      <c r="Y11" s="6" t="e">
        <f t="shared" si="9"/>
        <v>#REF!</v>
      </c>
    </row>
    <row r="12" spans="1:30" hidden="1" x14ac:dyDescent="0.25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f>'YE harvest'!E12</f>
        <v>304</v>
      </c>
      <c r="H12" s="13" t="e">
        <f>#REF!</f>
        <v>#REF!</v>
      </c>
      <c r="I12">
        <f t="shared" si="1"/>
        <v>0</v>
      </c>
      <c r="J12">
        <f t="shared" si="4"/>
        <v>0</v>
      </c>
      <c r="K12" s="6">
        <f t="shared" si="5"/>
        <v>0</v>
      </c>
      <c r="M12" s="2">
        <f>'rockfish harvests'!O11</f>
        <v>678.82685350634074</v>
      </c>
      <c r="N12">
        <f>'rockfish harvests'!P11</f>
        <v>141060.11022920778</v>
      </c>
      <c r="Q12" s="13" t="e">
        <f>#REF!*M12</f>
        <v>#REF!</v>
      </c>
      <c r="R12" s="14" t="e">
        <f>(M12^2)*#REF!+(#REF!^2)*N12-(#REF!*N12)</f>
        <v>#REF!</v>
      </c>
      <c r="S12" t="e">
        <f t="shared" si="6"/>
        <v>#REF!</v>
      </c>
      <c r="T12" s="6" t="e">
        <f t="shared" si="7"/>
        <v>#REF!</v>
      </c>
      <c r="V12" s="13" t="e">
        <f t="shared" si="2"/>
        <v>#REF!</v>
      </c>
      <c r="W12" t="e">
        <f t="shared" si="3"/>
        <v>#REF!</v>
      </c>
      <c r="X12" t="e">
        <f t="shared" si="8"/>
        <v>#REF!</v>
      </c>
      <c r="Y12" s="6" t="e">
        <f t="shared" si="9"/>
        <v>#REF!</v>
      </c>
    </row>
    <row r="13" spans="1:30" hidden="1" x14ac:dyDescent="0.25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f>'YE harvest'!E13</f>
        <v>601</v>
      </c>
      <c r="H13" s="13" t="e">
        <f>#REF!</f>
        <v>#REF!</v>
      </c>
      <c r="I13">
        <f t="shared" si="1"/>
        <v>0</v>
      </c>
      <c r="J13">
        <f t="shared" si="4"/>
        <v>0</v>
      </c>
      <c r="K13" s="6">
        <f t="shared" si="5"/>
        <v>0</v>
      </c>
      <c r="M13" s="2">
        <f>'rockfish harvests'!O12</f>
        <v>728.48380179337983</v>
      </c>
      <c r="N13">
        <f>'rockfish harvests'!P12</f>
        <v>162452.3467972634</v>
      </c>
      <c r="Q13" s="13" t="e">
        <f>#REF!*M13</f>
        <v>#REF!</v>
      </c>
      <c r="R13" s="14" t="e">
        <f>(M13^2)*#REF!+(#REF!^2)*N13-(#REF!*N13)</f>
        <v>#REF!</v>
      </c>
      <c r="S13" t="e">
        <f t="shared" si="6"/>
        <v>#REF!</v>
      </c>
      <c r="T13" s="6" t="e">
        <f t="shared" si="7"/>
        <v>#REF!</v>
      </c>
      <c r="V13" s="13" t="e">
        <f t="shared" si="2"/>
        <v>#REF!</v>
      </c>
      <c r="W13" t="e">
        <f t="shared" si="3"/>
        <v>#REF!</v>
      </c>
      <c r="X13" t="e">
        <f t="shared" si="8"/>
        <v>#REF!</v>
      </c>
      <c r="Y13" s="6" t="e">
        <f t="shared" si="9"/>
        <v>#REF!</v>
      </c>
    </row>
    <row r="14" spans="1:30" hidden="1" x14ac:dyDescent="0.25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f>'YE harvest'!E14</f>
        <v>557</v>
      </c>
      <c r="H14" s="13" t="e">
        <f>#REF!</f>
        <v>#REF!</v>
      </c>
      <c r="I14">
        <f t="shared" si="1"/>
        <v>0</v>
      </c>
      <c r="J14">
        <f t="shared" si="4"/>
        <v>0</v>
      </c>
      <c r="K14" s="6">
        <f t="shared" si="5"/>
        <v>0</v>
      </c>
      <c r="M14" s="2">
        <f>'rockfish harvests'!O13</f>
        <v>1026.6983318908196</v>
      </c>
      <c r="N14">
        <f>'rockfish harvests'!P13</f>
        <v>322679.89242321515</v>
      </c>
      <c r="Q14" s="13" t="e">
        <f>#REF!*M14</f>
        <v>#REF!</v>
      </c>
      <c r="R14" s="14" t="e">
        <f>(M14^2)*#REF!+(#REF!^2)*N14-(#REF!*N14)</f>
        <v>#REF!</v>
      </c>
      <c r="S14" t="e">
        <f t="shared" si="6"/>
        <v>#REF!</v>
      </c>
      <c r="T14" s="6" t="e">
        <f t="shared" si="7"/>
        <v>#REF!</v>
      </c>
      <c r="V14" s="13" t="e">
        <f t="shared" si="2"/>
        <v>#REF!</v>
      </c>
      <c r="W14" t="e">
        <f t="shared" si="3"/>
        <v>#REF!</v>
      </c>
      <c r="X14" t="e">
        <f t="shared" si="8"/>
        <v>#REF!</v>
      </c>
      <c r="Y14" s="6" t="e">
        <f t="shared" si="9"/>
        <v>#REF!</v>
      </c>
    </row>
    <row r="15" spans="1:30" hidden="1" x14ac:dyDescent="0.25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f>'YE harvest'!E15</f>
        <v>1061</v>
      </c>
      <c r="H15" s="13" t="e">
        <f>#REF!</f>
        <v>#REF!</v>
      </c>
      <c r="I15">
        <f t="shared" si="1"/>
        <v>0</v>
      </c>
      <c r="J15">
        <f t="shared" si="4"/>
        <v>0</v>
      </c>
      <c r="K15" s="6">
        <f t="shared" si="5"/>
        <v>0</v>
      </c>
      <c r="M15" s="2">
        <f>'rockfish harvests'!O14</f>
        <v>827.25201761705193</v>
      </c>
      <c r="N15">
        <f>'rockfish harvests'!P14</f>
        <v>209489.30732140518</v>
      </c>
      <c r="Q15" s="13" t="e">
        <f>#REF!*M15</f>
        <v>#REF!</v>
      </c>
      <c r="R15" s="14" t="e">
        <f>(M15^2)*#REF!+(#REF!^2)*N15-(#REF!*N15)</f>
        <v>#REF!</v>
      </c>
      <c r="S15" t="e">
        <f t="shared" si="6"/>
        <v>#REF!</v>
      </c>
      <c r="T15" s="6" t="e">
        <f t="shared" si="7"/>
        <v>#REF!</v>
      </c>
      <c r="V15" s="13" t="e">
        <f t="shared" si="2"/>
        <v>#REF!</v>
      </c>
      <c r="W15" t="e">
        <f t="shared" si="3"/>
        <v>#REF!</v>
      </c>
      <c r="X15" t="e">
        <f t="shared" si="8"/>
        <v>#REF!</v>
      </c>
      <c r="Y15" s="6" t="e">
        <f t="shared" si="9"/>
        <v>#REF!</v>
      </c>
    </row>
    <row r="16" spans="1:30" hidden="1" x14ac:dyDescent="0.25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f>'YE harvest'!E16</f>
        <v>487</v>
      </c>
      <c r="H16" s="13" t="e">
        <f>#REF!</f>
        <v>#REF!</v>
      </c>
      <c r="I16">
        <f t="shared" si="1"/>
        <v>0</v>
      </c>
      <c r="J16">
        <f t="shared" si="4"/>
        <v>0</v>
      </c>
      <c r="K16" s="6">
        <f t="shared" si="5"/>
        <v>0</v>
      </c>
      <c r="M16" s="2">
        <f>'rockfish harvests'!O15</f>
        <v>852.74081958488568</v>
      </c>
      <c r="N16">
        <f>'rockfish harvests'!P15</f>
        <v>200039.3867927817</v>
      </c>
      <c r="Q16" s="13" t="e">
        <f>#REF!*M16</f>
        <v>#REF!</v>
      </c>
      <c r="R16" s="14" t="e">
        <f>(M16^2)*#REF!+(#REF!^2)*N16-(#REF!*N16)</f>
        <v>#REF!</v>
      </c>
      <c r="S16" t="e">
        <f t="shared" si="6"/>
        <v>#REF!</v>
      </c>
      <c r="T16" s="6" t="e">
        <f t="shared" si="7"/>
        <v>#REF!</v>
      </c>
      <c r="V16" s="13" t="e">
        <f t="shared" si="2"/>
        <v>#REF!</v>
      </c>
      <c r="W16" t="e">
        <f t="shared" si="3"/>
        <v>#REF!</v>
      </c>
      <c r="X16" t="e">
        <f t="shared" si="8"/>
        <v>#REF!</v>
      </c>
      <c r="Y16" s="6" t="e">
        <f t="shared" si="9"/>
        <v>#REF!</v>
      </c>
    </row>
    <row r="17" spans="1:25" hidden="1" x14ac:dyDescent="0.25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f>'YE harvest'!E17</f>
        <v>564</v>
      </c>
      <c r="H17" s="13" t="e">
        <f>#REF!</f>
        <v>#REF!</v>
      </c>
      <c r="I17">
        <f t="shared" si="1"/>
        <v>0</v>
      </c>
      <c r="J17">
        <f t="shared" si="4"/>
        <v>0</v>
      </c>
      <c r="K17" s="6">
        <f t="shared" si="5"/>
        <v>0</v>
      </c>
      <c r="M17" s="2">
        <f>'rockfish harvests'!O16</f>
        <v>1110.7541899441339</v>
      </c>
      <c r="N17">
        <f>'rockfish harvests'!P16</f>
        <v>261396.56419933448</v>
      </c>
      <c r="Q17" s="13" t="e">
        <f>#REF!*M17</f>
        <v>#REF!</v>
      </c>
      <c r="R17" s="14" t="e">
        <f>(M17^2)*#REF!+(#REF!^2)*N17-(#REF!*N17)</f>
        <v>#REF!</v>
      </c>
      <c r="S17" t="e">
        <f t="shared" si="6"/>
        <v>#REF!</v>
      </c>
      <c r="T17" s="6" t="e">
        <f t="shared" si="7"/>
        <v>#REF!</v>
      </c>
      <c r="V17" s="13" t="e">
        <f t="shared" si="2"/>
        <v>#REF!</v>
      </c>
      <c r="W17" t="e">
        <f t="shared" si="3"/>
        <v>#REF!</v>
      </c>
      <c r="X17" t="e">
        <f t="shared" si="8"/>
        <v>#REF!</v>
      </c>
      <c r="Y17" s="6" t="e">
        <f t="shared" si="9"/>
        <v>#REF!</v>
      </c>
    </row>
    <row r="18" spans="1:25" hidden="1" x14ac:dyDescent="0.25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f>'YE harvest'!E18</f>
        <v>473</v>
      </c>
      <c r="H18" s="13" t="e">
        <f>#REF!</f>
        <v>#REF!</v>
      </c>
      <c r="I18">
        <f t="shared" si="1"/>
        <v>0</v>
      </c>
      <c r="J18">
        <f t="shared" si="4"/>
        <v>0</v>
      </c>
      <c r="K18" s="6">
        <f t="shared" si="5"/>
        <v>0</v>
      </c>
      <c r="M18" s="2">
        <f>'rockfish harvests'!O17</f>
        <v>731.12895692786697</v>
      </c>
      <c r="N18">
        <f>'rockfish harvests'!P17</f>
        <v>125971.00775365347</v>
      </c>
      <c r="Q18" s="13" t="e">
        <f>#REF!*M18</f>
        <v>#REF!</v>
      </c>
      <c r="R18" s="14" t="e">
        <f>(M18^2)*#REF!+(#REF!^2)*N18-(#REF!*N18)</f>
        <v>#REF!</v>
      </c>
      <c r="S18" t="e">
        <f t="shared" si="6"/>
        <v>#REF!</v>
      </c>
      <c r="T18" s="6" t="e">
        <f t="shared" si="7"/>
        <v>#REF!</v>
      </c>
      <c r="V18" s="13" t="e">
        <f t="shared" si="2"/>
        <v>#REF!</v>
      </c>
      <c r="W18" t="e">
        <f t="shared" si="3"/>
        <v>#REF!</v>
      </c>
      <c r="X18" t="e">
        <f t="shared" si="8"/>
        <v>#REF!</v>
      </c>
      <c r="Y18" s="6" t="e">
        <f t="shared" si="9"/>
        <v>#REF!</v>
      </c>
    </row>
    <row r="19" spans="1:25" hidden="1" x14ac:dyDescent="0.25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f>'YE harvest'!E19</f>
        <v>580</v>
      </c>
      <c r="H19" s="13" t="e">
        <f>#REF!</f>
        <v>#REF!</v>
      </c>
      <c r="I19">
        <f t="shared" si="1"/>
        <v>0</v>
      </c>
      <c r="J19">
        <f t="shared" si="4"/>
        <v>0</v>
      </c>
      <c r="K19" s="6">
        <f t="shared" si="5"/>
        <v>0</v>
      </c>
      <c r="M19" s="2">
        <f>'rockfish harvests'!O18</f>
        <v>1234.1607301869994</v>
      </c>
      <c r="N19">
        <f>'rockfish harvests'!P18</f>
        <v>268862.96198516607</v>
      </c>
      <c r="Q19" s="13" t="e">
        <f>#REF!*M19</f>
        <v>#REF!</v>
      </c>
      <c r="R19" s="14" t="e">
        <f>(M19^2)*#REF!+(#REF!^2)*N19-(#REF!*N19)</f>
        <v>#REF!</v>
      </c>
      <c r="S19" t="e">
        <f t="shared" si="6"/>
        <v>#REF!</v>
      </c>
      <c r="T19" s="6" t="e">
        <f t="shared" si="7"/>
        <v>#REF!</v>
      </c>
      <c r="V19" s="13" t="e">
        <f t="shared" si="2"/>
        <v>#REF!</v>
      </c>
      <c r="W19" t="e">
        <f t="shared" si="3"/>
        <v>#REF!</v>
      </c>
      <c r="X19" t="e">
        <f t="shared" si="8"/>
        <v>#REF!</v>
      </c>
      <c r="Y19" s="6" t="e">
        <f t="shared" si="9"/>
        <v>#REF!</v>
      </c>
    </row>
    <row r="20" spans="1:25" hidden="1" x14ac:dyDescent="0.25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f>'YE harvest'!E20</f>
        <v>630</v>
      </c>
      <c r="H20" s="13" t="e">
        <f>#REF!</f>
        <v>#REF!</v>
      </c>
      <c r="I20">
        <f t="shared" si="1"/>
        <v>0</v>
      </c>
      <c r="J20">
        <f t="shared" si="4"/>
        <v>0</v>
      </c>
      <c r="K20" s="6">
        <f t="shared" si="5"/>
        <v>0</v>
      </c>
      <c r="M20" s="2">
        <f>'rockfish harvests'!O19</f>
        <v>1736.4958972529439</v>
      </c>
      <c r="N20">
        <f>'rockfish harvests'!P19</f>
        <v>1075446.4405794584</v>
      </c>
      <c r="Q20" s="13" t="e">
        <f>#REF!*M20</f>
        <v>#REF!</v>
      </c>
      <c r="R20" s="14" t="e">
        <f>(M20^2)*#REF!+(#REF!^2)*N20-(#REF!*N20)</f>
        <v>#REF!</v>
      </c>
      <c r="S20" t="e">
        <f t="shared" si="6"/>
        <v>#REF!</v>
      </c>
      <c r="T20" s="6" t="e">
        <f t="shared" si="7"/>
        <v>#REF!</v>
      </c>
      <c r="V20" s="13" t="e">
        <f t="shared" si="2"/>
        <v>#REF!</v>
      </c>
      <c r="W20" t="e">
        <f t="shared" si="3"/>
        <v>#REF!</v>
      </c>
      <c r="X20" t="e">
        <f t="shared" si="8"/>
        <v>#REF!</v>
      </c>
      <c r="Y20" s="6" t="e">
        <f t="shared" si="9"/>
        <v>#REF!</v>
      </c>
    </row>
    <row r="21" spans="1:25" hidden="1" x14ac:dyDescent="0.25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f>'YE harvest'!E21</f>
        <v>760</v>
      </c>
      <c r="H21" s="13" t="e">
        <f>#REF!</f>
        <v>#REF!</v>
      </c>
      <c r="I21">
        <f t="shared" si="1"/>
        <v>0</v>
      </c>
      <c r="J21">
        <f t="shared" si="4"/>
        <v>0</v>
      </c>
      <c r="K21" s="6">
        <f t="shared" si="5"/>
        <v>0</v>
      </c>
      <c r="M21" s="2">
        <f>'rockfish harvests'!O20</f>
        <v>467.58654422040308</v>
      </c>
      <c r="N21">
        <f>'rockfish harvests'!P20</f>
        <v>63684.114088437818</v>
      </c>
      <c r="Q21" s="13" t="e">
        <f>#REF!*M21</f>
        <v>#REF!</v>
      </c>
      <c r="R21" s="14" t="e">
        <f>(M21^2)*#REF!+(#REF!^2)*N21-(#REF!*N21)</f>
        <v>#REF!</v>
      </c>
      <c r="S21" t="e">
        <f t="shared" si="6"/>
        <v>#REF!</v>
      </c>
      <c r="T21" s="6" t="e">
        <f t="shared" si="7"/>
        <v>#REF!</v>
      </c>
      <c r="V21" s="13" t="e">
        <f t="shared" si="2"/>
        <v>#REF!</v>
      </c>
      <c r="W21" t="e">
        <f t="shared" si="3"/>
        <v>#REF!</v>
      </c>
      <c r="X21" t="e">
        <f t="shared" si="8"/>
        <v>#REF!</v>
      </c>
      <c r="Y21" s="6" t="e">
        <f t="shared" si="9"/>
        <v>#REF!</v>
      </c>
    </row>
    <row r="22" spans="1:25" hidden="1" x14ac:dyDescent="0.25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f>'YE harvest'!E22</f>
        <v>539</v>
      </c>
      <c r="H22" s="13" t="e">
        <f>#REF!</f>
        <v>#REF!</v>
      </c>
      <c r="I22">
        <f t="shared" si="1"/>
        <v>0</v>
      </c>
      <c r="J22">
        <f t="shared" si="4"/>
        <v>0</v>
      </c>
      <c r="K22" s="6">
        <f t="shared" si="5"/>
        <v>0</v>
      </c>
      <c r="M22" s="2">
        <f>'rockfish harvests'!O21</f>
        <v>537.74758244483019</v>
      </c>
      <c r="N22">
        <f>'rockfish harvests'!P21</f>
        <v>89663.784684390819</v>
      </c>
      <c r="Q22" s="13" t="e">
        <f>#REF!*M22</f>
        <v>#REF!</v>
      </c>
      <c r="R22" s="14" t="e">
        <f>(M22^2)*#REF!+(#REF!^2)*N22-(#REF!*N22)</f>
        <v>#REF!</v>
      </c>
      <c r="S22" t="e">
        <f t="shared" si="6"/>
        <v>#REF!</v>
      </c>
      <c r="T22" s="6" t="e">
        <f t="shared" si="7"/>
        <v>#REF!</v>
      </c>
      <c r="V22" s="13" t="e">
        <f t="shared" si="2"/>
        <v>#REF!</v>
      </c>
      <c r="W22" t="e">
        <f t="shared" si="3"/>
        <v>#REF!</v>
      </c>
      <c r="X22" t="e">
        <f t="shared" si="8"/>
        <v>#REF!</v>
      </c>
      <c r="Y22" s="6" t="e">
        <f t="shared" si="9"/>
        <v>#REF!</v>
      </c>
    </row>
    <row r="23" spans="1:25" hidden="1" x14ac:dyDescent="0.25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f>'YE harvest'!E23</f>
        <v>602</v>
      </c>
      <c r="H23" s="13" t="e">
        <f>#REF!</f>
        <v>#REF!</v>
      </c>
      <c r="I23">
        <f t="shared" si="1"/>
        <v>0</v>
      </c>
      <c r="J23">
        <f t="shared" si="4"/>
        <v>0</v>
      </c>
      <c r="K23" s="6">
        <f t="shared" si="5"/>
        <v>0</v>
      </c>
      <c r="M23" s="2">
        <f>'rockfish harvests'!O22</f>
        <v>1496.4016172506736</v>
      </c>
      <c r="N23">
        <f>'rockfish harvests'!P22</f>
        <v>412259.26032139536</v>
      </c>
      <c r="Q23" s="13" t="e">
        <f>#REF!*M23</f>
        <v>#REF!</v>
      </c>
      <c r="R23" s="14" t="e">
        <f>(M23^2)*#REF!+(#REF!^2)*N23-(#REF!*N23)</f>
        <v>#REF!</v>
      </c>
      <c r="S23" t="e">
        <f t="shared" si="6"/>
        <v>#REF!</v>
      </c>
      <c r="T23" s="6" t="e">
        <f t="shared" si="7"/>
        <v>#REF!</v>
      </c>
      <c r="V23" s="13" t="e">
        <f t="shared" si="2"/>
        <v>#REF!</v>
      </c>
      <c r="W23" t="e">
        <f t="shared" si="3"/>
        <v>#REF!</v>
      </c>
      <c r="X23" t="e">
        <f t="shared" si="8"/>
        <v>#REF!</v>
      </c>
      <c r="Y23" s="6" t="e">
        <f t="shared" si="9"/>
        <v>#REF!</v>
      </c>
    </row>
    <row r="24" spans="1:25" hidden="1" x14ac:dyDescent="0.25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f>'YE harvest'!E24</f>
        <v>1020</v>
      </c>
      <c r="I24">
        <f t="shared" ref="I24:I25" si="10">(E24^2)*G24</f>
        <v>0</v>
      </c>
      <c r="J24">
        <f t="shared" ref="J24:J25" si="11">SQRT(I24)</f>
        <v>0</v>
      </c>
      <c r="K24" s="6">
        <f t="shared" ref="K24:K25" si="12">(1.96*J24)</f>
        <v>0</v>
      </c>
      <c r="M24" s="2">
        <f>'rockfish harvests'!O23</f>
        <v>4435.3764258555148</v>
      </c>
      <c r="N24">
        <f>'rockfish harvests'!P23</f>
        <v>3560251.2769631236</v>
      </c>
      <c r="R24" s="14"/>
      <c r="S24"/>
      <c r="T24" s="6"/>
      <c r="Y24" s="6"/>
    </row>
    <row r="25" spans="1:25" hidden="1" x14ac:dyDescent="0.25">
      <c r="A25" t="str">
        <f>'rockfish harvests'!A24</f>
        <v>SC</v>
      </c>
      <c r="B25">
        <f>'rockfish harvests'!B24</f>
        <v>2020</v>
      </c>
      <c r="C25" t="str">
        <f>'rockfish harvests'!C24</f>
        <v>AFOGNAK</v>
      </c>
      <c r="D25">
        <f>'rockfish harvests'!D24</f>
        <v>5835</v>
      </c>
      <c r="E25">
        <f>'YE harvest'!E25</f>
        <v>831</v>
      </c>
      <c r="I25">
        <f t="shared" si="10"/>
        <v>0</v>
      </c>
      <c r="J25">
        <f t="shared" si="11"/>
        <v>0</v>
      </c>
      <c r="K25" s="6">
        <f t="shared" si="12"/>
        <v>0</v>
      </c>
      <c r="M25" s="2">
        <f>'rockfish harvests'!O24</f>
        <v>1752.4199820520489</v>
      </c>
      <c r="N25">
        <f>'rockfish harvests'!P24</f>
        <v>564645.39156800637</v>
      </c>
      <c r="R25" s="14"/>
      <c r="S25"/>
      <c r="T25" s="6"/>
      <c r="Y25" s="6"/>
    </row>
    <row r="26" spans="1:25" hidden="1" x14ac:dyDescent="0.25">
      <c r="A26" t="str">
        <f>'rockfish harvests'!A25</f>
        <v>SC</v>
      </c>
      <c r="B26">
        <f>'rockfish harvests'!B25</f>
        <v>2021</v>
      </c>
      <c r="C26" t="str">
        <f>'rockfish harvests'!C25</f>
        <v>AFOGNAK</v>
      </c>
      <c r="D26">
        <f>'rockfish harvests'!D25</f>
        <v>9007</v>
      </c>
      <c r="E26">
        <f>'YE harvest'!E26</f>
        <v>1077</v>
      </c>
      <c r="K26" s="6"/>
      <c r="M26" s="2">
        <f>'rockfish harvests'!O25</f>
        <v>1406.6827148896191</v>
      </c>
      <c r="N26">
        <f>'rockfish harvests'!P25</f>
        <v>336808.63980312884</v>
      </c>
      <c r="R26" s="14"/>
      <c r="S26"/>
      <c r="T26" s="6"/>
      <c r="Y26" s="6"/>
    </row>
    <row r="27" spans="1:25" hidden="1" x14ac:dyDescent="0.25">
      <c r="A27" t="s">
        <v>81</v>
      </c>
      <c r="B27">
        <v>2022</v>
      </c>
      <c r="C27" t="s">
        <v>45</v>
      </c>
      <c r="D27">
        <f>'rockfish harvests'!D26</f>
        <v>9241</v>
      </c>
      <c r="E27">
        <f>'YE harvest'!E27</f>
        <v>930</v>
      </c>
      <c r="K27" s="6"/>
      <c r="M27" s="2"/>
      <c r="R27" s="14"/>
      <c r="S27"/>
      <c r="T27" s="6"/>
      <c r="Y27" s="6"/>
    </row>
    <row r="28" spans="1:25" hidden="1" x14ac:dyDescent="0.25">
      <c r="A28" t="str">
        <f>'rockfish harvests'!A27</f>
        <v>SC</v>
      </c>
      <c r="B28">
        <f>'rockfish harvests'!B27</f>
        <v>1998</v>
      </c>
      <c r="C28" t="str">
        <f>'rockfish harvests'!C27</f>
        <v>WKMA</v>
      </c>
      <c r="D28">
        <f>'rockfish harvests'!D27</f>
        <v>148</v>
      </c>
      <c r="E28">
        <f>'YE harvest'!E28</f>
        <v>31</v>
      </c>
      <c r="F28" s="38"/>
      <c r="G28" s="39"/>
      <c r="H28" s="13">
        <f t="shared" ref="H28:H35" si="13">E28*F28</f>
        <v>0</v>
      </c>
      <c r="I28">
        <f t="shared" si="1"/>
        <v>0</v>
      </c>
      <c r="J28">
        <f t="shared" si="4"/>
        <v>0</v>
      </c>
      <c r="K28" s="6">
        <f t="shared" si="5"/>
        <v>0</v>
      </c>
      <c r="M28" s="2">
        <f>'rockfish harvests'!O27</f>
        <v>42.686604162511713</v>
      </c>
      <c r="N28">
        <f>'rockfish harvests'!P27</f>
        <v>681.09032990436276</v>
      </c>
      <c r="Q28" s="13" t="e">
        <f>#REF!*M28</f>
        <v>#REF!</v>
      </c>
      <c r="R28" s="14" t="e">
        <f>(M28^2)*#REF!+(#REF!^2)*N28-(#REF!*N28)</f>
        <v>#REF!</v>
      </c>
      <c r="S28" t="e">
        <f t="shared" si="6"/>
        <v>#REF!</v>
      </c>
      <c r="T28" s="6" t="e">
        <f t="shared" si="7"/>
        <v>#REF!</v>
      </c>
      <c r="V28" s="13" t="e">
        <f t="shared" si="2"/>
        <v>#REF!</v>
      </c>
      <c r="W28" t="e">
        <f t="shared" si="3"/>
        <v>#REF!</v>
      </c>
      <c r="X28" t="e">
        <f t="shared" si="8"/>
        <v>#REF!</v>
      </c>
      <c r="Y28" s="6" t="e">
        <f t="shared" si="9"/>
        <v>#REF!</v>
      </c>
    </row>
    <row r="29" spans="1:25" hidden="1" x14ac:dyDescent="0.25">
      <c r="A29" t="str">
        <f>'rockfish harvests'!A28</f>
        <v>SC</v>
      </c>
      <c r="B29">
        <f>'rockfish harvests'!B28</f>
        <v>1999</v>
      </c>
      <c r="C29" t="str">
        <f>'rockfish harvests'!C28</f>
        <v>WKMA</v>
      </c>
      <c r="D29">
        <f>'rockfish harvests'!D28</f>
        <v>228</v>
      </c>
      <c r="E29">
        <f>'YE harvest'!E29</f>
        <v>5</v>
      </c>
      <c r="F29" s="38"/>
      <c r="G29" s="39"/>
      <c r="H29" s="13">
        <f t="shared" si="13"/>
        <v>0</v>
      </c>
      <c r="I29">
        <f t="shared" si="1"/>
        <v>0</v>
      </c>
      <c r="J29">
        <f t="shared" si="4"/>
        <v>0</v>
      </c>
      <c r="K29" s="6">
        <f t="shared" si="5"/>
        <v>0</v>
      </c>
      <c r="M29" s="2">
        <f>'rockfish harvests'!O28</f>
        <v>65.760444250355874</v>
      </c>
      <c r="N29">
        <f>'rockfish harvests'!P28</f>
        <v>1616.4079487649926</v>
      </c>
      <c r="Q29" s="13" t="e">
        <f>#REF!*M29</f>
        <v>#REF!</v>
      </c>
      <c r="R29" s="14" t="e">
        <f>(M29^2)*#REF!+(#REF!^2)*N29-(#REF!*N29)</f>
        <v>#REF!</v>
      </c>
      <c r="S29" t="e">
        <f t="shared" si="6"/>
        <v>#REF!</v>
      </c>
      <c r="T29" s="6" t="e">
        <f t="shared" si="7"/>
        <v>#REF!</v>
      </c>
      <c r="V29" s="13" t="e">
        <f t="shared" si="2"/>
        <v>#REF!</v>
      </c>
      <c r="W29" t="e">
        <f t="shared" si="3"/>
        <v>#REF!</v>
      </c>
      <c r="X29" t="e">
        <f t="shared" si="8"/>
        <v>#REF!</v>
      </c>
      <c r="Y29" s="6" t="e">
        <f t="shared" si="9"/>
        <v>#REF!</v>
      </c>
    </row>
    <row r="30" spans="1:25" hidden="1" x14ac:dyDescent="0.25">
      <c r="A30" t="str">
        <f>'rockfish harvests'!A29</f>
        <v>SC</v>
      </c>
      <c r="B30">
        <f>'rockfish harvests'!B29</f>
        <v>2000</v>
      </c>
      <c r="C30" t="str">
        <f>'rockfish harvests'!C29</f>
        <v>WKMA</v>
      </c>
      <c r="D30">
        <f>'rockfish harvests'!D29</f>
        <v>386</v>
      </c>
      <c r="E30">
        <f>'YE harvest'!E30</f>
        <v>78</v>
      </c>
      <c r="F30" s="38"/>
      <c r="G30" s="39"/>
      <c r="H30" s="13">
        <f t="shared" si="13"/>
        <v>0</v>
      </c>
      <c r="I30">
        <f t="shared" si="1"/>
        <v>0</v>
      </c>
      <c r="J30">
        <f t="shared" si="4"/>
        <v>0</v>
      </c>
      <c r="K30" s="6">
        <f t="shared" si="5"/>
        <v>0</v>
      </c>
      <c r="M30" s="2">
        <f>'rockfish harvests'!O29</f>
        <v>111.33127842384812</v>
      </c>
      <c r="N30">
        <f>'rockfish harvests'!P29</f>
        <v>4632.9316469334572</v>
      </c>
      <c r="Q30" s="13" t="e">
        <f>#REF!*M30</f>
        <v>#REF!</v>
      </c>
      <c r="R30" s="14" t="e">
        <f>(M30^2)*#REF!+(#REF!^2)*N30-(#REF!*N30)</f>
        <v>#REF!</v>
      </c>
      <c r="S30" t="e">
        <f t="shared" si="6"/>
        <v>#REF!</v>
      </c>
      <c r="T30" s="6" t="e">
        <f t="shared" si="7"/>
        <v>#REF!</v>
      </c>
      <c r="V30" s="13" t="e">
        <f t="shared" si="2"/>
        <v>#REF!</v>
      </c>
      <c r="W30" t="e">
        <f t="shared" si="3"/>
        <v>#REF!</v>
      </c>
      <c r="X30" t="e">
        <f t="shared" si="8"/>
        <v>#REF!</v>
      </c>
      <c r="Y30" s="6" t="e">
        <f t="shared" si="9"/>
        <v>#REF!</v>
      </c>
    </row>
    <row r="31" spans="1:25" hidden="1" x14ac:dyDescent="0.25">
      <c r="A31" t="str">
        <f>'rockfish harvests'!A30</f>
        <v>SC</v>
      </c>
      <c r="B31">
        <f>'rockfish harvests'!B30</f>
        <v>2001</v>
      </c>
      <c r="C31" t="str">
        <f>'rockfish harvests'!C30</f>
        <v>WKMA</v>
      </c>
      <c r="D31">
        <f>'rockfish harvests'!D30</f>
        <v>1182</v>
      </c>
      <c r="E31">
        <f>'YE harvest'!E31</f>
        <v>24</v>
      </c>
      <c r="F31" s="38"/>
      <c r="G31" s="39"/>
      <c r="H31" s="13">
        <f t="shared" si="13"/>
        <v>0</v>
      </c>
      <c r="I31">
        <f t="shared" si="1"/>
        <v>0</v>
      </c>
      <c r="J31">
        <f t="shared" si="4"/>
        <v>0</v>
      </c>
      <c r="K31" s="6">
        <f t="shared" si="5"/>
        <v>0</v>
      </c>
      <c r="M31" s="2">
        <f>'rockfish harvests'!O30</f>
        <v>340.91598729789757</v>
      </c>
      <c r="N31">
        <f>'rockfish harvests'!P30</f>
        <v>43442.642717188777</v>
      </c>
      <c r="Q31" s="13" t="e">
        <f>#REF!*M31</f>
        <v>#REF!</v>
      </c>
      <c r="R31" s="14" t="e">
        <f>(M31^2)*#REF!+(#REF!^2)*N31-(#REF!*N31)</f>
        <v>#REF!</v>
      </c>
      <c r="S31" t="e">
        <f t="shared" si="6"/>
        <v>#REF!</v>
      </c>
      <c r="T31" s="6" t="e">
        <f t="shared" si="7"/>
        <v>#REF!</v>
      </c>
      <c r="V31" s="13" t="e">
        <f t="shared" si="2"/>
        <v>#REF!</v>
      </c>
      <c r="W31" t="e">
        <f t="shared" si="3"/>
        <v>#REF!</v>
      </c>
      <c r="X31" t="e">
        <f t="shared" si="8"/>
        <v>#REF!</v>
      </c>
      <c r="Y31" s="6" t="e">
        <f t="shared" si="9"/>
        <v>#REF!</v>
      </c>
    </row>
    <row r="32" spans="1:25" hidden="1" x14ac:dyDescent="0.25">
      <c r="A32" t="str">
        <f>'rockfish harvests'!A31</f>
        <v>SC</v>
      </c>
      <c r="B32">
        <f>'rockfish harvests'!B31</f>
        <v>2002</v>
      </c>
      <c r="C32" t="str">
        <f>'rockfish harvests'!C31</f>
        <v>WKMA</v>
      </c>
      <c r="D32">
        <f>'rockfish harvests'!D31</f>
        <v>880</v>
      </c>
      <c r="E32">
        <f>'YE harvest'!E32</f>
        <v>69</v>
      </c>
      <c r="F32" s="38"/>
      <c r="G32" s="39"/>
      <c r="H32" s="13">
        <f t="shared" si="13"/>
        <v>0</v>
      </c>
      <c r="I32">
        <f t="shared" si="1"/>
        <v>0</v>
      </c>
      <c r="J32">
        <f t="shared" si="4"/>
        <v>0</v>
      </c>
      <c r="K32" s="6">
        <f t="shared" si="5"/>
        <v>0</v>
      </c>
      <c r="M32" s="2">
        <f>'rockfish harvests'!O31</f>
        <v>253.8122409662858</v>
      </c>
      <c r="N32">
        <f>'rockfish harvests'!P31</f>
        <v>24079.453591943871</v>
      </c>
      <c r="Q32" s="13" t="e">
        <f>#REF!*M32</f>
        <v>#REF!</v>
      </c>
      <c r="R32" s="14" t="e">
        <f>(M32^2)*#REF!+(#REF!^2)*N32-(#REF!*N32)</f>
        <v>#REF!</v>
      </c>
      <c r="S32" t="e">
        <f t="shared" si="6"/>
        <v>#REF!</v>
      </c>
      <c r="T32" s="6" t="e">
        <f t="shared" si="7"/>
        <v>#REF!</v>
      </c>
      <c r="V32" s="13" t="e">
        <f t="shared" si="2"/>
        <v>#REF!</v>
      </c>
      <c r="W32" t="e">
        <f t="shared" si="3"/>
        <v>#REF!</v>
      </c>
      <c r="X32" t="e">
        <f t="shared" si="8"/>
        <v>#REF!</v>
      </c>
      <c r="Y32" s="6" t="e">
        <f t="shared" si="9"/>
        <v>#REF!</v>
      </c>
    </row>
    <row r="33" spans="1:25" hidden="1" x14ac:dyDescent="0.25">
      <c r="A33" t="str">
        <f>'rockfish harvests'!A32</f>
        <v>SC</v>
      </c>
      <c r="B33">
        <f>'rockfish harvests'!B32</f>
        <v>2003</v>
      </c>
      <c r="C33" t="str">
        <f>'rockfish harvests'!C32</f>
        <v>WKMA</v>
      </c>
      <c r="D33">
        <f>'rockfish harvests'!D32</f>
        <v>1107</v>
      </c>
      <c r="E33">
        <f>'YE harvest'!E33</f>
        <v>149</v>
      </c>
      <c r="F33" s="38"/>
      <c r="G33" s="39"/>
      <c r="H33" s="13">
        <f t="shared" si="13"/>
        <v>0</v>
      </c>
      <c r="I33">
        <f t="shared" si="1"/>
        <v>0</v>
      </c>
      <c r="J33">
        <f t="shared" si="4"/>
        <v>0</v>
      </c>
      <c r="K33" s="6">
        <f t="shared" si="5"/>
        <v>0</v>
      </c>
      <c r="M33" s="2">
        <f>'rockfish harvests'!O32</f>
        <v>319.28426221554378</v>
      </c>
      <c r="N33">
        <f>'rockfish harvests'!P32</f>
        <v>38104.522630157575</v>
      </c>
      <c r="Q33" s="13" t="e">
        <f>#REF!*M33</f>
        <v>#REF!</v>
      </c>
      <c r="R33" s="14" t="e">
        <f>(M33^2)*#REF!+(#REF!^2)*N33-(#REF!*N33)</f>
        <v>#REF!</v>
      </c>
      <c r="S33" t="e">
        <f t="shared" si="6"/>
        <v>#REF!</v>
      </c>
      <c r="T33" s="6" t="e">
        <f t="shared" si="7"/>
        <v>#REF!</v>
      </c>
      <c r="V33" s="13" t="e">
        <f t="shared" si="2"/>
        <v>#REF!</v>
      </c>
      <c r="W33" t="e">
        <f t="shared" si="3"/>
        <v>#REF!</v>
      </c>
      <c r="X33" t="e">
        <f t="shared" si="8"/>
        <v>#REF!</v>
      </c>
      <c r="Y33" s="6" t="e">
        <f t="shared" si="9"/>
        <v>#REF!</v>
      </c>
    </row>
    <row r="34" spans="1:25" hidden="1" x14ac:dyDescent="0.25">
      <c r="A34" t="str">
        <f>'rockfish harvests'!A33</f>
        <v>SC</v>
      </c>
      <c r="B34">
        <f>'rockfish harvests'!B33</f>
        <v>2004</v>
      </c>
      <c r="C34" t="str">
        <f>'rockfish harvests'!C33</f>
        <v>WKMA</v>
      </c>
      <c r="D34">
        <f>'rockfish harvests'!D33</f>
        <v>810</v>
      </c>
      <c r="E34">
        <f>'YE harvest'!E34</f>
        <v>94</v>
      </c>
      <c r="F34" s="38"/>
      <c r="G34" s="39"/>
      <c r="H34" s="13">
        <f t="shared" si="13"/>
        <v>0</v>
      </c>
      <c r="I34">
        <f t="shared" si="1"/>
        <v>0</v>
      </c>
      <c r="J34">
        <f t="shared" si="4"/>
        <v>0</v>
      </c>
      <c r="K34" s="6">
        <f t="shared" si="5"/>
        <v>0</v>
      </c>
      <c r="M34" s="2">
        <f>'rockfish harvests'!O33</f>
        <v>233.62263088942223</v>
      </c>
      <c r="N34">
        <f>'rockfish harvests'!P33</f>
        <v>20400.993674682817</v>
      </c>
      <c r="Q34" s="13" t="e">
        <f>#REF!*M34</f>
        <v>#REF!</v>
      </c>
      <c r="R34" s="14" t="e">
        <f>(M34^2)*#REF!+(#REF!^2)*N34-(#REF!*N34)</f>
        <v>#REF!</v>
      </c>
      <c r="S34" t="e">
        <f t="shared" si="6"/>
        <v>#REF!</v>
      </c>
      <c r="T34" s="6" t="e">
        <f t="shared" si="7"/>
        <v>#REF!</v>
      </c>
      <c r="V34" s="13" t="e">
        <f t="shared" si="2"/>
        <v>#REF!</v>
      </c>
      <c r="W34" t="e">
        <f t="shared" si="3"/>
        <v>#REF!</v>
      </c>
      <c r="X34" t="e">
        <f t="shared" si="8"/>
        <v>#REF!</v>
      </c>
      <c r="Y34" s="6" t="e">
        <f t="shared" si="9"/>
        <v>#REF!</v>
      </c>
    </row>
    <row r="35" spans="1:25" hidden="1" x14ac:dyDescent="0.25">
      <c r="A35" t="str">
        <f>'rockfish harvests'!A34</f>
        <v>SC</v>
      </c>
      <c r="B35">
        <f>'rockfish harvests'!B34</f>
        <v>2005</v>
      </c>
      <c r="C35" t="str">
        <f>'rockfish harvests'!C34</f>
        <v>WKMA</v>
      </c>
      <c r="D35">
        <f>'rockfish harvests'!D34</f>
        <v>1266</v>
      </c>
      <c r="E35">
        <f>'YE harvest'!E35</f>
        <v>133</v>
      </c>
      <c r="F35" s="38"/>
      <c r="G35" s="39"/>
      <c r="H35" s="13">
        <f t="shared" si="13"/>
        <v>0</v>
      </c>
      <c r="I35">
        <f t="shared" si="1"/>
        <v>0</v>
      </c>
      <c r="J35">
        <f t="shared" si="4"/>
        <v>0</v>
      </c>
      <c r="K35" s="6">
        <f t="shared" si="5"/>
        <v>0</v>
      </c>
      <c r="M35" s="2">
        <f>'rockfish harvests'!O34</f>
        <v>365.14351939013386</v>
      </c>
      <c r="N35">
        <f>'rockfish harvests'!P34</f>
        <v>49836.633162719001</v>
      </c>
      <c r="Q35" s="13" t="e">
        <f>#REF!*M35</f>
        <v>#REF!</v>
      </c>
      <c r="R35" s="14" t="e">
        <f>(M35^2)*#REF!+(#REF!^2)*N35-(#REF!*N35)</f>
        <v>#REF!</v>
      </c>
      <c r="S35" t="e">
        <f t="shared" si="6"/>
        <v>#REF!</v>
      </c>
      <c r="T35" s="6" t="e">
        <f t="shared" si="7"/>
        <v>#REF!</v>
      </c>
      <c r="V35" s="13" t="e">
        <f t="shared" si="2"/>
        <v>#REF!</v>
      </c>
      <c r="W35" t="e">
        <f t="shared" si="3"/>
        <v>#REF!</v>
      </c>
      <c r="X35" t="e">
        <f t="shared" si="8"/>
        <v>#REF!</v>
      </c>
      <c r="Y35" s="6" t="e">
        <f t="shared" si="9"/>
        <v>#REF!</v>
      </c>
    </row>
    <row r="36" spans="1:25" hidden="1" x14ac:dyDescent="0.25">
      <c r="A36" t="str">
        <f>'rockfish harvests'!A35</f>
        <v>SC</v>
      </c>
      <c r="B36">
        <f>'rockfish harvests'!B35</f>
        <v>2006</v>
      </c>
      <c r="C36" t="str">
        <f>'rockfish harvests'!C35</f>
        <v>WKMA</v>
      </c>
      <c r="D36">
        <f>'rockfish harvests'!D35</f>
        <v>737</v>
      </c>
      <c r="E36">
        <f>'YE harvest'!E36</f>
        <v>155</v>
      </c>
      <c r="H36" s="13" t="e">
        <f>#REF!</f>
        <v>#REF!</v>
      </c>
      <c r="I36">
        <f t="shared" si="1"/>
        <v>0</v>
      </c>
      <c r="J36">
        <f t="shared" si="4"/>
        <v>0</v>
      </c>
      <c r="K36" s="6">
        <f t="shared" si="5"/>
        <v>0</v>
      </c>
      <c r="M36" s="2">
        <f>'rockfish harvests'!O35</f>
        <v>212.56775180926445</v>
      </c>
      <c r="N36">
        <f>'rockfish harvests'!P35</f>
        <v>16889.47924597438</v>
      </c>
      <c r="Q36" s="13" t="e">
        <f>#REF!*M36</f>
        <v>#REF!</v>
      </c>
      <c r="R36" s="14" t="e">
        <f>(M36^2)*#REF!+(#REF!^2)*N36-(#REF!*N36)</f>
        <v>#REF!</v>
      </c>
      <c r="S36" t="e">
        <f t="shared" si="6"/>
        <v>#REF!</v>
      </c>
      <c r="T36" s="6" t="e">
        <f t="shared" si="7"/>
        <v>#REF!</v>
      </c>
      <c r="V36" s="13" t="e">
        <f t="shared" si="2"/>
        <v>#REF!</v>
      </c>
      <c r="W36" t="e">
        <f t="shared" si="3"/>
        <v>#REF!</v>
      </c>
      <c r="X36" t="e">
        <f t="shared" si="8"/>
        <v>#REF!</v>
      </c>
      <c r="Y36" s="6" t="e">
        <f t="shared" si="9"/>
        <v>#REF!</v>
      </c>
    </row>
    <row r="37" spans="1:25" hidden="1" x14ac:dyDescent="0.25">
      <c r="A37" t="str">
        <f>'rockfish harvests'!A36</f>
        <v>SC</v>
      </c>
      <c r="B37">
        <f>'rockfish harvests'!B36</f>
        <v>2007</v>
      </c>
      <c r="C37" t="str">
        <f>'rockfish harvests'!C36</f>
        <v>WKMA</v>
      </c>
      <c r="D37">
        <f>'rockfish harvests'!D36</f>
        <v>1645</v>
      </c>
      <c r="E37">
        <f>'YE harvest'!E37</f>
        <v>337</v>
      </c>
      <c r="H37" s="13" t="e">
        <f>#REF!</f>
        <v>#REF!</v>
      </c>
      <c r="I37">
        <f t="shared" si="1"/>
        <v>0</v>
      </c>
      <c r="J37">
        <f t="shared" si="4"/>
        <v>0</v>
      </c>
      <c r="K37" s="6">
        <f t="shared" si="5"/>
        <v>0</v>
      </c>
      <c r="M37" s="2">
        <f>'rockfish harvests'!O36</f>
        <v>474.45583680629579</v>
      </c>
      <c r="N37">
        <f>'rockfish harvests'!P36</f>
        <v>84142.049852969925</v>
      </c>
      <c r="Q37" s="13" t="e">
        <f>#REF!*M37</f>
        <v>#REF!</v>
      </c>
      <c r="R37" s="14" t="e">
        <f>(M37^2)*#REF!+(#REF!^2)*N37-(#REF!*N37)</f>
        <v>#REF!</v>
      </c>
      <c r="S37" t="e">
        <f t="shared" si="6"/>
        <v>#REF!</v>
      </c>
      <c r="T37" s="6" t="e">
        <f t="shared" si="7"/>
        <v>#REF!</v>
      </c>
      <c r="V37" s="13" t="e">
        <f t="shared" si="2"/>
        <v>#REF!</v>
      </c>
      <c r="W37" t="e">
        <f t="shared" si="3"/>
        <v>#REF!</v>
      </c>
      <c r="X37" t="e">
        <f t="shared" si="8"/>
        <v>#REF!</v>
      </c>
      <c r="Y37" s="6" t="e">
        <f t="shared" si="9"/>
        <v>#REF!</v>
      </c>
    </row>
    <row r="38" spans="1:25" hidden="1" x14ac:dyDescent="0.25">
      <c r="A38" t="str">
        <f>'rockfish harvests'!A37</f>
        <v>SC</v>
      </c>
      <c r="B38">
        <f>'rockfish harvests'!B37</f>
        <v>2008</v>
      </c>
      <c r="C38" t="str">
        <f>'rockfish harvests'!C37</f>
        <v>WKMA</v>
      </c>
      <c r="D38">
        <f>'rockfish harvests'!D37</f>
        <v>1196</v>
      </c>
      <c r="E38">
        <f>'YE harvest'!E38</f>
        <v>296</v>
      </c>
      <c r="H38" s="13" t="e">
        <f>#REF!</f>
        <v>#REF!</v>
      </c>
      <c r="I38">
        <f t="shared" si="1"/>
        <v>0</v>
      </c>
      <c r="J38">
        <f t="shared" si="4"/>
        <v>0</v>
      </c>
      <c r="K38" s="6">
        <f t="shared" si="5"/>
        <v>0</v>
      </c>
      <c r="M38" s="2">
        <f>'rockfish harvests'!O37</f>
        <v>344.95390931327029</v>
      </c>
      <c r="N38">
        <f>'rockfish harvests'!P37</f>
        <v>44477.835342425082</v>
      </c>
      <c r="Q38" s="13" t="e">
        <f>#REF!*M38</f>
        <v>#REF!</v>
      </c>
      <c r="R38" s="14" t="e">
        <f>(M38^2)*#REF!+(#REF!^2)*N38-(#REF!*N38)</f>
        <v>#REF!</v>
      </c>
      <c r="S38" t="e">
        <f t="shared" si="6"/>
        <v>#REF!</v>
      </c>
      <c r="T38" s="6" t="e">
        <f t="shared" si="7"/>
        <v>#REF!</v>
      </c>
      <c r="V38" s="13" t="e">
        <f t="shared" si="2"/>
        <v>#REF!</v>
      </c>
      <c r="W38" t="e">
        <f t="shared" si="3"/>
        <v>#REF!</v>
      </c>
      <c r="X38" t="e">
        <f t="shared" si="8"/>
        <v>#REF!</v>
      </c>
      <c r="Y38" s="6" t="e">
        <f t="shared" si="9"/>
        <v>#REF!</v>
      </c>
    </row>
    <row r="39" spans="1:25" hidden="1" x14ac:dyDescent="0.25">
      <c r="A39" t="str">
        <f>'rockfish harvests'!A38</f>
        <v>SC</v>
      </c>
      <c r="B39">
        <f>'rockfish harvests'!B38</f>
        <v>2009</v>
      </c>
      <c r="C39" t="str">
        <f>'rockfish harvests'!C38</f>
        <v>WKMA</v>
      </c>
      <c r="D39">
        <f>'rockfish harvests'!D38</f>
        <v>1849</v>
      </c>
      <c r="E39">
        <f>'YE harvest'!E39</f>
        <v>332</v>
      </c>
      <c r="H39" s="13" t="e">
        <f>#REF!</f>
        <v>#REF!</v>
      </c>
      <c r="I39">
        <f t="shared" si="1"/>
        <v>0</v>
      </c>
      <c r="J39">
        <f t="shared" si="4"/>
        <v>0</v>
      </c>
      <c r="K39" s="6">
        <f t="shared" si="5"/>
        <v>0</v>
      </c>
      <c r="M39" s="2">
        <f>'rockfish harvests'!O38</f>
        <v>533.29412903029834</v>
      </c>
      <c r="N39">
        <f>'rockfish harvests'!P38</f>
        <v>106305.34609967883</v>
      </c>
      <c r="Q39" s="13" t="e">
        <f>#REF!*M39</f>
        <v>#REF!</v>
      </c>
      <c r="R39" s="14" t="e">
        <f>(M39^2)*#REF!+(#REF!^2)*N39-(#REF!*N39)</f>
        <v>#REF!</v>
      </c>
      <c r="S39" t="e">
        <f t="shared" si="6"/>
        <v>#REF!</v>
      </c>
      <c r="T39" s="6" t="e">
        <f t="shared" si="7"/>
        <v>#REF!</v>
      </c>
      <c r="V39" s="13" t="e">
        <f t="shared" si="2"/>
        <v>#REF!</v>
      </c>
      <c r="W39" t="e">
        <f t="shared" si="3"/>
        <v>#REF!</v>
      </c>
      <c r="X39" t="e">
        <f t="shared" si="8"/>
        <v>#REF!</v>
      </c>
      <c r="Y39" s="6" t="e">
        <f t="shared" si="9"/>
        <v>#REF!</v>
      </c>
    </row>
    <row r="40" spans="1:25" hidden="1" x14ac:dyDescent="0.25">
      <c r="A40" t="str">
        <f>'rockfish harvests'!A39</f>
        <v>SC</v>
      </c>
      <c r="B40">
        <f>'rockfish harvests'!B39</f>
        <v>2010</v>
      </c>
      <c r="C40" t="str">
        <f>'rockfish harvests'!C39</f>
        <v>WKMA</v>
      </c>
      <c r="D40">
        <f>'rockfish harvests'!D39</f>
        <v>1266</v>
      </c>
      <c r="E40">
        <f>'YE harvest'!E40</f>
        <v>473</v>
      </c>
      <c r="H40" s="13" t="e">
        <f>#REF!</f>
        <v>#REF!</v>
      </c>
      <c r="I40">
        <f t="shared" si="1"/>
        <v>0</v>
      </c>
      <c r="J40">
        <f t="shared" si="4"/>
        <v>0</v>
      </c>
      <c r="K40" s="6">
        <f t="shared" si="5"/>
        <v>0</v>
      </c>
      <c r="M40" s="2">
        <f>'rockfish harvests'!O39</f>
        <v>365.14351939013386</v>
      </c>
      <c r="N40">
        <f>'rockfish harvests'!P39</f>
        <v>49836.633162719001</v>
      </c>
      <c r="Q40" s="13" t="e">
        <f>#REF!*M40</f>
        <v>#REF!</v>
      </c>
      <c r="R40" s="14" t="e">
        <f>(M40^2)*#REF!+(#REF!^2)*N40-(#REF!*N40)</f>
        <v>#REF!</v>
      </c>
      <c r="S40" t="e">
        <f t="shared" si="6"/>
        <v>#REF!</v>
      </c>
      <c r="T40" s="6" t="e">
        <f t="shared" si="7"/>
        <v>#REF!</v>
      </c>
      <c r="V40" s="13" t="e">
        <f t="shared" si="2"/>
        <v>#REF!</v>
      </c>
      <c r="W40" t="e">
        <f t="shared" si="3"/>
        <v>#REF!</v>
      </c>
      <c r="X40" t="e">
        <f t="shared" si="8"/>
        <v>#REF!</v>
      </c>
      <c r="Y40" s="6" t="e">
        <f t="shared" si="9"/>
        <v>#REF!</v>
      </c>
    </row>
    <row r="41" spans="1:25" hidden="1" x14ac:dyDescent="0.25">
      <c r="A41" t="str">
        <f>'rockfish harvests'!A40</f>
        <v>SC</v>
      </c>
      <c r="B41">
        <f>'rockfish harvests'!B40</f>
        <v>2011</v>
      </c>
      <c r="C41" t="str">
        <f>'rockfish harvests'!C40</f>
        <v>WKMA</v>
      </c>
      <c r="D41">
        <f>'rockfish harvests'!D40</f>
        <v>1366</v>
      </c>
      <c r="E41">
        <f>'YE harvest'!E41</f>
        <v>249</v>
      </c>
      <c r="H41" s="13" t="e">
        <f>#REF!</f>
        <v>#REF!</v>
      </c>
      <c r="I41">
        <f t="shared" si="1"/>
        <v>0</v>
      </c>
      <c r="J41">
        <f t="shared" si="4"/>
        <v>0</v>
      </c>
      <c r="K41" s="6">
        <f t="shared" si="5"/>
        <v>0</v>
      </c>
      <c r="M41" s="2">
        <f>'rockfish harvests'!O40</f>
        <v>321.1685166498487</v>
      </c>
      <c r="N41">
        <f>'rockfish harvests'!P40</f>
        <v>51469.344301835146</v>
      </c>
      <c r="Q41" s="13" t="e">
        <f>#REF!*M41</f>
        <v>#REF!</v>
      </c>
      <c r="R41" s="14" t="e">
        <f>(M41^2)*#REF!+(#REF!^2)*N41-(#REF!*N41)</f>
        <v>#REF!</v>
      </c>
      <c r="S41" t="e">
        <f t="shared" si="6"/>
        <v>#REF!</v>
      </c>
      <c r="T41" s="6" t="e">
        <f t="shared" si="7"/>
        <v>#REF!</v>
      </c>
      <c r="V41" s="13" t="e">
        <f t="shared" si="2"/>
        <v>#REF!</v>
      </c>
      <c r="W41" t="e">
        <f t="shared" si="3"/>
        <v>#REF!</v>
      </c>
      <c r="X41" t="e">
        <f t="shared" si="8"/>
        <v>#REF!</v>
      </c>
      <c r="Y41" s="6" t="e">
        <f t="shared" si="9"/>
        <v>#REF!</v>
      </c>
    </row>
    <row r="42" spans="1:25" hidden="1" x14ac:dyDescent="0.25">
      <c r="A42" t="str">
        <f>'rockfish harvests'!A41</f>
        <v>SC</v>
      </c>
      <c r="B42">
        <f>'rockfish harvests'!B41</f>
        <v>2012</v>
      </c>
      <c r="C42" t="str">
        <f>'rockfish harvests'!C41</f>
        <v>WKMA</v>
      </c>
      <c r="D42">
        <f>'rockfish harvests'!D41</f>
        <v>1747</v>
      </c>
      <c r="E42">
        <f>'YE harvest'!E42</f>
        <v>425</v>
      </c>
      <c r="H42" s="13" t="e">
        <f>#REF!</f>
        <v>#REF!</v>
      </c>
      <c r="I42">
        <f t="shared" si="1"/>
        <v>0</v>
      </c>
      <c r="J42">
        <f t="shared" si="4"/>
        <v>0</v>
      </c>
      <c r="K42" s="6">
        <f t="shared" si="5"/>
        <v>0</v>
      </c>
      <c r="M42" s="2">
        <f>'rockfish harvests'!O41</f>
        <v>1124.7026143790849</v>
      </c>
      <c r="N42">
        <f>'rockfish harvests'!P41</f>
        <v>412684.87548151758</v>
      </c>
      <c r="Q42" s="13" t="e">
        <f>#REF!*M42</f>
        <v>#REF!</v>
      </c>
      <c r="R42" s="14" t="e">
        <f>(M42^2)*#REF!+(#REF!^2)*N42-(#REF!*N42)</f>
        <v>#REF!</v>
      </c>
      <c r="S42" t="e">
        <f t="shared" si="6"/>
        <v>#REF!</v>
      </c>
      <c r="T42" s="6" t="e">
        <f t="shared" si="7"/>
        <v>#REF!</v>
      </c>
      <c r="V42" s="13" t="e">
        <f t="shared" si="2"/>
        <v>#REF!</v>
      </c>
      <c r="W42" t="e">
        <f t="shared" si="3"/>
        <v>#REF!</v>
      </c>
      <c r="X42" t="e">
        <f t="shared" si="8"/>
        <v>#REF!</v>
      </c>
      <c r="Y42" s="6" t="e">
        <f t="shared" si="9"/>
        <v>#REF!</v>
      </c>
    </row>
    <row r="43" spans="1:25" hidden="1" x14ac:dyDescent="0.25">
      <c r="A43" t="str">
        <f>'rockfish harvests'!A42</f>
        <v>SC</v>
      </c>
      <c r="B43">
        <f>'rockfish harvests'!B42</f>
        <v>2013</v>
      </c>
      <c r="C43" t="str">
        <f>'rockfish harvests'!C42</f>
        <v>WKMA</v>
      </c>
      <c r="D43">
        <f>'rockfish harvests'!D42</f>
        <v>1983</v>
      </c>
      <c r="E43">
        <f>'YE harvest'!E43</f>
        <v>357</v>
      </c>
      <c r="H43" s="13" t="e">
        <f>#REF!</f>
        <v>#REF!</v>
      </c>
      <c r="I43">
        <f t="shared" si="1"/>
        <v>0</v>
      </c>
      <c r="J43">
        <f t="shared" si="4"/>
        <v>0</v>
      </c>
      <c r="K43" s="6">
        <f t="shared" si="5"/>
        <v>0</v>
      </c>
      <c r="M43" s="2">
        <f>'rockfish harvests'!O42</f>
        <v>401.95945945945914</v>
      </c>
      <c r="N43">
        <f>'rockfish harvests'!P42</f>
        <v>69446.330827502126</v>
      </c>
      <c r="Q43" s="13" t="e">
        <f>#REF!*M43</f>
        <v>#REF!</v>
      </c>
      <c r="R43" s="14" t="e">
        <f>(M43^2)*#REF!+(#REF!^2)*N43-(#REF!*N43)</f>
        <v>#REF!</v>
      </c>
      <c r="S43" t="e">
        <f t="shared" si="6"/>
        <v>#REF!</v>
      </c>
      <c r="T43" s="6" t="e">
        <f t="shared" si="7"/>
        <v>#REF!</v>
      </c>
      <c r="V43" s="13" t="e">
        <f t="shared" si="2"/>
        <v>#REF!</v>
      </c>
      <c r="W43" t="e">
        <f t="shared" si="3"/>
        <v>#REF!</v>
      </c>
      <c r="X43" t="e">
        <f t="shared" si="8"/>
        <v>#REF!</v>
      </c>
      <c r="Y43" s="6" t="e">
        <f t="shared" si="9"/>
        <v>#REF!</v>
      </c>
    </row>
    <row r="44" spans="1:25" hidden="1" x14ac:dyDescent="0.25">
      <c r="A44" t="str">
        <f>'rockfish harvests'!A43</f>
        <v>SC</v>
      </c>
      <c r="B44">
        <f>'rockfish harvests'!B43</f>
        <v>2014</v>
      </c>
      <c r="C44" t="str">
        <f>'rockfish harvests'!C43</f>
        <v>WKMA</v>
      </c>
      <c r="D44">
        <f>'rockfish harvests'!D43</f>
        <v>2396</v>
      </c>
      <c r="E44">
        <f>'YE harvest'!E44</f>
        <v>639</v>
      </c>
      <c r="H44" s="13" t="e">
        <f>#REF!</f>
        <v>#REF!</v>
      </c>
      <c r="I44">
        <f t="shared" si="1"/>
        <v>0</v>
      </c>
      <c r="J44">
        <f t="shared" si="4"/>
        <v>0</v>
      </c>
      <c r="K44" s="6">
        <f t="shared" si="5"/>
        <v>0</v>
      </c>
      <c r="M44" s="2">
        <f>'rockfish harvests'!O43</f>
        <v>806.87092451987473</v>
      </c>
      <c r="N44">
        <f>'rockfish harvests'!P43</f>
        <v>244720.20702808804</v>
      </c>
      <c r="Q44" s="13" t="e">
        <f>#REF!*M44</f>
        <v>#REF!</v>
      </c>
      <c r="R44" s="14" t="e">
        <f>(M44^2)*#REF!+(#REF!^2)*N44-(#REF!*N44)</f>
        <v>#REF!</v>
      </c>
      <c r="S44" t="e">
        <f t="shared" si="6"/>
        <v>#REF!</v>
      </c>
      <c r="T44" s="6" t="e">
        <f t="shared" si="7"/>
        <v>#REF!</v>
      </c>
      <c r="V44" s="13" t="e">
        <f t="shared" si="2"/>
        <v>#REF!</v>
      </c>
      <c r="W44" t="e">
        <f t="shared" si="3"/>
        <v>#REF!</v>
      </c>
      <c r="X44" t="e">
        <f t="shared" si="8"/>
        <v>#REF!</v>
      </c>
      <c r="Y44" s="6" t="e">
        <f t="shared" si="9"/>
        <v>#REF!</v>
      </c>
    </row>
    <row r="45" spans="1:25" hidden="1" x14ac:dyDescent="0.25">
      <c r="A45" t="str">
        <f>'rockfish harvests'!A44</f>
        <v>SC</v>
      </c>
      <c r="B45">
        <f>'rockfish harvests'!B44</f>
        <v>2015</v>
      </c>
      <c r="C45" t="str">
        <f>'rockfish harvests'!C44</f>
        <v>WKMA</v>
      </c>
      <c r="D45">
        <f>'rockfish harvests'!D44</f>
        <v>2031</v>
      </c>
      <c r="E45">
        <f>'YE harvest'!E45</f>
        <v>367</v>
      </c>
      <c r="H45" s="13" t="e">
        <f>#REF!</f>
        <v>#REF!</v>
      </c>
      <c r="I45">
        <f t="shared" si="1"/>
        <v>0</v>
      </c>
      <c r="J45">
        <f t="shared" si="4"/>
        <v>0</v>
      </c>
      <c r="K45" s="6">
        <f t="shared" si="5"/>
        <v>0</v>
      </c>
      <c r="M45" s="2">
        <f>'rockfish harvests'!O44</f>
        <v>924.55105533371352</v>
      </c>
      <c r="N45">
        <f>'rockfish harvests'!P44</f>
        <v>669754.36895301775</v>
      </c>
      <c r="Q45" s="13" t="e">
        <f>#REF!*M45</f>
        <v>#REF!</v>
      </c>
      <c r="R45" s="14" t="e">
        <f>(M45^2)*#REF!+(#REF!^2)*N45-(#REF!*N45)</f>
        <v>#REF!</v>
      </c>
      <c r="S45" t="e">
        <f t="shared" si="6"/>
        <v>#REF!</v>
      </c>
      <c r="T45" s="6" t="e">
        <f t="shared" si="7"/>
        <v>#REF!</v>
      </c>
      <c r="V45" s="13" t="e">
        <f t="shared" si="2"/>
        <v>#REF!</v>
      </c>
      <c r="W45" t="e">
        <f t="shared" si="3"/>
        <v>#REF!</v>
      </c>
      <c r="X45" t="e">
        <f t="shared" si="8"/>
        <v>#REF!</v>
      </c>
      <c r="Y45" s="6" t="e">
        <f t="shared" si="9"/>
        <v>#REF!</v>
      </c>
    </row>
    <row r="46" spans="1:25" hidden="1" x14ac:dyDescent="0.25">
      <c r="A46" t="str">
        <f>'rockfish harvests'!A45</f>
        <v>SC</v>
      </c>
      <c r="B46">
        <f>'rockfish harvests'!B45</f>
        <v>2016</v>
      </c>
      <c r="C46" t="str">
        <f>'rockfish harvests'!C45</f>
        <v>WKMA</v>
      </c>
      <c r="D46">
        <f>'rockfish harvests'!D45</f>
        <v>3337</v>
      </c>
      <c r="E46">
        <f>'YE harvest'!E46</f>
        <v>693</v>
      </c>
      <c r="H46" s="13" t="e">
        <f>#REF!</f>
        <v>#REF!</v>
      </c>
      <c r="I46">
        <f t="shared" si="1"/>
        <v>0</v>
      </c>
      <c r="J46">
        <f t="shared" si="4"/>
        <v>0</v>
      </c>
      <c r="K46" s="6">
        <f t="shared" si="5"/>
        <v>0</v>
      </c>
      <c r="M46" s="2">
        <f>'rockfish harvests'!O45</f>
        <v>295.12697145138736</v>
      </c>
      <c r="N46">
        <f>'rockfish harvests'!P45</f>
        <v>25370.25919469192</v>
      </c>
      <c r="Q46" s="13" t="e">
        <f>#REF!*M46</f>
        <v>#REF!</v>
      </c>
      <c r="R46" s="14" t="e">
        <f>(M46^2)*#REF!+(#REF!^2)*N46-(#REF!*N46)</f>
        <v>#REF!</v>
      </c>
      <c r="S46" t="e">
        <f t="shared" si="6"/>
        <v>#REF!</v>
      </c>
      <c r="T46" s="6" t="e">
        <f t="shared" si="7"/>
        <v>#REF!</v>
      </c>
      <c r="V46" s="13" t="e">
        <f t="shared" si="2"/>
        <v>#REF!</v>
      </c>
      <c r="W46" t="e">
        <f t="shared" si="3"/>
        <v>#REF!</v>
      </c>
      <c r="X46" t="e">
        <f t="shared" si="8"/>
        <v>#REF!</v>
      </c>
      <c r="Y46" s="6" t="e">
        <f t="shared" si="9"/>
        <v>#REF!</v>
      </c>
    </row>
    <row r="47" spans="1:25" hidden="1" x14ac:dyDescent="0.25">
      <c r="A47" t="str">
        <f>'rockfish harvests'!A46</f>
        <v>SC</v>
      </c>
      <c r="B47">
        <f>'rockfish harvests'!B46</f>
        <v>2017</v>
      </c>
      <c r="C47" t="str">
        <f>'rockfish harvests'!C46</f>
        <v>WKMA</v>
      </c>
      <c r="D47">
        <f>'rockfish harvests'!D46</f>
        <v>2899</v>
      </c>
      <c r="E47">
        <f>'YE harvest'!E47</f>
        <v>598</v>
      </c>
      <c r="H47" s="13" t="e">
        <f>#REF!</f>
        <v>#REF!</v>
      </c>
      <c r="I47">
        <f t="shared" si="1"/>
        <v>0</v>
      </c>
      <c r="J47">
        <f t="shared" si="4"/>
        <v>0</v>
      </c>
      <c r="K47" s="6">
        <f t="shared" si="5"/>
        <v>0</v>
      </c>
      <c r="M47" s="2">
        <f>'rockfish harvests'!O46</f>
        <v>997.88339552238813</v>
      </c>
      <c r="N47">
        <f>'rockfish harvests'!P46</f>
        <v>341376.2270959196</v>
      </c>
      <c r="Q47" s="13" t="e">
        <f>#REF!*M47</f>
        <v>#REF!</v>
      </c>
      <c r="R47" s="14" t="e">
        <f>(M47^2)*#REF!+(#REF!^2)*N47-(#REF!*N47)</f>
        <v>#REF!</v>
      </c>
      <c r="S47" t="e">
        <f t="shared" si="6"/>
        <v>#REF!</v>
      </c>
      <c r="T47" s="6" t="e">
        <f t="shared" si="7"/>
        <v>#REF!</v>
      </c>
      <c r="V47" s="13" t="e">
        <f t="shared" si="2"/>
        <v>#REF!</v>
      </c>
      <c r="W47" t="e">
        <f t="shared" si="3"/>
        <v>#REF!</v>
      </c>
      <c r="X47" t="e">
        <f t="shared" si="8"/>
        <v>#REF!</v>
      </c>
      <c r="Y47" s="6" t="e">
        <f t="shared" si="9"/>
        <v>#REF!</v>
      </c>
    </row>
    <row r="48" spans="1:25" hidden="1" x14ac:dyDescent="0.25">
      <c r="A48" t="str">
        <f>'rockfish harvests'!A47</f>
        <v>SC</v>
      </c>
      <c r="B48">
        <f>'rockfish harvests'!B47</f>
        <v>2018</v>
      </c>
      <c r="C48" t="str">
        <f>'rockfish harvests'!C47</f>
        <v>WKMA</v>
      </c>
      <c r="D48">
        <f>'rockfish harvests'!D47</f>
        <v>4291</v>
      </c>
      <c r="E48">
        <f>'YE harvest'!E48</f>
        <v>708</v>
      </c>
      <c r="H48" s="13" t="e">
        <f>#REF!</f>
        <v>#REF!</v>
      </c>
      <c r="I48">
        <f t="shared" si="1"/>
        <v>0</v>
      </c>
      <c r="J48">
        <f t="shared" si="4"/>
        <v>0</v>
      </c>
      <c r="K48" s="6">
        <f t="shared" si="5"/>
        <v>0</v>
      </c>
      <c r="M48" s="2">
        <f>'rockfish harvests'!O47</f>
        <v>688.36627310061613</v>
      </c>
      <c r="N48">
        <f>'rockfish harvests'!P47</f>
        <v>176905.35655507445</v>
      </c>
      <c r="Q48" s="13" t="e">
        <f>#REF!*M48</f>
        <v>#REF!</v>
      </c>
      <c r="R48" s="14" t="e">
        <f>(M48^2)*#REF!+(#REF!^2)*N48-(#REF!*N48)</f>
        <v>#REF!</v>
      </c>
      <c r="S48" t="e">
        <f t="shared" si="6"/>
        <v>#REF!</v>
      </c>
      <c r="T48" s="6" t="e">
        <f t="shared" si="7"/>
        <v>#REF!</v>
      </c>
      <c r="V48" s="13" t="e">
        <f t="shared" si="2"/>
        <v>#REF!</v>
      </c>
      <c r="W48" t="e">
        <f t="shared" si="3"/>
        <v>#REF!</v>
      </c>
      <c r="X48" t="e">
        <f t="shared" si="8"/>
        <v>#REF!</v>
      </c>
      <c r="Y48" s="6" t="e">
        <f t="shared" si="9"/>
        <v>#REF!</v>
      </c>
    </row>
    <row r="49" spans="1:25" hidden="1" x14ac:dyDescent="0.25">
      <c r="A49" t="str">
        <f>'rockfish harvests'!A48</f>
        <v>SC</v>
      </c>
      <c r="B49">
        <f>'rockfish harvests'!B48</f>
        <v>2019</v>
      </c>
      <c r="C49" t="str">
        <f>'rockfish harvests'!C48</f>
        <v>WKMA</v>
      </c>
      <c r="D49">
        <f>'rockfish harvests'!D48</f>
        <v>6954</v>
      </c>
      <c r="E49">
        <f>'YE harvest'!E49</f>
        <v>1310</v>
      </c>
      <c r="I49">
        <f t="shared" ref="I49:I50" si="14">(E49^2)*G49</f>
        <v>0</v>
      </c>
      <c r="J49">
        <f t="shared" ref="J49:J50" si="15">SQRT(I49)</f>
        <v>0</v>
      </c>
      <c r="K49" s="6">
        <f t="shared" ref="K49:K50" si="16">(1.96*J49)</f>
        <v>0</v>
      </c>
      <c r="M49" s="2">
        <f>'rockfish harvests'!O48</f>
        <v>4547.8631178707237</v>
      </c>
      <c r="N49">
        <f>'rockfish harvests'!P48</f>
        <v>3743126.0537553802</v>
      </c>
      <c r="R49" s="14"/>
      <c r="S49"/>
      <c r="T49" s="6"/>
      <c r="Y49" s="6"/>
    </row>
    <row r="50" spans="1:25" hidden="1" x14ac:dyDescent="0.25">
      <c r="A50" t="str">
        <f>'rockfish harvests'!A49</f>
        <v>SC</v>
      </c>
      <c r="B50">
        <f>'rockfish harvests'!B49</f>
        <v>2020</v>
      </c>
      <c r="C50" t="str">
        <f>'rockfish harvests'!C49</f>
        <v>WKMA</v>
      </c>
      <c r="D50">
        <f>'rockfish harvests'!D49</f>
        <v>4035</v>
      </c>
      <c r="E50">
        <f>'YE harvest'!E50</f>
        <v>579</v>
      </c>
      <c r="I50">
        <f t="shared" si="14"/>
        <v>0</v>
      </c>
      <c r="J50">
        <f t="shared" si="15"/>
        <v>0</v>
      </c>
      <c r="K50" s="6">
        <f t="shared" si="16"/>
        <v>0</v>
      </c>
      <c r="M50" s="2">
        <f>'rockfish harvests'!O49</f>
        <v>763.28309305373477</v>
      </c>
      <c r="N50">
        <f>'rockfish harvests'!P49</f>
        <v>145836.37674785985</v>
      </c>
      <c r="R50" s="14"/>
      <c r="S50"/>
      <c r="T50" s="6"/>
      <c r="Y50" s="6"/>
    </row>
    <row r="51" spans="1:25" hidden="1" x14ac:dyDescent="0.25">
      <c r="A51" t="str">
        <f>'rockfish harvests'!A50</f>
        <v>SC</v>
      </c>
      <c r="B51">
        <f>'rockfish harvests'!B50</f>
        <v>2021</v>
      </c>
      <c r="C51" t="str">
        <f>'rockfish harvests'!C50</f>
        <v>WKMA</v>
      </c>
      <c r="D51">
        <f>'rockfish harvests'!D50</f>
        <v>7924</v>
      </c>
      <c r="E51">
        <f>'YE harvest'!E51</f>
        <v>1031</v>
      </c>
      <c r="K51" s="6"/>
      <c r="M51" s="2">
        <f>'rockfish harvests'!O50</f>
        <v>1237.5434476279934</v>
      </c>
      <c r="N51">
        <f>'rockfish harvests'!P50</f>
        <v>260682.47263099358</v>
      </c>
      <c r="R51" s="14"/>
      <c r="S51"/>
      <c r="T51" s="6"/>
      <c r="Y51" s="6"/>
    </row>
    <row r="52" spans="1:25" hidden="1" x14ac:dyDescent="0.25">
      <c r="A52" t="str">
        <f>'rockfish harvests'!A52</f>
        <v>SC</v>
      </c>
      <c r="B52">
        <f>'rockfish harvests'!B52</f>
        <v>1998</v>
      </c>
      <c r="C52" t="str">
        <f>'rockfish harvests'!C52</f>
        <v>SKMA</v>
      </c>
      <c r="D52">
        <f>'rockfish harvests'!D52</f>
        <v>27</v>
      </c>
      <c r="E52">
        <f>'YE harvest'!E53</f>
        <v>5</v>
      </c>
      <c r="F52" s="38"/>
      <c r="G52" s="39"/>
      <c r="H52" s="13">
        <f t="shared" ref="H52:H59" si="17">E52*F52</f>
        <v>0</v>
      </c>
      <c r="I52">
        <f t="shared" si="1"/>
        <v>0</v>
      </c>
      <c r="J52">
        <f t="shared" si="4"/>
        <v>0</v>
      </c>
      <c r="K52" s="6">
        <f t="shared" si="5"/>
        <v>0</v>
      </c>
      <c r="M52" s="2">
        <f>'rockfish harvests'!O52</f>
        <v>7.9215011476053405</v>
      </c>
      <c r="N52">
        <f>'rockfish harvests'!P52</f>
        <v>23.019267226088481</v>
      </c>
      <c r="Q52" s="13" t="e">
        <f>#REF!*M52</f>
        <v>#REF!</v>
      </c>
      <c r="R52" s="14" t="e">
        <f>(M52^2)*#REF!+(#REF!^2)*N52-(#REF!*N52)</f>
        <v>#REF!</v>
      </c>
      <c r="S52" t="e">
        <f t="shared" si="6"/>
        <v>#REF!</v>
      </c>
      <c r="T52" s="6" t="e">
        <f t="shared" si="7"/>
        <v>#REF!</v>
      </c>
      <c r="V52" s="13" t="e">
        <f t="shared" si="2"/>
        <v>#REF!</v>
      </c>
      <c r="W52" t="e">
        <f t="shared" si="3"/>
        <v>#REF!</v>
      </c>
      <c r="X52" t="e">
        <f t="shared" si="8"/>
        <v>#REF!</v>
      </c>
      <c r="Y52" s="6" t="e">
        <f t="shared" si="9"/>
        <v>#REF!</v>
      </c>
    </row>
    <row r="53" spans="1:25" hidden="1" x14ac:dyDescent="0.25">
      <c r="A53" t="str">
        <f>'rockfish harvests'!A53</f>
        <v>SC</v>
      </c>
      <c r="B53">
        <f>'rockfish harvests'!B53</f>
        <v>1999</v>
      </c>
      <c r="C53" t="str">
        <f>'rockfish harvests'!C53</f>
        <v>SKMA</v>
      </c>
      <c r="D53">
        <f>'rockfish harvests'!D53</f>
        <v>88</v>
      </c>
      <c r="E53">
        <f>'YE harvest'!E54</f>
        <v>15</v>
      </c>
      <c r="F53" s="38"/>
      <c r="G53" s="39"/>
      <c r="H53" s="13">
        <f t="shared" si="17"/>
        <v>0</v>
      </c>
      <c r="I53">
        <f t="shared" si="1"/>
        <v>0</v>
      </c>
      <c r="J53">
        <f t="shared" si="4"/>
        <v>0</v>
      </c>
      <c r="K53" s="6">
        <f t="shared" si="5"/>
        <v>0</v>
      </c>
      <c r="M53" s="2">
        <f>'rockfish harvests'!O53</f>
        <v>25.818225962565563</v>
      </c>
      <c r="N53">
        <f>'rockfish harvests'!P53</f>
        <v>244.52840246752979</v>
      </c>
      <c r="Q53" s="13" t="e">
        <f>#REF!*M53</f>
        <v>#REF!</v>
      </c>
      <c r="R53" s="14" t="e">
        <f>(M53^2)*#REF!+(#REF!^2)*N53-(#REF!*N53)</f>
        <v>#REF!</v>
      </c>
      <c r="S53" t="e">
        <f t="shared" si="6"/>
        <v>#REF!</v>
      </c>
      <c r="T53" s="6" t="e">
        <f t="shared" si="7"/>
        <v>#REF!</v>
      </c>
      <c r="V53" s="13" t="e">
        <f t="shared" si="2"/>
        <v>#REF!</v>
      </c>
      <c r="W53" t="e">
        <f t="shared" si="3"/>
        <v>#REF!</v>
      </c>
      <c r="X53" t="e">
        <f t="shared" si="8"/>
        <v>#REF!</v>
      </c>
      <c r="Y53" s="6" t="e">
        <f t="shared" si="9"/>
        <v>#REF!</v>
      </c>
    </row>
    <row r="54" spans="1:25" hidden="1" x14ac:dyDescent="0.25">
      <c r="A54" t="str">
        <f>'rockfish harvests'!A54</f>
        <v>SC</v>
      </c>
      <c r="B54">
        <f>'rockfish harvests'!B54</f>
        <v>2000</v>
      </c>
      <c r="C54" t="str">
        <f>'rockfish harvests'!C54</f>
        <v>SKMA</v>
      </c>
      <c r="D54">
        <f>'rockfish harvests'!D54</f>
        <v>65</v>
      </c>
      <c r="E54">
        <f>'YE harvest'!E55</f>
        <v>60</v>
      </c>
      <c r="F54" s="38"/>
      <c r="G54" s="39"/>
      <c r="H54" s="13">
        <f t="shared" si="17"/>
        <v>0</v>
      </c>
      <c r="I54">
        <f t="shared" si="1"/>
        <v>0</v>
      </c>
      <c r="J54">
        <f t="shared" si="4"/>
        <v>0</v>
      </c>
      <c r="K54" s="6">
        <f t="shared" si="5"/>
        <v>0</v>
      </c>
      <c r="M54" s="2">
        <f>'rockfish harvests'!O54</f>
        <v>19.070280540531371</v>
      </c>
      <c r="N54">
        <f>'rockfish harvests'!P54</f>
        <v>133.41070511690512</v>
      </c>
      <c r="Q54" s="13" t="e">
        <f>#REF!*M54</f>
        <v>#REF!</v>
      </c>
      <c r="R54" s="14" t="e">
        <f>(M54^2)*#REF!+(#REF!^2)*N54-(#REF!*N54)</f>
        <v>#REF!</v>
      </c>
      <c r="S54" t="e">
        <f t="shared" si="6"/>
        <v>#REF!</v>
      </c>
      <c r="T54" s="6" t="e">
        <f t="shared" si="7"/>
        <v>#REF!</v>
      </c>
      <c r="V54" s="13" t="e">
        <f t="shared" si="2"/>
        <v>#REF!</v>
      </c>
      <c r="W54" t="e">
        <f t="shared" si="3"/>
        <v>#REF!</v>
      </c>
      <c r="X54" t="e">
        <f t="shared" si="8"/>
        <v>#REF!</v>
      </c>
      <c r="Y54" s="6" t="e">
        <f t="shared" si="9"/>
        <v>#REF!</v>
      </c>
    </row>
    <row r="55" spans="1:25" hidden="1" x14ac:dyDescent="0.25">
      <c r="A55" t="str">
        <f>'rockfish harvests'!A55</f>
        <v>SC</v>
      </c>
      <c r="B55">
        <f>'rockfish harvests'!B55</f>
        <v>2001</v>
      </c>
      <c r="C55" t="str">
        <f>'rockfish harvests'!C55</f>
        <v>SKMA</v>
      </c>
      <c r="D55">
        <f>'rockfish harvests'!D55</f>
        <v>27</v>
      </c>
      <c r="E55">
        <f>'YE harvest'!E56</f>
        <v>19</v>
      </c>
      <c r="F55" s="38"/>
      <c r="G55" s="39"/>
      <c r="H55" s="13">
        <f t="shared" si="17"/>
        <v>0</v>
      </c>
      <c r="I55">
        <f t="shared" si="1"/>
        <v>0</v>
      </c>
      <c r="J55">
        <f t="shared" si="4"/>
        <v>0</v>
      </c>
      <c r="K55" s="6">
        <f t="shared" si="5"/>
        <v>0</v>
      </c>
      <c r="M55" s="2">
        <f>'rockfish harvests'!O55</f>
        <v>7.9215011476053405</v>
      </c>
      <c r="N55">
        <f>'rockfish harvests'!P55</f>
        <v>23.019267226088481</v>
      </c>
      <c r="Q55" s="13" t="e">
        <f>#REF!*M55</f>
        <v>#REF!</v>
      </c>
      <c r="R55" s="14" t="e">
        <f>(M55^2)*#REF!+(#REF!^2)*N55-(#REF!*N55)</f>
        <v>#REF!</v>
      </c>
      <c r="S55" t="e">
        <f t="shared" si="6"/>
        <v>#REF!</v>
      </c>
      <c r="T55" s="6" t="e">
        <f t="shared" si="7"/>
        <v>#REF!</v>
      </c>
      <c r="V55" s="13" t="e">
        <f t="shared" si="2"/>
        <v>#REF!</v>
      </c>
      <c r="W55" t="e">
        <f t="shared" si="3"/>
        <v>#REF!</v>
      </c>
      <c r="X55" t="e">
        <f t="shared" si="8"/>
        <v>#REF!</v>
      </c>
      <c r="Y55" s="6" t="e">
        <f t="shared" si="9"/>
        <v>#REF!</v>
      </c>
    </row>
    <row r="56" spans="1:25" hidden="1" x14ac:dyDescent="0.25">
      <c r="A56" t="str">
        <f>'rockfish harvests'!A56</f>
        <v>SC</v>
      </c>
      <c r="B56">
        <f>'rockfish harvests'!B56</f>
        <v>2002</v>
      </c>
      <c r="C56" t="str">
        <f>'rockfish harvests'!C56</f>
        <v>SKMA</v>
      </c>
      <c r="D56">
        <f>'rockfish harvests'!D56</f>
        <v>99</v>
      </c>
      <c r="E56">
        <f>'YE harvest'!E57</f>
        <v>11</v>
      </c>
      <c r="F56" s="38"/>
      <c r="G56" s="39"/>
      <c r="H56" s="13">
        <f t="shared" si="17"/>
        <v>0</v>
      </c>
      <c r="I56">
        <f t="shared" si="1"/>
        <v>0</v>
      </c>
      <c r="J56">
        <f t="shared" si="4"/>
        <v>0</v>
      </c>
      <c r="K56" s="6">
        <f t="shared" si="5"/>
        <v>0</v>
      </c>
      <c r="M56" s="2">
        <f>'rockfish harvests'!O56</f>
        <v>29.045504207886239</v>
      </c>
      <c r="N56">
        <f>'rockfish harvests'!P56</f>
        <v>309.48125937296737</v>
      </c>
      <c r="Q56" s="13" t="e">
        <f>#REF!*M56</f>
        <v>#REF!</v>
      </c>
      <c r="R56" s="14" t="e">
        <f>(M56^2)*#REF!+(#REF!^2)*N56-(#REF!*N56)</f>
        <v>#REF!</v>
      </c>
      <c r="S56" t="e">
        <f t="shared" si="6"/>
        <v>#REF!</v>
      </c>
      <c r="T56" s="6" t="e">
        <f t="shared" si="7"/>
        <v>#REF!</v>
      </c>
      <c r="V56" s="13" t="e">
        <f t="shared" si="2"/>
        <v>#REF!</v>
      </c>
      <c r="W56" t="e">
        <f t="shared" si="3"/>
        <v>#REF!</v>
      </c>
      <c r="X56" t="e">
        <f t="shared" si="8"/>
        <v>#REF!</v>
      </c>
      <c r="Y56" s="6" t="e">
        <f t="shared" si="9"/>
        <v>#REF!</v>
      </c>
    </row>
    <row r="57" spans="1:25" hidden="1" x14ac:dyDescent="0.25">
      <c r="A57" t="str">
        <f>'rockfish harvests'!A57</f>
        <v>SC</v>
      </c>
      <c r="B57">
        <f>'rockfish harvests'!B57</f>
        <v>2003</v>
      </c>
      <c r="C57" t="str">
        <f>'rockfish harvests'!C57</f>
        <v>SKMA</v>
      </c>
      <c r="D57">
        <f>'rockfish harvests'!D57</f>
        <v>144</v>
      </c>
      <c r="E57">
        <f>'YE harvest'!E58</f>
        <v>40</v>
      </c>
      <c r="F57" s="38"/>
      <c r="G57" s="39"/>
      <c r="H57" s="13">
        <f t="shared" si="17"/>
        <v>0</v>
      </c>
      <c r="I57">
        <f t="shared" si="1"/>
        <v>0</v>
      </c>
      <c r="J57">
        <f t="shared" si="4"/>
        <v>0</v>
      </c>
      <c r="K57" s="6">
        <f t="shared" si="5"/>
        <v>0</v>
      </c>
      <c r="M57" s="2">
        <f>'rockfish harvests'!O57</f>
        <v>42.248006120561826</v>
      </c>
      <c r="N57">
        <f>'rockfish harvests'!P57</f>
        <v>654.77026776429454</v>
      </c>
      <c r="Q57" s="13" t="e">
        <f>#REF!*M57</f>
        <v>#REF!</v>
      </c>
      <c r="R57" s="14" t="e">
        <f>(M57^2)*#REF!+(#REF!^2)*N57-(#REF!*N57)</f>
        <v>#REF!</v>
      </c>
      <c r="S57" t="e">
        <f t="shared" si="6"/>
        <v>#REF!</v>
      </c>
      <c r="T57" s="6" t="e">
        <f t="shared" si="7"/>
        <v>#REF!</v>
      </c>
      <c r="V57" s="13" t="e">
        <f t="shared" si="2"/>
        <v>#REF!</v>
      </c>
      <c r="W57" t="e">
        <f t="shared" si="3"/>
        <v>#REF!</v>
      </c>
      <c r="X57" t="e">
        <f t="shared" si="8"/>
        <v>#REF!</v>
      </c>
      <c r="Y57" s="6" t="e">
        <f t="shared" si="9"/>
        <v>#REF!</v>
      </c>
    </row>
    <row r="58" spans="1:25" hidden="1" x14ac:dyDescent="0.25">
      <c r="A58" t="str">
        <f>'rockfish harvests'!A58</f>
        <v>SC</v>
      </c>
      <c r="B58">
        <f>'rockfish harvests'!B58</f>
        <v>2004</v>
      </c>
      <c r="C58" t="str">
        <f>'rockfish harvests'!C58</f>
        <v>SKMA</v>
      </c>
      <c r="D58">
        <f>'rockfish harvests'!D58</f>
        <v>200</v>
      </c>
      <c r="E58">
        <f>'YE harvest'!E59</f>
        <v>41</v>
      </c>
      <c r="F58" s="38"/>
      <c r="G58" s="39"/>
      <c r="H58" s="13">
        <f t="shared" si="17"/>
        <v>0</v>
      </c>
      <c r="I58">
        <f t="shared" si="1"/>
        <v>0</v>
      </c>
      <c r="J58">
        <f t="shared" si="4"/>
        <v>0</v>
      </c>
      <c r="K58" s="6">
        <f t="shared" si="5"/>
        <v>0</v>
      </c>
      <c r="M58" s="2">
        <f>'rockfish harvests'!O58</f>
        <v>58.677786278558074</v>
      </c>
      <c r="N58">
        <f>'rockfish harvests'!P58</f>
        <v>1263.059930100877</v>
      </c>
      <c r="Q58" s="13" t="e">
        <f>#REF!*M58</f>
        <v>#REF!</v>
      </c>
      <c r="R58" s="14" t="e">
        <f>(M58^2)*#REF!+(#REF!^2)*N58-(#REF!*N58)</f>
        <v>#REF!</v>
      </c>
      <c r="S58" t="e">
        <f t="shared" si="6"/>
        <v>#REF!</v>
      </c>
      <c r="T58" s="6" t="e">
        <f t="shared" si="7"/>
        <v>#REF!</v>
      </c>
      <c r="V58" s="13" t="e">
        <f t="shared" si="2"/>
        <v>#REF!</v>
      </c>
      <c r="W58" t="e">
        <f t="shared" si="3"/>
        <v>#REF!</v>
      </c>
      <c r="X58" t="e">
        <f t="shared" si="8"/>
        <v>#REF!</v>
      </c>
      <c r="Y58" s="6" t="e">
        <f t="shared" si="9"/>
        <v>#REF!</v>
      </c>
    </row>
    <row r="59" spans="1:25" hidden="1" x14ac:dyDescent="0.25">
      <c r="A59" t="str">
        <f>'rockfish harvests'!A59</f>
        <v>SC</v>
      </c>
      <c r="B59">
        <f>'rockfish harvests'!B59</f>
        <v>2005</v>
      </c>
      <c r="C59" t="str">
        <f>'rockfish harvests'!C59</f>
        <v>SKMA</v>
      </c>
      <c r="D59">
        <f>'rockfish harvests'!D59</f>
        <v>287</v>
      </c>
      <c r="E59">
        <f>'YE harvest'!E60</f>
        <v>159</v>
      </c>
      <c r="F59" s="38"/>
      <c r="G59" s="39"/>
      <c r="H59" s="13">
        <f t="shared" si="17"/>
        <v>0</v>
      </c>
      <c r="I59">
        <f t="shared" si="1"/>
        <v>0</v>
      </c>
      <c r="J59">
        <f t="shared" si="4"/>
        <v>0</v>
      </c>
      <c r="K59" s="6">
        <f t="shared" si="5"/>
        <v>0</v>
      </c>
      <c r="M59" s="2">
        <f>'rockfish harvests'!O59</f>
        <v>84.202623309730882</v>
      </c>
      <c r="N59">
        <f>'rockfish harvests'!P59</f>
        <v>2600.9245845619785</v>
      </c>
      <c r="Q59" s="13" t="e">
        <f>#REF!*M59</f>
        <v>#REF!</v>
      </c>
      <c r="R59" s="14" t="e">
        <f>(M59^2)*#REF!+(#REF!^2)*N59-(#REF!*N59)</f>
        <v>#REF!</v>
      </c>
      <c r="S59" t="e">
        <f t="shared" si="6"/>
        <v>#REF!</v>
      </c>
      <c r="T59" s="6" t="e">
        <f t="shared" si="7"/>
        <v>#REF!</v>
      </c>
      <c r="V59" s="13" t="e">
        <f t="shared" si="2"/>
        <v>#REF!</v>
      </c>
      <c r="W59" t="e">
        <f t="shared" si="3"/>
        <v>#REF!</v>
      </c>
      <c r="X59" t="e">
        <f t="shared" si="8"/>
        <v>#REF!</v>
      </c>
      <c r="Y59" s="6" t="e">
        <f t="shared" si="9"/>
        <v>#REF!</v>
      </c>
    </row>
    <row r="60" spans="1:25" hidden="1" x14ac:dyDescent="0.25">
      <c r="A60" t="str">
        <f>'rockfish harvests'!A60</f>
        <v>SC</v>
      </c>
      <c r="B60">
        <f>'rockfish harvests'!B60</f>
        <v>2006</v>
      </c>
      <c r="C60" t="str">
        <f>'rockfish harvests'!C60</f>
        <v>SKMA</v>
      </c>
      <c r="D60">
        <f>'rockfish harvests'!D60</f>
        <v>303</v>
      </c>
      <c r="E60">
        <f>'YE harvest'!E61</f>
        <v>112</v>
      </c>
      <c r="G60" s="16"/>
      <c r="H60" s="13" t="e">
        <f>#REF!</f>
        <v>#REF!</v>
      </c>
      <c r="I60">
        <f t="shared" si="1"/>
        <v>0</v>
      </c>
      <c r="J60">
        <f t="shared" si="4"/>
        <v>0</v>
      </c>
      <c r="K60" s="6">
        <f t="shared" si="5"/>
        <v>0</v>
      </c>
      <c r="M60" s="2">
        <f>'rockfish harvests'!O60</f>
        <v>88.896846212015475</v>
      </c>
      <c r="N60">
        <f>'rockfish harvests'!P60</f>
        <v>2899.0067280657854</v>
      </c>
      <c r="Q60" s="13" t="e">
        <f>#REF!*M60</f>
        <v>#REF!</v>
      </c>
      <c r="R60" s="14" t="e">
        <f>(M60^2)*#REF!+(#REF!^2)*N60-(#REF!*N60)</f>
        <v>#REF!</v>
      </c>
      <c r="S60" t="e">
        <f t="shared" si="6"/>
        <v>#REF!</v>
      </c>
      <c r="T60" s="6" t="e">
        <f t="shared" si="7"/>
        <v>#REF!</v>
      </c>
      <c r="V60" s="13" t="e">
        <f t="shared" si="2"/>
        <v>#REF!</v>
      </c>
      <c r="W60" t="e">
        <f t="shared" si="3"/>
        <v>#REF!</v>
      </c>
      <c r="X60" t="e">
        <f t="shared" si="8"/>
        <v>#REF!</v>
      </c>
      <c r="Y60" s="6" t="e">
        <f t="shared" si="9"/>
        <v>#REF!</v>
      </c>
    </row>
    <row r="61" spans="1:25" hidden="1" x14ac:dyDescent="0.25">
      <c r="A61" t="str">
        <f>'rockfish harvests'!A61</f>
        <v>SC</v>
      </c>
      <c r="B61">
        <f>'rockfish harvests'!B61</f>
        <v>2007</v>
      </c>
      <c r="C61" t="str">
        <f>'rockfish harvests'!C61</f>
        <v>SKMA</v>
      </c>
      <c r="D61">
        <f>'rockfish harvests'!D61</f>
        <v>1148</v>
      </c>
      <c r="E61">
        <f>'YE harvest'!E62</f>
        <v>179</v>
      </c>
      <c r="G61" s="16"/>
      <c r="H61" s="13" t="e">
        <f>#REF!</f>
        <v>#REF!</v>
      </c>
      <c r="I61">
        <f t="shared" si="1"/>
        <v>0</v>
      </c>
      <c r="J61">
        <f t="shared" si="4"/>
        <v>0</v>
      </c>
      <c r="K61" s="6">
        <f t="shared" si="5"/>
        <v>0</v>
      </c>
      <c r="M61" s="2">
        <f>'rockfish harvests'!O61</f>
        <v>336.81049323892353</v>
      </c>
      <c r="N61">
        <f>'rockfish harvests'!P61</f>
        <v>41614.793352991655</v>
      </c>
      <c r="Q61" s="13" t="e">
        <f>#REF!*M61</f>
        <v>#REF!</v>
      </c>
      <c r="R61" s="14" t="e">
        <f>(M61^2)*#REF!+(#REF!^2)*N61-(#REF!*N61)</f>
        <v>#REF!</v>
      </c>
      <c r="S61" t="e">
        <f t="shared" si="6"/>
        <v>#REF!</v>
      </c>
      <c r="T61" s="6" t="e">
        <f t="shared" si="7"/>
        <v>#REF!</v>
      </c>
      <c r="V61" s="13" t="e">
        <f t="shared" si="2"/>
        <v>#REF!</v>
      </c>
      <c r="W61" t="e">
        <f t="shared" si="3"/>
        <v>#REF!</v>
      </c>
      <c r="X61" t="e">
        <f t="shared" si="8"/>
        <v>#REF!</v>
      </c>
      <c r="Y61" s="6" t="e">
        <f t="shared" si="9"/>
        <v>#REF!</v>
      </c>
    </row>
    <row r="62" spans="1:25" hidden="1" x14ac:dyDescent="0.25">
      <c r="A62" t="str">
        <f>'rockfish harvests'!A62</f>
        <v>SC</v>
      </c>
      <c r="B62">
        <f>'rockfish harvests'!B62</f>
        <v>2008</v>
      </c>
      <c r="C62" t="str">
        <f>'rockfish harvests'!C62</f>
        <v>SKMA</v>
      </c>
      <c r="D62">
        <f>'rockfish harvests'!D62</f>
        <v>1130</v>
      </c>
      <c r="E62">
        <f>'YE harvest'!E63</f>
        <v>88</v>
      </c>
      <c r="G62" s="16"/>
      <c r="H62" s="13" t="e">
        <f>#REF!</f>
        <v>#REF!</v>
      </c>
      <c r="I62">
        <f t="shared" si="1"/>
        <v>0</v>
      </c>
      <c r="J62">
        <f t="shared" si="4"/>
        <v>0</v>
      </c>
      <c r="K62" s="6">
        <f t="shared" si="5"/>
        <v>0</v>
      </c>
      <c r="M62" s="2">
        <f>'rockfish harvests'!O62</f>
        <v>331.52949247385322</v>
      </c>
      <c r="N62">
        <f>'rockfish harvests'!P62</f>
        <v>40320.030618645244</v>
      </c>
      <c r="Q62" s="13" t="e">
        <f>#REF!*M62</f>
        <v>#REF!</v>
      </c>
      <c r="R62" s="14" t="e">
        <f>(M62^2)*#REF!+(#REF!^2)*N62-(#REF!*N62)</f>
        <v>#REF!</v>
      </c>
      <c r="S62" t="e">
        <f t="shared" si="6"/>
        <v>#REF!</v>
      </c>
      <c r="T62" s="6" t="e">
        <f t="shared" si="7"/>
        <v>#REF!</v>
      </c>
      <c r="V62" s="13" t="e">
        <f t="shared" si="2"/>
        <v>#REF!</v>
      </c>
      <c r="W62" t="e">
        <f t="shared" si="3"/>
        <v>#REF!</v>
      </c>
      <c r="X62" t="e">
        <f t="shared" si="8"/>
        <v>#REF!</v>
      </c>
      <c r="Y62" s="6" t="e">
        <f t="shared" si="9"/>
        <v>#REF!</v>
      </c>
    </row>
    <row r="63" spans="1:25" hidden="1" x14ac:dyDescent="0.25">
      <c r="A63" t="str">
        <f>'rockfish harvests'!A63</f>
        <v>SC</v>
      </c>
      <c r="B63">
        <f>'rockfish harvests'!B63</f>
        <v>2009</v>
      </c>
      <c r="C63" t="str">
        <f>'rockfish harvests'!C63</f>
        <v>SKMA</v>
      </c>
      <c r="D63">
        <f>'rockfish harvests'!D63</f>
        <v>810</v>
      </c>
      <c r="E63">
        <f>'YE harvest'!E64</f>
        <v>89</v>
      </c>
      <c r="G63" s="16"/>
      <c r="H63" s="13" t="e">
        <f>#REF!</f>
        <v>#REF!</v>
      </c>
      <c r="I63">
        <f t="shared" si="1"/>
        <v>0</v>
      </c>
      <c r="J63">
        <f t="shared" si="4"/>
        <v>0</v>
      </c>
      <c r="K63" s="6">
        <f t="shared" si="5"/>
        <v>0</v>
      </c>
      <c r="M63" s="2">
        <f>'rockfish harvests'!O63</f>
        <v>237.64503442816022</v>
      </c>
      <c r="N63">
        <f>'rockfish harvests'!P63</f>
        <v>20717.340503479634</v>
      </c>
      <c r="Q63" s="13" t="e">
        <f>#REF!*M63</f>
        <v>#REF!</v>
      </c>
      <c r="R63" s="14" t="e">
        <f>(M63^2)*#REF!+(#REF!^2)*N63-(#REF!*N63)</f>
        <v>#REF!</v>
      </c>
      <c r="S63" t="e">
        <f t="shared" si="6"/>
        <v>#REF!</v>
      </c>
      <c r="T63" s="6" t="e">
        <f t="shared" si="7"/>
        <v>#REF!</v>
      </c>
      <c r="V63" s="13" t="e">
        <f t="shared" si="2"/>
        <v>#REF!</v>
      </c>
      <c r="W63" t="e">
        <f t="shared" si="3"/>
        <v>#REF!</v>
      </c>
      <c r="X63" t="e">
        <f t="shared" si="8"/>
        <v>#REF!</v>
      </c>
      <c r="Y63" s="6" t="e">
        <f t="shared" si="9"/>
        <v>#REF!</v>
      </c>
    </row>
    <row r="64" spans="1:25" hidden="1" x14ac:dyDescent="0.25">
      <c r="A64" t="str">
        <f>'rockfish harvests'!A64</f>
        <v>SC</v>
      </c>
      <c r="B64">
        <f>'rockfish harvests'!B64</f>
        <v>2010</v>
      </c>
      <c r="C64" t="str">
        <f>'rockfish harvests'!C64</f>
        <v>SKMA</v>
      </c>
      <c r="D64">
        <f>'rockfish harvests'!D64</f>
        <v>644</v>
      </c>
      <c r="E64">
        <f>'YE harvest'!E65</f>
        <v>244</v>
      </c>
      <c r="G64" s="16"/>
      <c r="H64" s="13" t="e">
        <f>#REF!</f>
        <v>#REF!</v>
      </c>
      <c r="I64">
        <f t="shared" si="1"/>
        <v>0</v>
      </c>
      <c r="J64">
        <f t="shared" si="4"/>
        <v>0</v>
      </c>
      <c r="K64" s="6">
        <f t="shared" si="5"/>
        <v>0</v>
      </c>
      <c r="M64" s="2">
        <f>'rockfish harvests'!O64</f>
        <v>188.94247181695698</v>
      </c>
      <c r="N64">
        <f>'rockfish harvests'!P64</f>
        <v>13095.910579257932</v>
      </c>
      <c r="Q64" s="13" t="e">
        <f>#REF!*M64</f>
        <v>#REF!</v>
      </c>
      <c r="R64" s="14" t="e">
        <f>(M64^2)*#REF!+(#REF!^2)*N64-(#REF!*N64)</f>
        <v>#REF!</v>
      </c>
      <c r="S64" t="e">
        <f t="shared" si="6"/>
        <v>#REF!</v>
      </c>
      <c r="T64" s="6" t="e">
        <f t="shared" si="7"/>
        <v>#REF!</v>
      </c>
      <c r="V64" s="13" t="e">
        <f t="shared" si="2"/>
        <v>#REF!</v>
      </c>
      <c r="W64" t="e">
        <f t="shared" si="3"/>
        <v>#REF!</v>
      </c>
      <c r="X64" t="e">
        <f t="shared" si="8"/>
        <v>#REF!</v>
      </c>
      <c r="Y64" s="6" t="e">
        <f t="shared" si="9"/>
        <v>#REF!</v>
      </c>
    </row>
    <row r="65" spans="1:25" hidden="1" x14ac:dyDescent="0.25">
      <c r="A65" t="str">
        <f>'rockfish harvests'!A65</f>
        <v>SC</v>
      </c>
      <c r="B65">
        <f>'rockfish harvests'!B65</f>
        <v>2011</v>
      </c>
      <c r="C65" t="str">
        <f>'rockfish harvests'!C65</f>
        <v>SKMA</v>
      </c>
      <c r="D65">
        <f>'rockfish harvests'!D65</f>
        <v>689</v>
      </c>
      <c r="E65">
        <f>'YE harvest'!E66</f>
        <v>137</v>
      </c>
      <c r="G65" s="16"/>
      <c r="H65" s="13" t="e">
        <f>#REF!</f>
        <v>#REF!</v>
      </c>
      <c r="I65">
        <f t="shared" si="1"/>
        <v>0</v>
      </c>
      <c r="J65">
        <f t="shared" si="4"/>
        <v>0</v>
      </c>
      <c r="K65" s="6">
        <f t="shared" si="5"/>
        <v>0</v>
      </c>
      <c r="M65" s="2">
        <f>'rockfish harvests'!O65</f>
        <v>161.99495459132186</v>
      </c>
      <c r="N65">
        <f>'rockfish harvests'!P65</f>
        <v>13094.402331197241</v>
      </c>
      <c r="Q65" s="13" t="e">
        <f>#REF!*M65</f>
        <v>#REF!</v>
      </c>
      <c r="R65" s="14" t="e">
        <f>(M65^2)*#REF!+(#REF!^2)*N65-(#REF!*N65)</f>
        <v>#REF!</v>
      </c>
      <c r="S65" t="e">
        <f t="shared" si="6"/>
        <v>#REF!</v>
      </c>
      <c r="T65" s="6" t="e">
        <f t="shared" si="7"/>
        <v>#REF!</v>
      </c>
      <c r="V65" s="13" t="e">
        <f t="shared" si="2"/>
        <v>#REF!</v>
      </c>
      <c r="W65" t="e">
        <f t="shared" si="3"/>
        <v>#REF!</v>
      </c>
      <c r="X65" t="e">
        <f t="shared" si="8"/>
        <v>#REF!</v>
      </c>
      <c r="Y65" s="6" t="e">
        <f t="shared" si="9"/>
        <v>#REF!</v>
      </c>
    </row>
    <row r="66" spans="1:25" hidden="1" x14ac:dyDescent="0.25">
      <c r="A66" t="str">
        <f>'rockfish harvests'!A66</f>
        <v>SC</v>
      </c>
      <c r="B66">
        <f>'rockfish harvests'!B66</f>
        <v>2012</v>
      </c>
      <c r="C66" t="str">
        <f>'rockfish harvests'!C66</f>
        <v>SKMA</v>
      </c>
      <c r="D66">
        <f>'rockfish harvests'!D66</f>
        <v>918</v>
      </c>
      <c r="E66">
        <f>'YE harvest'!E67</f>
        <v>350</v>
      </c>
      <c r="G66" s="16"/>
      <c r="H66" s="13" t="e">
        <f>#REF!</f>
        <v>#REF!</v>
      </c>
      <c r="I66">
        <f t="shared" si="1"/>
        <v>0</v>
      </c>
      <c r="J66">
        <f t="shared" si="4"/>
        <v>0</v>
      </c>
      <c r="K66" s="6">
        <f t="shared" si="5"/>
        <v>0</v>
      </c>
      <c r="M66" s="2">
        <f>'rockfish harvests'!O66</f>
        <v>591</v>
      </c>
      <c r="N66">
        <f>'rockfish harvests'!P66</f>
        <v>113950.9906442892</v>
      </c>
      <c r="Q66" s="13" t="e">
        <f>#REF!*M66</f>
        <v>#REF!</v>
      </c>
      <c r="R66" s="14" t="e">
        <f>(M66^2)*#REF!+(#REF!^2)*N66-(#REF!*N66)</f>
        <v>#REF!</v>
      </c>
      <c r="S66" t="e">
        <f t="shared" si="6"/>
        <v>#REF!</v>
      </c>
      <c r="T66" s="6" t="e">
        <f t="shared" si="7"/>
        <v>#REF!</v>
      </c>
      <c r="V66" s="13" t="e">
        <f t="shared" si="2"/>
        <v>#REF!</v>
      </c>
      <c r="W66" t="e">
        <f t="shared" si="3"/>
        <v>#REF!</v>
      </c>
      <c r="X66" t="e">
        <f t="shared" si="8"/>
        <v>#REF!</v>
      </c>
      <c r="Y66" s="6" t="e">
        <f t="shared" si="9"/>
        <v>#REF!</v>
      </c>
    </row>
    <row r="67" spans="1:25" hidden="1" x14ac:dyDescent="0.25">
      <c r="A67" t="str">
        <f>'rockfish harvests'!A67</f>
        <v>SC</v>
      </c>
      <c r="B67">
        <f>'rockfish harvests'!B67</f>
        <v>2013</v>
      </c>
      <c r="C67" t="str">
        <f>'rockfish harvests'!C67</f>
        <v>SKMA</v>
      </c>
      <c r="D67">
        <f>'rockfish harvests'!D67</f>
        <v>1035</v>
      </c>
      <c r="E67">
        <f>'YE harvest'!E68</f>
        <v>167</v>
      </c>
      <c r="G67" s="16"/>
      <c r="H67" s="13" t="e">
        <f>#REF!</f>
        <v>#REF!</v>
      </c>
      <c r="I67">
        <f t="shared" si="1"/>
        <v>0</v>
      </c>
      <c r="J67">
        <f t="shared" si="4"/>
        <v>0</v>
      </c>
      <c r="K67" s="6">
        <f t="shared" si="5"/>
        <v>0</v>
      </c>
      <c r="M67" s="2">
        <f>'rockfish harvests'!O67</f>
        <v>209.79729729729729</v>
      </c>
      <c r="N67">
        <f>'rockfish harvests'!P67</f>
        <v>18918.407507863983</v>
      </c>
      <c r="Q67" s="13" t="e">
        <f>#REF!*M67</f>
        <v>#REF!</v>
      </c>
      <c r="R67" s="14" t="e">
        <f>(M67^2)*#REF!+(#REF!^2)*N67-(#REF!*N67)</f>
        <v>#REF!</v>
      </c>
      <c r="S67" t="e">
        <f t="shared" si="6"/>
        <v>#REF!</v>
      </c>
      <c r="T67" s="6" t="e">
        <f t="shared" si="7"/>
        <v>#REF!</v>
      </c>
      <c r="V67" s="13" t="e">
        <f t="shared" si="2"/>
        <v>#REF!</v>
      </c>
      <c r="W67" t="e">
        <f t="shared" si="3"/>
        <v>#REF!</v>
      </c>
      <c r="X67" t="e">
        <f t="shared" si="8"/>
        <v>#REF!</v>
      </c>
      <c r="Y67" s="6" t="e">
        <f t="shared" si="9"/>
        <v>#REF!</v>
      </c>
    </row>
    <row r="68" spans="1:25" hidden="1" x14ac:dyDescent="0.25">
      <c r="A68" t="str">
        <f>'rockfish harvests'!A68</f>
        <v>SC</v>
      </c>
      <c r="B68">
        <f>'rockfish harvests'!B68</f>
        <v>2014</v>
      </c>
      <c r="C68" t="str">
        <f>'rockfish harvests'!C68</f>
        <v>SKMA</v>
      </c>
      <c r="D68">
        <f>'rockfish harvests'!D68</f>
        <v>653</v>
      </c>
      <c r="E68">
        <f>'YE harvest'!E69</f>
        <v>96</v>
      </c>
      <c r="G68" s="16"/>
      <c r="H68" s="13" t="e">
        <f>#REF!</f>
        <v>#REF!</v>
      </c>
      <c r="I68">
        <f t="shared" si="1"/>
        <v>0</v>
      </c>
      <c r="J68">
        <f t="shared" si="4"/>
        <v>0</v>
      </c>
      <c r="K68" s="6">
        <f t="shared" si="5"/>
        <v>0</v>
      </c>
      <c r="M68" s="2">
        <f>'rockfish harvests'!O68</f>
        <v>219.90263510495754</v>
      </c>
      <c r="N68">
        <f>'rockfish harvests'!P68</f>
        <v>18177.015037346606</v>
      </c>
      <c r="Q68" s="13" t="e">
        <f>#REF!*M68</f>
        <v>#REF!</v>
      </c>
      <c r="R68" s="14" t="e">
        <f>(M68^2)*#REF!+(#REF!^2)*N68-(#REF!*N68)</f>
        <v>#REF!</v>
      </c>
      <c r="S68" t="e">
        <f t="shared" si="6"/>
        <v>#REF!</v>
      </c>
      <c r="T68" s="6" t="e">
        <f t="shared" si="7"/>
        <v>#REF!</v>
      </c>
      <c r="V68" s="13" t="e">
        <f t="shared" si="2"/>
        <v>#REF!</v>
      </c>
      <c r="W68" t="e">
        <f t="shared" si="3"/>
        <v>#REF!</v>
      </c>
      <c r="X68" t="e">
        <f t="shared" si="8"/>
        <v>#REF!</v>
      </c>
      <c r="Y68" s="6" t="e">
        <f t="shared" si="9"/>
        <v>#REF!</v>
      </c>
    </row>
    <row r="69" spans="1:25" hidden="1" x14ac:dyDescent="0.25">
      <c r="A69" t="str">
        <f>'rockfish harvests'!A69</f>
        <v>SC</v>
      </c>
      <c r="B69">
        <f>'rockfish harvests'!B69</f>
        <v>2015</v>
      </c>
      <c r="C69" t="str">
        <f>'rockfish harvests'!C69</f>
        <v>SKMA</v>
      </c>
      <c r="D69">
        <f>'rockfish harvests'!D69</f>
        <v>619</v>
      </c>
      <c r="E69">
        <f>'YE harvest'!E70</f>
        <v>72</v>
      </c>
      <c r="G69" s="16"/>
      <c r="H69" s="13" t="e">
        <f>#REF!</f>
        <v>#REF!</v>
      </c>
      <c r="I69">
        <f t="shared" si="1"/>
        <v>0</v>
      </c>
      <c r="J69">
        <f t="shared" si="4"/>
        <v>0</v>
      </c>
      <c r="K69" s="6">
        <f t="shared" si="5"/>
        <v>0</v>
      </c>
      <c r="M69" s="2">
        <f>'rockfish harvests'!O69</f>
        <v>281.78094694808897</v>
      </c>
      <c r="N69">
        <f>'rockfish harvests'!P69</f>
        <v>62212.407283949418</v>
      </c>
      <c r="Q69" s="13" t="e">
        <f>#REF!*M69</f>
        <v>#REF!</v>
      </c>
      <c r="R69" s="14" t="e">
        <f>(M69^2)*#REF!+(#REF!^2)*N69-(#REF!*N69)</f>
        <v>#REF!</v>
      </c>
      <c r="S69" t="e">
        <f t="shared" si="6"/>
        <v>#REF!</v>
      </c>
      <c r="T69" s="6" t="e">
        <f t="shared" si="7"/>
        <v>#REF!</v>
      </c>
      <c r="V69" s="13" t="e">
        <f t="shared" si="2"/>
        <v>#REF!</v>
      </c>
      <c r="W69" t="e">
        <f t="shared" si="3"/>
        <v>#REF!</v>
      </c>
      <c r="X69" t="e">
        <f t="shared" si="8"/>
        <v>#REF!</v>
      </c>
      <c r="Y69" s="6" t="e">
        <f t="shared" si="9"/>
        <v>#REF!</v>
      </c>
    </row>
    <row r="70" spans="1:25" hidden="1" x14ac:dyDescent="0.25">
      <c r="A70" t="str">
        <f>'rockfish harvests'!A70</f>
        <v>SC</v>
      </c>
      <c r="B70">
        <f>'rockfish harvests'!B70</f>
        <v>2016</v>
      </c>
      <c r="C70" t="str">
        <f>'rockfish harvests'!C70</f>
        <v>SKMA</v>
      </c>
      <c r="D70">
        <f>'rockfish harvests'!D70</f>
        <v>804</v>
      </c>
      <c r="E70">
        <f>'YE harvest'!E71</f>
        <v>91</v>
      </c>
      <c r="G70" s="16"/>
      <c r="H70" s="13" t="e">
        <f>#REF!</f>
        <v>#REF!</v>
      </c>
      <c r="I70">
        <f t="shared" si="1"/>
        <v>0</v>
      </c>
      <c r="J70">
        <f t="shared" si="4"/>
        <v>0</v>
      </c>
      <c r="K70" s="6">
        <f t="shared" si="5"/>
        <v>0</v>
      </c>
      <c r="M70" s="2">
        <f>'rockfish harvests'!O70</f>
        <v>94.418789808917268</v>
      </c>
      <c r="N70">
        <f>'rockfish harvests'!P70</f>
        <v>4384.8563398414108</v>
      </c>
      <c r="Q70" s="13" t="e">
        <f>#REF!*M70</f>
        <v>#REF!</v>
      </c>
      <c r="R70" s="14" t="e">
        <f>(M70^2)*#REF!+(#REF!^2)*N70-(#REF!*N70)</f>
        <v>#REF!</v>
      </c>
      <c r="S70" t="e">
        <f t="shared" si="6"/>
        <v>#REF!</v>
      </c>
      <c r="T70" s="6" t="e">
        <f t="shared" si="7"/>
        <v>#REF!</v>
      </c>
      <c r="V70" s="13" t="e">
        <f t="shared" si="2"/>
        <v>#REF!</v>
      </c>
      <c r="W70" t="e">
        <f t="shared" si="3"/>
        <v>#REF!</v>
      </c>
      <c r="X70" t="e">
        <f t="shared" si="8"/>
        <v>#REF!</v>
      </c>
      <c r="Y70" s="6" t="e">
        <f t="shared" si="9"/>
        <v>#REF!</v>
      </c>
    </row>
    <row r="71" spans="1:25" hidden="1" x14ac:dyDescent="0.25">
      <c r="A71" t="str">
        <f>'rockfish harvests'!A71</f>
        <v>SC</v>
      </c>
      <c r="B71">
        <f>'rockfish harvests'!B71</f>
        <v>2017</v>
      </c>
      <c r="C71" t="str">
        <f>'rockfish harvests'!C71</f>
        <v>SKMA</v>
      </c>
      <c r="D71">
        <f>'rockfish harvests'!D71</f>
        <v>666</v>
      </c>
      <c r="E71">
        <f>'YE harvest'!E72</f>
        <v>59</v>
      </c>
      <c r="G71" s="16"/>
      <c r="H71" s="13" t="e">
        <f>#REF!</f>
        <v>#REF!</v>
      </c>
      <c r="I71">
        <f t="shared" si="1"/>
        <v>0</v>
      </c>
      <c r="J71">
        <f t="shared" si="4"/>
        <v>0</v>
      </c>
      <c r="K71" s="6">
        <f t="shared" si="5"/>
        <v>0</v>
      </c>
      <c r="M71" s="2">
        <f>'rockfish harvests'!O71</f>
        <v>229.24813432835822</v>
      </c>
      <c r="N71">
        <f>'rockfish harvests'!P71</f>
        <v>18017.117128178837</v>
      </c>
      <c r="Q71" s="13" t="e">
        <f>#REF!*M71</f>
        <v>#REF!</v>
      </c>
      <c r="R71" s="14" t="e">
        <f>(M71^2)*#REF!+(#REF!^2)*N71-(#REF!*N71)</f>
        <v>#REF!</v>
      </c>
      <c r="S71" t="e">
        <f t="shared" si="6"/>
        <v>#REF!</v>
      </c>
      <c r="T71" s="6" t="e">
        <f t="shared" si="7"/>
        <v>#REF!</v>
      </c>
      <c r="V71" s="13" t="e">
        <f t="shared" si="2"/>
        <v>#REF!</v>
      </c>
      <c r="W71" t="e">
        <f t="shared" si="3"/>
        <v>#REF!</v>
      </c>
      <c r="X71" t="e">
        <f t="shared" si="8"/>
        <v>#REF!</v>
      </c>
      <c r="Y71" s="6" t="e">
        <f t="shared" si="9"/>
        <v>#REF!</v>
      </c>
    </row>
    <row r="72" spans="1:25" hidden="1" x14ac:dyDescent="0.25">
      <c r="A72" t="str">
        <f>'rockfish harvests'!A72</f>
        <v>SC</v>
      </c>
      <c r="B72">
        <f>'rockfish harvests'!B72</f>
        <v>2018</v>
      </c>
      <c r="C72" t="str">
        <f>'rockfish harvests'!C72</f>
        <v>SKMA</v>
      </c>
      <c r="D72">
        <f>'rockfish harvests'!D72</f>
        <v>671</v>
      </c>
      <c r="E72">
        <f>'YE harvest'!E73</f>
        <v>72</v>
      </c>
      <c r="G72" s="16"/>
      <c r="H72" s="13" t="e">
        <f>#REF!</f>
        <v>#REF!</v>
      </c>
      <c r="I72">
        <f t="shared" si="1"/>
        <v>0</v>
      </c>
      <c r="J72">
        <f t="shared" si="4"/>
        <v>0</v>
      </c>
      <c r="K72" s="6">
        <f t="shared" si="5"/>
        <v>0</v>
      </c>
      <c r="M72" s="2">
        <f>'rockfish harvests'!O72</f>
        <v>107.64245379876797</v>
      </c>
      <c r="N72">
        <f>'rockfish harvests'!P72</f>
        <v>4325.8254808581805</v>
      </c>
      <c r="Q72" s="13" t="e">
        <f>#REF!*M72</f>
        <v>#REF!</v>
      </c>
      <c r="R72" s="14" t="e">
        <f>(M72^2)*#REF!+(#REF!^2)*N72-(#REF!*N72)</f>
        <v>#REF!</v>
      </c>
      <c r="S72" t="e">
        <f t="shared" si="6"/>
        <v>#REF!</v>
      </c>
      <c r="T72" s="6" t="e">
        <f t="shared" si="7"/>
        <v>#REF!</v>
      </c>
      <c r="V72" s="13" t="e">
        <f t="shared" si="2"/>
        <v>#REF!</v>
      </c>
      <c r="W72" t="e">
        <f t="shared" si="3"/>
        <v>#REF!</v>
      </c>
      <c r="X72" t="e">
        <f t="shared" si="8"/>
        <v>#REF!</v>
      </c>
      <c r="Y72" s="6" t="e">
        <f t="shared" si="9"/>
        <v>#REF!</v>
      </c>
    </row>
    <row r="73" spans="1:25" hidden="1" x14ac:dyDescent="0.25">
      <c r="A73" t="str">
        <f>'rockfish harvests'!A73</f>
        <v>SC</v>
      </c>
      <c r="B73">
        <f>'rockfish harvests'!B73</f>
        <v>2019</v>
      </c>
      <c r="C73" t="str">
        <f>'rockfish harvests'!C73</f>
        <v>SKMA</v>
      </c>
      <c r="D73">
        <f>'rockfish harvests'!D73</f>
        <v>716</v>
      </c>
      <c r="E73">
        <f>'YE harvest'!E74</f>
        <v>128</v>
      </c>
      <c r="G73" s="16"/>
      <c r="I73">
        <f t="shared" ref="I73:I74" si="18">(E73^2)*G73</f>
        <v>0</v>
      </c>
      <c r="J73">
        <f t="shared" ref="J73:J74" si="19">SQRT(I73)</f>
        <v>0</v>
      </c>
      <c r="K73" s="6">
        <f t="shared" ref="K73:K74" si="20">(1.96*J73)</f>
        <v>0</v>
      </c>
      <c r="M73" s="2">
        <f>'rockfish harvests'!O73</f>
        <v>230.32441288913162</v>
      </c>
      <c r="N73">
        <f>'rockfish harvests'!P73</f>
        <v>30814.691102249373</v>
      </c>
      <c r="R73" s="14"/>
      <c r="S73"/>
      <c r="T73" s="6"/>
      <c r="Y73" s="6"/>
    </row>
    <row r="74" spans="1:25" hidden="1" x14ac:dyDescent="0.25">
      <c r="A74" t="str">
        <f>'rockfish harvests'!A74</f>
        <v>SC</v>
      </c>
      <c r="B74">
        <f>'rockfish harvests'!B74</f>
        <v>2020</v>
      </c>
      <c r="C74" t="str">
        <f>'rockfish harvests'!C74</f>
        <v>SKMA</v>
      </c>
      <c r="D74">
        <f>'rockfish harvests'!D74</f>
        <v>302</v>
      </c>
      <c r="E74">
        <f>'YE harvest'!E75</f>
        <v>47</v>
      </c>
      <c r="G74" s="16"/>
      <c r="I74">
        <f t="shared" si="18"/>
        <v>0</v>
      </c>
      <c r="J74">
        <f t="shared" si="19"/>
        <v>0</v>
      </c>
      <c r="K74" s="6">
        <f t="shared" si="20"/>
        <v>0</v>
      </c>
      <c r="M74" s="2">
        <f>'rockfish harvests'!O74</f>
        <v>57.128003494975985</v>
      </c>
      <c r="N74">
        <f>'rockfish harvests'!P74</f>
        <v>816.94472651239755</v>
      </c>
      <c r="R74" s="14"/>
      <c r="S74"/>
      <c r="T74" s="6"/>
      <c r="Y74" s="6"/>
    </row>
    <row r="75" spans="1:25" hidden="1" x14ac:dyDescent="0.25">
      <c r="A75" t="str">
        <f>'rockfish harvests'!A75</f>
        <v>SC</v>
      </c>
      <c r="B75">
        <f>'rockfish harvests'!B75</f>
        <v>2021</v>
      </c>
      <c r="C75" t="str">
        <f>'rockfish harvests'!C75</f>
        <v>SKMA</v>
      </c>
      <c r="D75">
        <f>'rockfish harvests'!D75</f>
        <v>1622</v>
      </c>
      <c r="E75">
        <f>'YE harvest'!E76</f>
        <v>194</v>
      </c>
      <c r="G75" s="16"/>
      <c r="K75" s="6"/>
      <c r="M75" s="2">
        <f>'rockfish harvests'!O75</f>
        <v>253.31845937059643</v>
      </c>
      <c r="N75">
        <f>'rockfish harvests'!P75</f>
        <v>10922.563990757333</v>
      </c>
      <c r="R75" s="14"/>
      <c r="S75"/>
      <c r="T75" s="6"/>
      <c r="Y75" s="6"/>
    </row>
    <row r="76" spans="1:25" hidden="1" x14ac:dyDescent="0.25">
      <c r="A76" t="str">
        <f>'rockfish harvests'!A77</f>
        <v>SC</v>
      </c>
      <c r="B76">
        <f>'rockfish harvests'!B77</f>
        <v>1998</v>
      </c>
      <c r="C76" t="str">
        <f>'rockfish harvests'!C77</f>
        <v>CI</v>
      </c>
      <c r="D76">
        <f>'rockfish harvests'!D77</f>
        <v>994</v>
      </c>
      <c r="E76">
        <f>'YE harvest'!E78</f>
        <v>271</v>
      </c>
      <c r="F76" s="38"/>
      <c r="G76" s="39"/>
      <c r="H76" s="13">
        <f t="shared" ref="H76:H83" si="21">E76*F76</f>
        <v>0</v>
      </c>
      <c r="I76">
        <f t="shared" si="1"/>
        <v>0</v>
      </c>
      <c r="J76">
        <f t="shared" si="4"/>
        <v>0</v>
      </c>
      <c r="K76" s="6">
        <f t="shared" si="5"/>
        <v>0</v>
      </c>
      <c r="M76" s="2">
        <f>'rockfish harvests'!O77</f>
        <v>692.47589516408812</v>
      </c>
      <c r="N76">
        <f>'rockfish harvests'!P77</f>
        <v>44240.136597187789</v>
      </c>
      <c r="O76" s="32"/>
      <c r="P76" s="32"/>
      <c r="Q76" s="13">
        <f t="shared" ref="Q76:Q96" si="22">M76*O76</f>
        <v>0</v>
      </c>
      <c r="R76" s="14">
        <f t="shared" ref="R76:R96" si="23">(M76^2)*P76+(O76^2)*N76-(P76*N76)</f>
        <v>0</v>
      </c>
      <c r="S76">
        <f t="shared" si="6"/>
        <v>0</v>
      </c>
      <c r="T76" s="6">
        <f t="shared" si="7"/>
        <v>0</v>
      </c>
      <c r="V76" s="13">
        <f t="shared" si="2"/>
        <v>0</v>
      </c>
      <c r="W76" s="14">
        <f t="shared" si="3"/>
        <v>0</v>
      </c>
      <c r="X76">
        <f t="shared" si="8"/>
        <v>0</v>
      </c>
      <c r="Y76" s="6">
        <f t="shared" si="9"/>
        <v>0</v>
      </c>
    </row>
    <row r="77" spans="1:25" hidden="1" x14ac:dyDescent="0.25">
      <c r="A77" t="str">
        <f>'rockfish harvests'!A78</f>
        <v>SC</v>
      </c>
      <c r="B77">
        <f>'rockfish harvests'!B78</f>
        <v>1999</v>
      </c>
      <c r="C77" t="str">
        <f>'rockfish harvests'!C78</f>
        <v>CI</v>
      </c>
      <c r="D77">
        <f>'rockfish harvests'!D78</f>
        <v>911</v>
      </c>
      <c r="E77">
        <f>'YE harvest'!E79</f>
        <v>102</v>
      </c>
      <c r="F77" s="38"/>
      <c r="G77" s="39"/>
      <c r="H77" s="13">
        <f t="shared" si="21"/>
        <v>0</v>
      </c>
      <c r="I77">
        <f t="shared" ref="I77:I149" si="24">(E77^2)*G77</f>
        <v>0</v>
      </c>
      <c r="J77">
        <f t="shared" si="4"/>
        <v>0</v>
      </c>
      <c r="K77" s="6">
        <f t="shared" si="5"/>
        <v>0</v>
      </c>
      <c r="M77" s="2">
        <f>'rockfish harvests'!O78</f>
        <v>634.65346126205668</v>
      </c>
      <c r="N77">
        <f>'rockfish harvests'!P78</f>
        <v>37160.4054962316</v>
      </c>
      <c r="Q77" s="13">
        <f t="shared" si="22"/>
        <v>0</v>
      </c>
      <c r="R77" s="14">
        <f t="shared" si="23"/>
        <v>0</v>
      </c>
      <c r="S77">
        <f t="shared" si="6"/>
        <v>0</v>
      </c>
      <c r="T77" s="6">
        <f t="shared" si="7"/>
        <v>0</v>
      </c>
      <c r="V77" s="13">
        <f t="shared" ref="V77:V149" si="25">Q77+H77</f>
        <v>0</v>
      </c>
      <c r="W77">
        <f t="shared" ref="W77:W149" si="26">R77+I77</f>
        <v>0</v>
      </c>
      <c r="X77">
        <f t="shared" si="8"/>
        <v>0</v>
      </c>
      <c r="Y77" s="6">
        <f t="shared" si="9"/>
        <v>0</v>
      </c>
    </row>
    <row r="78" spans="1:25" hidden="1" x14ac:dyDescent="0.25">
      <c r="A78" t="str">
        <f>'rockfish harvests'!A79</f>
        <v>SC</v>
      </c>
      <c r="B78">
        <f>'rockfish harvests'!B79</f>
        <v>2000</v>
      </c>
      <c r="C78" t="str">
        <f>'rockfish harvests'!C79</f>
        <v>CI</v>
      </c>
      <c r="D78">
        <f>'rockfish harvests'!D79</f>
        <v>1400</v>
      </c>
      <c r="E78">
        <f>'YE harvest'!E80</f>
        <v>175</v>
      </c>
      <c r="F78" s="38"/>
      <c r="G78" s="39"/>
      <c r="H78" s="13">
        <f t="shared" si="21"/>
        <v>0</v>
      </c>
      <c r="I78">
        <f t="shared" si="24"/>
        <v>0</v>
      </c>
      <c r="J78">
        <f t="shared" ref="J78:J150" si="27">SQRT(I78)</f>
        <v>0</v>
      </c>
      <c r="K78" s="6">
        <f t="shared" ref="K78:K150" si="28">(1.96*J78)</f>
        <v>0</v>
      </c>
      <c r="M78" s="2">
        <f>'rockfish harvests'!O79</f>
        <v>975.31816220294104</v>
      </c>
      <c r="N78">
        <f>'rockfish harvests'!P79</f>
        <v>87760.635979344952</v>
      </c>
      <c r="O78" s="32"/>
      <c r="P78" s="32"/>
      <c r="Q78" s="13">
        <f t="shared" si="22"/>
        <v>0</v>
      </c>
      <c r="R78" s="14">
        <f t="shared" si="23"/>
        <v>0</v>
      </c>
      <c r="S78">
        <f t="shared" ref="S78:S150" si="29">SQRT(R78)</f>
        <v>0</v>
      </c>
      <c r="T78" s="6">
        <f t="shared" ref="T78:T150" si="30">(1.96*S78)</f>
        <v>0</v>
      </c>
      <c r="V78" s="13">
        <f t="shared" si="25"/>
        <v>0</v>
      </c>
      <c r="W78">
        <f t="shared" si="26"/>
        <v>0</v>
      </c>
      <c r="X78">
        <f t="shared" ref="X78:X150" si="31">SQRT(W78)</f>
        <v>0</v>
      </c>
      <c r="Y78" s="6">
        <f t="shared" ref="Y78:Y150" si="32">(1.96*X78)</f>
        <v>0</v>
      </c>
    </row>
    <row r="79" spans="1:25" hidden="1" x14ac:dyDescent="0.25">
      <c r="A79" t="str">
        <f>'rockfish harvests'!A80</f>
        <v>SC</v>
      </c>
      <c r="B79">
        <f>'rockfish harvests'!B80</f>
        <v>2001</v>
      </c>
      <c r="C79" t="str">
        <f>'rockfish harvests'!C80</f>
        <v>CI</v>
      </c>
      <c r="D79">
        <f>'rockfish harvests'!D80</f>
        <v>763</v>
      </c>
      <c r="E79">
        <f>'YE harvest'!E81</f>
        <v>69</v>
      </c>
      <c r="F79" s="38"/>
      <c r="G79" s="39"/>
      <c r="H79" s="13">
        <f t="shared" si="21"/>
        <v>0</v>
      </c>
      <c r="I79">
        <f t="shared" si="24"/>
        <v>0</v>
      </c>
      <c r="J79">
        <f t="shared" si="27"/>
        <v>0</v>
      </c>
      <c r="K79" s="6">
        <f t="shared" si="28"/>
        <v>0</v>
      </c>
      <c r="M79" s="2">
        <f>'rockfish harvests'!O80</f>
        <v>531.54839840060276</v>
      </c>
      <c r="N79">
        <f>'rockfish harvests'!P80</f>
        <v>26067.102901764931</v>
      </c>
      <c r="Q79" s="13">
        <f t="shared" si="22"/>
        <v>0</v>
      </c>
      <c r="R79" s="14">
        <f t="shared" si="23"/>
        <v>0</v>
      </c>
      <c r="S79">
        <f t="shared" si="29"/>
        <v>0</v>
      </c>
      <c r="T79" s="6">
        <f t="shared" si="30"/>
        <v>0</v>
      </c>
      <c r="V79" s="13">
        <f t="shared" si="25"/>
        <v>0</v>
      </c>
      <c r="W79">
        <f t="shared" si="26"/>
        <v>0</v>
      </c>
      <c r="X79">
        <f t="shared" si="31"/>
        <v>0</v>
      </c>
      <c r="Y79" s="6">
        <f t="shared" si="32"/>
        <v>0</v>
      </c>
    </row>
    <row r="80" spans="1:25" hidden="1" x14ac:dyDescent="0.25">
      <c r="A80" t="str">
        <f>'rockfish harvests'!A81</f>
        <v>SC</v>
      </c>
      <c r="B80">
        <f>'rockfish harvests'!B81</f>
        <v>2002</v>
      </c>
      <c r="C80" t="str">
        <f>'rockfish harvests'!C81</f>
        <v>CI</v>
      </c>
      <c r="D80">
        <f>'rockfish harvests'!D81</f>
        <v>2378</v>
      </c>
      <c r="E80">
        <f>'YE harvest'!E82</f>
        <v>271</v>
      </c>
      <c r="F80" s="38"/>
      <c r="G80" s="39"/>
      <c r="H80" s="13">
        <f t="shared" si="21"/>
        <v>0</v>
      </c>
      <c r="I80">
        <f t="shared" si="24"/>
        <v>0</v>
      </c>
      <c r="J80">
        <f t="shared" si="27"/>
        <v>0</v>
      </c>
      <c r="K80" s="6">
        <f t="shared" si="28"/>
        <v>0</v>
      </c>
      <c r="M80" s="2">
        <f>'rockfish harvests'!O81</f>
        <v>1656.6475640847098</v>
      </c>
      <c r="N80">
        <f>'rockfish harvests'!P81</f>
        <v>253202.15113746023</v>
      </c>
      <c r="O80" s="32"/>
      <c r="P80" s="32"/>
      <c r="Q80" s="13">
        <f t="shared" si="22"/>
        <v>0</v>
      </c>
      <c r="R80" s="14">
        <f t="shared" si="23"/>
        <v>0</v>
      </c>
      <c r="S80">
        <f t="shared" si="29"/>
        <v>0</v>
      </c>
      <c r="T80" s="6">
        <f t="shared" si="30"/>
        <v>0</v>
      </c>
      <c r="V80" s="13">
        <f t="shared" si="25"/>
        <v>0</v>
      </c>
      <c r="W80">
        <f t="shared" si="26"/>
        <v>0</v>
      </c>
      <c r="X80">
        <f t="shared" si="31"/>
        <v>0</v>
      </c>
      <c r="Y80" s="6">
        <f t="shared" si="32"/>
        <v>0</v>
      </c>
    </row>
    <row r="81" spans="1:25" hidden="1" x14ac:dyDescent="0.25">
      <c r="A81" t="str">
        <f>'rockfish harvests'!A82</f>
        <v>SC</v>
      </c>
      <c r="B81">
        <f>'rockfish harvests'!B82</f>
        <v>2003</v>
      </c>
      <c r="C81" t="str">
        <f>'rockfish harvests'!C82</f>
        <v>CI</v>
      </c>
      <c r="D81">
        <f>'rockfish harvests'!D82</f>
        <v>4623</v>
      </c>
      <c r="E81">
        <f>'YE harvest'!E83</f>
        <v>376</v>
      </c>
      <c r="F81" s="38"/>
      <c r="G81" s="39"/>
      <c r="H81" s="13">
        <f t="shared" si="21"/>
        <v>0</v>
      </c>
      <c r="I81">
        <f t="shared" si="24"/>
        <v>0</v>
      </c>
      <c r="J81">
        <f t="shared" si="27"/>
        <v>0</v>
      </c>
      <c r="K81" s="6">
        <f t="shared" si="28"/>
        <v>0</v>
      </c>
      <c r="M81" s="2">
        <f>'rockfish harvests'!O82</f>
        <v>3220.6399027601401</v>
      </c>
      <c r="N81">
        <f>'rockfish harvests'!P82</f>
        <v>956954.91493500082</v>
      </c>
      <c r="O81" s="32"/>
      <c r="P81" s="32"/>
      <c r="Q81" s="13">
        <f t="shared" si="22"/>
        <v>0</v>
      </c>
      <c r="R81" s="14">
        <f t="shared" si="23"/>
        <v>0</v>
      </c>
      <c r="S81">
        <f t="shared" si="29"/>
        <v>0</v>
      </c>
      <c r="T81" s="6">
        <f t="shared" si="30"/>
        <v>0</v>
      </c>
      <c r="V81" s="13">
        <f t="shared" si="25"/>
        <v>0</v>
      </c>
      <c r="W81">
        <f t="shared" si="26"/>
        <v>0</v>
      </c>
      <c r="X81">
        <f t="shared" si="31"/>
        <v>0</v>
      </c>
      <c r="Y81" s="6">
        <f t="shared" si="32"/>
        <v>0</v>
      </c>
    </row>
    <row r="82" spans="1:25" hidden="1" x14ac:dyDescent="0.25">
      <c r="A82" t="str">
        <f>'rockfish harvests'!A83</f>
        <v>SC</v>
      </c>
      <c r="B82">
        <f>'rockfish harvests'!B83</f>
        <v>2004</v>
      </c>
      <c r="C82" t="str">
        <f>'rockfish harvests'!C83</f>
        <v>CI</v>
      </c>
      <c r="D82">
        <f>'rockfish harvests'!D83</f>
        <v>4736</v>
      </c>
      <c r="E82">
        <f>'YE harvest'!E84</f>
        <v>266</v>
      </c>
      <c r="F82" s="38"/>
      <c r="G82" s="39"/>
      <c r="H82" s="13">
        <f t="shared" si="21"/>
        <v>0</v>
      </c>
      <c r="I82">
        <f t="shared" si="24"/>
        <v>0</v>
      </c>
      <c r="J82">
        <f t="shared" si="27"/>
        <v>0</v>
      </c>
      <c r="K82" s="6">
        <f t="shared" si="28"/>
        <v>0</v>
      </c>
      <c r="M82" s="2">
        <f>'rockfish harvests'!O83</f>
        <v>3299.3620115665199</v>
      </c>
      <c r="N82">
        <f>'rockfish harvests'!P83</f>
        <v>1004308.3600935558</v>
      </c>
      <c r="O82" s="32"/>
      <c r="P82" s="32"/>
      <c r="Q82" s="13">
        <f t="shared" si="22"/>
        <v>0</v>
      </c>
      <c r="R82" s="14">
        <f t="shared" si="23"/>
        <v>0</v>
      </c>
      <c r="S82">
        <f t="shared" si="29"/>
        <v>0</v>
      </c>
      <c r="T82" s="6">
        <f t="shared" si="30"/>
        <v>0</v>
      </c>
      <c r="V82" s="13">
        <f t="shared" si="25"/>
        <v>0</v>
      </c>
      <c r="W82">
        <f t="shared" si="26"/>
        <v>0</v>
      </c>
      <c r="X82">
        <f t="shared" si="31"/>
        <v>0</v>
      </c>
      <c r="Y82" s="6">
        <f t="shared" si="32"/>
        <v>0</v>
      </c>
    </row>
    <row r="83" spans="1:25" hidden="1" x14ac:dyDescent="0.25">
      <c r="A83" t="str">
        <f>'rockfish harvests'!A84</f>
        <v>SC</v>
      </c>
      <c r="B83">
        <f>'rockfish harvests'!B84</f>
        <v>2005</v>
      </c>
      <c r="C83" t="str">
        <f>'rockfish harvests'!C84</f>
        <v>CI</v>
      </c>
      <c r="D83">
        <f>'rockfish harvests'!D84</f>
        <v>3615</v>
      </c>
      <c r="E83">
        <f>'YE harvest'!E85</f>
        <v>155</v>
      </c>
      <c r="F83" s="38"/>
      <c r="G83" s="39"/>
      <c r="H83" s="13">
        <f t="shared" si="21"/>
        <v>0</v>
      </c>
      <c r="I83">
        <f t="shared" si="24"/>
        <v>0</v>
      </c>
      <c r="J83">
        <f t="shared" si="27"/>
        <v>0</v>
      </c>
      <c r="K83" s="6">
        <f t="shared" si="28"/>
        <v>0</v>
      </c>
      <c r="M83" s="2">
        <f>'rockfish harvests'!O84</f>
        <v>2518.4108259740224</v>
      </c>
      <c r="N83">
        <f>'rockfish harvests'!P84</f>
        <v>585140.68220468122</v>
      </c>
      <c r="O83" s="32"/>
      <c r="P83" s="32"/>
      <c r="Q83" s="13">
        <f t="shared" si="22"/>
        <v>0</v>
      </c>
      <c r="R83" s="14">
        <f t="shared" si="23"/>
        <v>0</v>
      </c>
      <c r="S83">
        <f t="shared" si="29"/>
        <v>0</v>
      </c>
      <c r="T83" s="6">
        <f t="shared" si="30"/>
        <v>0</v>
      </c>
      <c r="V83" s="13">
        <f t="shared" si="25"/>
        <v>0</v>
      </c>
      <c r="W83">
        <f t="shared" si="26"/>
        <v>0</v>
      </c>
      <c r="X83">
        <f t="shared" si="31"/>
        <v>0</v>
      </c>
      <c r="Y83" s="6">
        <f t="shared" si="32"/>
        <v>0</v>
      </c>
    </row>
    <row r="84" spans="1:25" hidden="1" x14ac:dyDescent="0.25">
      <c r="A84" t="str">
        <f>'rockfish harvests'!A85</f>
        <v>SC</v>
      </c>
      <c r="B84">
        <f>'rockfish harvests'!B85</f>
        <v>2006</v>
      </c>
      <c r="C84" t="str">
        <f>'rockfish harvests'!C85</f>
        <v>CI</v>
      </c>
      <c r="D84">
        <f>'rockfish harvests'!D85</f>
        <v>2463</v>
      </c>
      <c r="E84">
        <f>'YE harvest'!E86</f>
        <v>213</v>
      </c>
      <c r="H84" s="13" t="e">
        <f>#REF!</f>
        <v>#REF!</v>
      </c>
      <c r="I84">
        <f t="shared" si="24"/>
        <v>0</v>
      </c>
      <c r="J84">
        <f t="shared" si="27"/>
        <v>0</v>
      </c>
      <c r="K84" s="6">
        <f t="shared" si="28"/>
        <v>0</v>
      </c>
      <c r="M84" s="2">
        <f>'rockfish harvests'!O85</f>
        <v>1715.8633096470312</v>
      </c>
      <c r="N84">
        <f>'rockfish harvests'!P85</f>
        <v>271626.73547213408</v>
      </c>
      <c r="O84" s="32"/>
      <c r="P84" s="32"/>
      <c r="Q84" s="13">
        <f t="shared" si="22"/>
        <v>0</v>
      </c>
      <c r="R84" s="14">
        <f t="shared" si="23"/>
        <v>0</v>
      </c>
      <c r="S84">
        <f t="shared" si="29"/>
        <v>0</v>
      </c>
      <c r="T84" s="6">
        <f t="shared" si="30"/>
        <v>0</v>
      </c>
      <c r="V84" s="13" t="e">
        <f t="shared" si="25"/>
        <v>#REF!</v>
      </c>
      <c r="W84">
        <f t="shared" si="26"/>
        <v>0</v>
      </c>
      <c r="X84">
        <f t="shared" si="31"/>
        <v>0</v>
      </c>
      <c r="Y84" s="6">
        <f t="shared" si="32"/>
        <v>0</v>
      </c>
    </row>
    <row r="85" spans="1:25" hidden="1" x14ac:dyDescent="0.25">
      <c r="A85" t="str">
        <f>'rockfish harvests'!A86</f>
        <v>SC</v>
      </c>
      <c r="B85">
        <f>'rockfish harvests'!B86</f>
        <v>2007</v>
      </c>
      <c r="C85" t="str">
        <f>'rockfish harvests'!C86</f>
        <v>CI</v>
      </c>
      <c r="D85">
        <f>'rockfish harvests'!D86</f>
        <v>2559</v>
      </c>
      <c r="E85">
        <f>'YE harvest'!E87</f>
        <v>194</v>
      </c>
      <c r="H85" s="13" t="e">
        <f>#REF!</f>
        <v>#REF!</v>
      </c>
      <c r="I85">
        <f t="shared" si="24"/>
        <v>0</v>
      </c>
      <c r="J85">
        <f t="shared" si="27"/>
        <v>0</v>
      </c>
      <c r="K85" s="6">
        <f t="shared" si="28"/>
        <v>0</v>
      </c>
      <c r="M85" s="2">
        <f>'rockfish harvests'!O86</f>
        <v>1782.7422693409471</v>
      </c>
      <c r="N85">
        <f>'rockfish harvests'!P86</f>
        <v>293213.70268298819</v>
      </c>
      <c r="O85" s="32"/>
      <c r="P85" s="32"/>
      <c r="Q85" s="13">
        <f t="shared" si="22"/>
        <v>0</v>
      </c>
      <c r="R85" s="14">
        <f t="shared" si="23"/>
        <v>0</v>
      </c>
      <c r="S85">
        <f t="shared" si="29"/>
        <v>0</v>
      </c>
      <c r="T85" s="6">
        <f t="shared" si="30"/>
        <v>0</v>
      </c>
      <c r="V85" s="13" t="e">
        <f t="shared" si="25"/>
        <v>#REF!</v>
      </c>
      <c r="W85">
        <f t="shared" si="26"/>
        <v>0</v>
      </c>
      <c r="X85">
        <f t="shared" si="31"/>
        <v>0</v>
      </c>
      <c r="Y85" s="6">
        <f t="shared" si="32"/>
        <v>0</v>
      </c>
    </row>
    <row r="86" spans="1:25" hidden="1" x14ac:dyDescent="0.25">
      <c r="A86" t="str">
        <f>'rockfish harvests'!A87</f>
        <v>SC</v>
      </c>
      <c r="B86">
        <f>'rockfish harvests'!B87</f>
        <v>2008</v>
      </c>
      <c r="C86" t="str">
        <f>'rockfish harvests'!C87</f>
        <v>CI</v>
      </c>
      <c r="D86">
        <f>'rockfish harvests'!D87</f>
        <v>2163</v>
      </c>
      <c r="E86">
        <f>'YE harvest'!E88</f>
        <v>157</v>
      </c>
      <c r="H86" s="13" t="e">
        <f>#REF!</f>
        <v>#REF!</v>
      </c>
      <c r="I86">
        <f t="shared" si="24"/>
        <v>0</v>
      </c>
      <c r="J86">
        <f t="shared" si="27"/>
        <v>0</v>
      </c>
      <c r="K86" s="6">
        <f t="shared" si="28"/>
        <v>0</v>
      </c>
      <c r="M86" s="2">
        <f>'rockfish harvests'!O87</f>
        <v>1506.8665606035438</v>
      </c>
      <c r="N86">
        <f>'rockfish harvests'!P87</f>
        <v>209486.83209859589</v>
      </c>
      <c r="O86" s="32"/>
      <c r="P86" s="32"/>
      <c r="Q86" s="13">
        <f t="shared" si="22"/>
        <v>0</v>
      </c>
      <c r="R86" s="14">
        <f t="shared" si="23"/>
        <v>0</v>
      </c>
      <c r="S86">
        <f t="shared" si="29"/>
        <v>0</v>
      </c>
      <c r="T86" s="6">
        <f t="shared" si="30"/>
        <v>0</v>
      </c>
      <c r="V86" s="13" t="e">
        <f t="shared" si="25"/>
        <v>#REF!</v>
      </c>
      <c r="W86">
        <f t="shared" si="26"/>
        <v>0</v>
      </c>
      <c r="X86">
        <f t="shared" si="31"/>
        <v>0</v>
      </c>
      <c r="Y86" s="6">
        <f t="shared" si="32"/>
        <v>0</v>
      </c>
    </row>
    <row r="87" spans="1:25" hidden="1" x14ac:dyDescent="0.25">
      <c r="A87" t="str">
        <f>'rockfish harvests'!A88</f>
        <v>SC</v>
      </c>
      <c r="B87">
        <f>'rockfish harvests'!B88</f>
        <v>2009</v>
      </c>
      <c r="C87" t="str">
        <f>'rockfish harvests'!C88</f>
        <v>CI</v>
      </c>
      <c r="D87">
        <f>'rockfish harvests'!D88</f>
        <v>2918</v>
      </c>
      <c r="E87">
        <f>'YE harvest'!E89</f>
        <v>256</v>
      </c>
      <c r="H87" s="13" t="e">
        <f>#REF!</f>
        <v>#REF!</v>
      </c>
      <c r="I87">
        <f t="shared" si="24"/>
        <v>0</v>
      </c>
      <c r="J87">
        <f t="shared" si="27"/>
        <v>0</v>
      </c>
      <c r="K87" s="6">
        <f t="shared" si="28"/>
        <v>0</v>
      </c>
      <c r="M87" s="2">
        <f>'rockfish harvests'!O88</f>
        <v>2032.841712362987</v>
      </c>
      <c r="N87">
        <f>'rockfish harvests'!P88</f>
        <v>381253.87419826118</v>
      </c>
      <c r="Q87" s="13">
        <f t="shared" si="22"/>
        <v>0</v>
      </c>
      <c r="R87" s="14">
        <f t="shared" si="23"/>
        <v>0</v>
      </c>
      <c r="S87">
        <f t="shared" si="29"/>
        <v>0</v>
      </c>
      <c r="T87" s="6">
        <f t="shared" si="30"/>
        <v>0</v>
      </c>
      <c r="V87" s="13" t="e">
        <f t="shared" si="25"/>
        <v>#REF!</v>
      </c>
      <c r="W87">
        <f t="shared" si="26"/>
        <v>0</v>
      </c>
      <c r="X87">
        <f t="shared" si="31"/>
        <v>0</v>
      </c>
      <c r="Y87" s="6">
        <f t="shared" si="32"/>
        <v>0</v>
      </c>
    </row>
    <row r="88" spans="1:25" hidden="1" x14ac:dyDescent="0.25">
      <c r="A88" t="str">
        <f>'rockfish harvests'!A89</f>
        <v>SC</v>
      </c>
      <c r="B88">
        <f>'rockfish harvests'!B89</f>
        <v>2010</v>
      </c>
      <c r="C88" t="str">
        <f>'rockfish harvests'!C89</f>
        <v>CI</v>
      </c>
      <c r="D88">
        <f>'rockfish harvests'!D89</f>
        <v>4422</v>
      </c>
      <c r="E88">
        <f>'YE harvest'!E90</f>
        <v>1173</v>
      </c>
      <c r="H88" s="13" t="e">
        <f>#REF!</f>
        <v>#REF!</v>
      </c>
      <c r="I88">
        <f t="shared" si="24"/>
        <v>0</v>
      </c>
      <c r="J88">
        <f t="shared" si="27"/>
        <v>0</v>
      </c>
      <c r="K88" s="6">
        <f t="shared" si="28"/>
        <v>0</v>
      </c>
      <c r="M88" s="2">
        <f>'rockfish harvests'!O89</f>
        <v>3080.6120809010035</v>
      </c>
      <c r="N88">
        <f>'rockfish harvests'!P89</f>
        <v>875550.43256812927</v>
      </c>
      <c r="Q88" s="13">
        <f t="shared" si="22"/>
        <v>0</v>
      </c>
      <c r="R88" s="14">
        <f t="shared" si="23"/>
        <v>0</v>
      </c>
      <c r="S88">
        <f t="shared" si="29"/>
        <v>0</v>
      </c>
      <c r="T88" s="6">
        <f t="shared" si="30"/>
        <v>0</v>
      </c>
      <c r="V88" s="13" t="e">
        <f t="shared" si="25"/>
        <v>#REF!</v>
      </c>
      <c r="W88">
        <f t="shared" si="26"/>
        <v>0</v>
      </c>
      <c r="X88">
        <f t="shared" si="31"/>
        <v>0</v>
      </c>
      <c r="Y88" s="6">
        <f t="shared" si="32"/>
        <v>0</v>
      </c>
    </row>
    <row r="89" spans="1:25" hidden="1" x14ac:dyDescent="0.25">
      <c r="A89" t="str">
        <f>'rockfish harvests'!A90</f>
        <v>SC</v>
      </c>
      <c r="B89">
        <f>'rockfish harvests'!B90</f>
        <v>2011</v>
      </c>
      <c r="C89" t="str">
        <f>'rockfish harvests'!C90</f>
        <v>CI</v>
      </c>
      <c r="D89">
        <f>'rockfish harvests'!D90</f>
        <v>3046</v>
      </c>
      <c r="E89">
        <f>'YE harvest'!E91</f>
        <v>476</v>
      </c>
      <c r="H89" s="13" t="e">
        <f>#REF!</f>
        <v>#REF!</v>
      </c>
      <c r="I89">
        <f t="shared" si="24"/>
        <v>0</v>
      </c>
      <c r="J89">
        <f t="shared" si="27"/>
        <v>0</v>
      </c>
      <c r="K89" s="6">
        <f t="shared" si="28"/>
        <v>0</v>
      </c>
      <c r="M89" s="2">
        <f>'rockfish harvests'!O90</f>
        <v>2195.2886731391591</v>
      </c>
      <c r="N89">
        <f>'rockfish harvests'!P90</f>
        <v>347241.00971171423</v>
      </c>
      <c r="Q89" s="13">
        <f t="shared" si="22"/>
        <v>0</v>
      </c>
      <c r="R89" s="14">
        <f t="shared" si="23"/>
        <v>0</v>
      </c>
      <c r="S89">
        <f t="shared" si="29"/>
        <v>0</v>
      </c>
      <c r="T89" s="6">
        <f t="shared" si="30"/>
        <v>0</v>
      </c>
      <c r="V89" s="13" t="e">
        <f t="shared" si="25"/>
        <v>#REF!</v>
      </c>
      <c r="W89">
        <f t="shared" si="26"/>
        <v>0</v>
      </c>
      <c r="X89">
        <f t="shared" si="31"/>
        <v>0</v>
      </c>
      <c r="Y89" s="6">
        <f t="shared" si="32"/>
        <v>0</v>
      </c>
    </row>
    <row r="90" spans="1:25" hidden="1" x14ac:dyDescent="0.25">
      <c r="A90" t="str">
        <f>'rockfish harvests'!A91</f>
        <v>SC</v>
      </c>
      <c r="B90">
        <f>'rockfish harvests'!B91</f>
        <v>2012</v>
      </c>
      <c r="C90" t="str">
        <f>'rockfish harvests'!C91</f>
        <v>CI</v>
      </c>
      <c r="D90">
        <f>'rockfish harvests'!D91</f>
        <v>4677</v>
      </c>
      <c r="E90">
        <f>'YE harvest'!E92</f>
        <v>568</v>
      </c>
      <c r="H90" s="13" t="e">
        <f>#REF!</f>
        <v>#REF!</v>
      </c>
      <c r="I90">
        <f t="shared" si="24"/>
        <v>0</v>
      </c>
      <c r="J90">
        <f t="shared" si="27"/>
        <v>0</v>
      </c>
      <c r="K90" s="6">
        <f t="shared" si="28"/>
        <v>0</v>
      </c>
      <c r="M90" s="2">
        <f>'rockfish harvests'!O91</f>
        <v>5339.9412080536913</v>
      </c>
      <c r="N90">
        <f>'rockfish harvests'!P91</f>
        <v>1729256.1604569755</v>
      </c>
      <c r="Q90" s="13">
        <f t="shared" si="22"/>
        <v>0</v>
      </c>
      <c r="R90" s="14">
        <f t="shared" si="23"/>
        <v>0</v>
      </c>
      <c r="S90">
        <f t="shared" si="29"/>
        <v>0</v>
      </c>
      <c r="T90" s="6">
        <f t="shared" si="30"/>
        <v>0</v>
      </c>
      <c r="V90" s="13" t="e">
        <f t="shared" si="25"/>
        <v>#REF!</v>
      </c>
      <c r="W90">
        <f t="shared" si="26"/>
        <v>0</v>
      </c>
      <c r="X90">
        <f t="shared" si="31"/>
        <v>0</v>
      </c>
      <c r="Y90" s="6">
        <f t="shared" si="32"/>
        <v>0</v>
      </c>
    </row>
    <row r="91" spans="1:25" hidden="1" x14ac:dyDescent="0.25">
      <c r="A91" t="str">
        <f>'rockfish harvests'!A92</f>
        <v>SC</v>
      </c>
      <c r="B91">
        <f>'rockfish harvests'!B92</f>
        <v>2013</v>
      </c>
      <c r="C91" t="str">
        <f>'rockfish harvests'!C92</f>
        <v>CI</v>
      </c>
      <c r="D91">
        <f>'rockfish harvests'!D92</f>
        <v>4808</v>
      </c>
      <c r="E91">
        <f>'YE harvest'!E93</f>
        <v>428</v>
      </c>
      <c r="H91" s="13" t="e">
        <f>#REF!</f>
        <v>#REF!</v>
      </c>
      <c r="I91">
        <f t="shared" si="24"/>
        <v>0</v>
      </c>
      <c r="J91">
        <f t="shared" si="27"/>
        <v>0</v>
      </c>
      <c r="K91" s="6">
        <f t="shared" si="28"/>
        <v>0</v>
      </c>
      <c r="M91" s="2">
        <f>'rockfish harvests'!O92</f>
        <v>3482.4354718850645</v>
      </c>
      <c r="N91">
        <f>'rockfish harvests'!P92</f>
        <v>863231.70507392555</v>
      </c>
      <c r="Q91" s="13">
        <f t="shared" si="22"/>
        <v>0</v>
      </c>
      <c r="R91" s="14">
        <f t="shared" si="23"/>
        <v>0</v>
      </c>
      <c r="S91">
        <f t="shared" si="29"/>
        <v>0</v>
      </c>
      <c r="T91" s="6">
        <f t="shared" si="30"/>
        <v>0</v>
      </c>
      <c r="V91" s="13" t="e">
        <f t="shared" si="25"/>
        <v>#REF!</v>
      </c>
      <c r="W91">
        <f t="shared" si="26"/>
        <v>0</v>
      </c>
      <c r="X91">
        <f t="shared" si="31"/>
        <v>0</v>
      </c>
      <c r="Y91" s="6">
        <f t="shared" si="32"/>
        <v>0</v>
      </c>
    </row>
    <row r="92" spans="1:25" hidden="1" x14ac:dyDescent="0.25">
      <c r="A92" t="str">
        <f>'rockfish harvests'!A93</f>
        <v>SC</v>
      </c>
      <c r="B92">
        <f>'rockfish harvests'!B93</f>
        <v>2014</v>
      </c>
      <c r="C92" t="str">
        <f>'rockfish harvests'!C93</f>
        <v>CI</v>
      </c>
      <c r="D92">
        <f>'rockfish harvests'!D93</f>
        <v>4731</v>
      </c>
      <c r="E92">
        <f>'YE harvest'!E94</f>
        <v>362</v>
      </c>
      <c r="H92" s="13" t="e">
        <f>#REF!</f>
        <v>#REF!</v>
      </c>
      <c r="I92">
        <f t="shared" si="24"/>
        <v>0</v>
      </c>
      <c r="J92">
        <f t="shared" si="27"/>
        <v>0</v>
      </c>
      <c r="K92" s="6">
        <f t="shared" si="28"/>
        <v>0</v>
      </c>
      <c r="M92" s="2">
        <f>'rockfish harvests'!O93</f>
        <v>3444.6502099319532</v>
      </c>
      <c r="N92">
        <f>'rockfish harvests'!P93</f>
        <v>609818.57296968682</v>
      </c>
      <c r="Q92" s="13">
        <f t="shared" si="22"/>
        <v>0</v>
      </c>
      <c r="R92" s="14">
        <f t="shared" si="23"/>
        <v>0</v>
      </c>
      <c r="S92">
        <f t="shared" si="29"/>
        <v>0</v>
      </c>
      <c r="T92" s="6">
        <f t="shared" si="30"/>
        <v>0</v>
      </c>
      <c r="V92" s="13" t="e">
        <f t="shared" si="25"/>
        <v>#REF!</v>
      </c>
      <c r="W92">
        <f t="shared" si="26"/>
        <v>0</v>
      </c>
      <c r="X92">
        <f t="shared" si="31"/>
        <v>0</v>
      </c>
      <c r="Y92" s="6">
        <f t="shared" si="32"/>
        <v>0</v>
      </c>
    </row>
    <row r="93" spans="1:25" hidden="1" x14ac:dyDescent="0.25">
      <c r="A93" t="str">
        <f>'rockfish harvests'!A94</f>
        <v>SC</v>
      </c>
      <c r="B93">
        <f>'rockfish harvests'!B94</f>
        <v>2015</v>
      </c>
      <c r="C93" t="str">
        <f>'rockfish harvests'!C94</f>
        <v>CI</v>
      </c>
      <c r="D93">
        <f>'rockfish harvests'!D94</f>
        <v>6321</v>
      </c>
      <c r="E93">
        <f>'YE harvest'!E95</f>
        <v>457</v>
      </c>
      <c r="H93" s="13" t="e">
        <f>#REF!</f>
        <v>#REF!</v>
      </c>
      <c r="I93">
        <f t="shared" si="24"/>
        <v>0</v>
      </c>
      <c r="J93">
        <f t="shared" si="27"/>
        <v>0</v>
      </c>
      <c r="K93" s="6">
        <f t="shared" si="28"/>
        <v>0</v>
      </c>
      <c r="M93" s="2">
        <f>'rockfish harvests'!O94</f>
        <v>4002.3757374073521</v>
      </c>
      <c r="N93">
        <f>'rockfish harvests'!P94</f>
        <v>811336.58070905623</v>
      </c>
      <c r="Q93" s="13">
        <f t="shared" si="22"/>
        <v>0</v>
      </c>
      <c r="R93" s="14">
        <f t="shared" si="23"/>
        <v>0</v>
      </c>
      <c r="S93">
        <f t="shared" si="29"/>
        <v>0</v>
      </c>
      <c r="T93" s="6">
        <f t="shared" si="30"/>
        <v>0</v>
      </c>
      <c r="V93" s="13" t="e">
        <f t="shared" si="25"/>
        <v>#REF!</v>
      </c>
      <c r="W93">
        <f t="shared" si="26"/>
        <v>0</v>
      </c>
      <c r="X93">
        <f t="shared" si="31"/>
        <v>0</v>
      </c>
      <c r="Y93" s="6">
        <f t="shared" si="32"/>
        <v>0</v>
      </c>
    </row>
    <row r="94" spans="1:25" hidden="1" x14ac:dyDescent="0.25">
      <c r="A94" t="str">
        <f>'rockfish harvests'!A95</f>
        <v>SC</v>
      </c>
      <c r="B94">
        <f>'rockfish harvests'!B95</f>
        <v>2016</v>
      </c>
      <c r="C94" t="str">
        <f>'rockfish harvests'!C95</f>
        <v>CI</v>
      </c>
      <c r="D94">
        <f>'rockfish harvests'!D95</f>
        <v>10123</v>
      </c>
      <c r="E94">
        <f>'YE harvest'!E96</f>
        <v>779</v>
      </c>
      <c r="H94" s="13" t="e">
        <f>#REF!</f>
        <v>#REF!</v>
      </c>
      <c r="I94">
        <f t="shared" si="24"/>
        <v>0</v>
      </c>
      <c r="J94">
        <f t="shared" si="27"/>
        <v>0</v>
      </c>
      <c r="K94" s="6">
        <f t="shared" si="28"/>
        <v>0</v>
      </c>
      <c r="M94" s="2">
        <f>'rockfish harvests'!O95</f>
        <v>6323.0304871660555</v>
      </c>
      <c r="N94">
        <f>'rockfish harvests'!P95</f>
        <v>1298638.7245062976</v>
      </c>
      <c r="Q94" s="13">
        <f t="shared" si="22"/>
        <v>0</v>
      </c>
      <c r="R94" s="14">
        <f t="shared" si="23"/>
        <v>0</v>
      </c>
      <c r="S94">
        <f t="shared" si="29"/>
        <v>0</v>
      </c>
      <c r="T94" s="6">
        <f t="shared" si="30"/>
        <v>0</v>
      </c>
      <c r="V94" s="13" t="e">
        <f t="shared" si="25"/>
        <v>#REF!</v>
      </c>
      <c r="W94">
        <f t="shared" si="26"/>
        <v>0</v>
      </c>
      <c r="X94">
        <f t="shared" si="31"/>
        <v>0</v>
      </c>
      <c r="Y94" s="6">
        <f t="shared" si="32"/>
        <v>0</v>
      </c>
    </row>
    <row r="95" spans="1:25" hidden="1" x14ac:dyDescent="0.25">
      <c r="A95" t="str">
        <f>'rockfish harvests'!A96</f>
        <v>SC</v>
      </c>
      <c r="B95">
        <f>'rockfish harvests'!B96</f>
        <v>2017</v>
      </c>
      <c r="C95" t="str">
        <f>'rockfish harvests'!C96</f>
        <v>CI</v>
      </c>
      <c r="D95">
        <f>'rockfish harvests'!D96</f>
        <v>8376</v>
      </c>
      <c r="E95">
        <f>'YE harvest'!E97</f>
        <v>923</v>
      </c>
      <c r="H95" s="13" t="e">
        <f>#REF!</f>
        <v>#REF!</v>
      </c>
      <c r="I95">
        <f t="shared" si="24"/>
        <v>0</v>
      </c>
      <c r="J95">
        <f t="shared" si="27"/>
        <v>0</v>
      </c>
      <c r="K95" s="6">
        <f t="shared" si="28"/>
        <v>0</v>
      </c>
      <c r="M95" s="2">
        <f>'rockfish harvests'!O96</f>
        <v>3322.4902609334804</v>
      </c>
      <c r="N95">
        <f>'rockfish harvests'!P96</f>
        <v>525119.78521776723</v>
      </c>
      <c r="Q95" s="13">
        <f t="shared" si="22"/>
        <v>0</v>
      </c>
      <c r="R95" s="14">
        <f t="shared" si="23"/>
        <v>0</v>
      </c>
      <c r="S95">
        <f t="shared" si="29"/>
        <v>0</v>
      </c>
      <c r="T95" s="6">
        <f t="shared" si="30"/>
        <v>0</v>
      </c>
      <c r="V95" s="13" t="e">
        <f t="shared" si="25"/>
        <v>#REF!</v>
      </c>
      <c r="W95">
        <f t="shared" si="26"/>
        <v>0</v>
      </c>
      <c r="X95">
        <f t="shared" si="31"/>
        <v>0</v>
      </c>
      <c r="Y95" s="6">
        <f t="shared" si="32"/>
        <v>0</v>
      </c>
    </row>
    <row r="96" spans="1:25" hidden="1" x14ac:dyDescent="0.25">
      <c r="A96" t="str">
        <f>'rockfish harvests'!A97</f>
        <v>SC</v>
      </c>
      <c r="B96">
        <f>'rockfish harvests'!B97</f>
        <v>2018</v>
      </c>
      <c r="C96" t="str">
        <f>'rockfish harvests'!C97</f>
        <v>CI</v>
      </c>
      <c r="D96">
        <f>'rockfish harvests'!D97</f>
        <v>13009</v>
      </c>
      <c r="E96">
        <f>'YE harvest'!E98</f>
        <v>1031</v>
      </c>
      <c r="H96" s="13" t="e">
        <f>#REF!</f>
        <v>#REF!</v>
      </c>
      <c r="I96">
        <f t="shared" si="24"/>
        <v>0</v>
      </c>
      <c r="J96">
        <f t="shared" si="27"/>
        <v>0</v>
      </c>
      <c r="K96" s="6">
        <f t="shared" si="28"/>
        <v>0</v>
      </c>
      <c r="M96" s="2">
        <f>'rockfish harvests'!O97</f>
        <v>10029.600289296046</v>
      </c>
      <c r="N96">
        <f>'rockfish harvests'!P97</f>
        <v>5460886.0967642423</v>
      </c>
      <c r="Q96" s="13">
        <f t="shared" si="22"/>
        <v>0</v>
      </c>
      <c r="R96" s="14">
        <f t="shared" si="23"/>
        <v>0</v>
      </c>
      <c r="S96">
        <f t="shared" si="29"/>
        <v>0</v>
      </c>
      <c r="T96" s="6">
        <f t="shared" si="30"/>
        <v>0</v>
      </c>
      <c r="V96" s="13" t="e">
        <f t="shared" si="25"/>
        <v>#REF!</v>
      </c>
      <c r="W96">
        <f t="shared" si="26"/>
        <v>0</v>
      </c>
      <c r="X96">
        <f t="shared" si="31"/>
        <v>0</v>
      </c>
      <c r="Y96" s="6">
        <f t="shared" si="32"/>
        <v>0</v>
      </c>
    </row>
    <row r="97" spans="1:25" hidden="1" x14ac:dyDescent="0.25">
      <c r="A97" t="str">
        <f>'rockfish harvests'!A98</f>
        <v>SC</v>
      </c>
      <c r="B97">
        <f>'rockfish harvests'!B98</f>
        <v>2019</v>
      </c>
      <c r="C97" t="str">
        <f>'rockfish harvests'!C98</f>
        <v>CI</v>
      </c>
      <c r="D97">
        <f>'rockfish harvests'!D98</f>
        <v>16061</v>
      </c>
      <c r="E97">
        <f>'YE harvest'!E99</f>
        <v>985</v>
      </c>
      <c r="I97">
        <f t="shared" ref="I97:I98" si="33">(E97^2)*G97</f>
        <v>0</v>
      </c>
      <c r="J97">
        <f t="shared" ref="J97:J98" si="34">SQRT(I97)</f>
        <v>0</v>
      </c>
      <c r="K97" s="6">
        <f t="shared" ref="K97:K98" si="35">(1.96*J97)</f>
        <v>0</v>
      </c>
      <c r="M97" s="2">
        <f>'rockfish harvests'!O98</f>
        <v>11565.493536535585</v>
      </c>
      <c r="N97">
        <f>'rockfish harvests'!P98</f>
        <v>7400162.779370754</v>
      </c>
      <c r="R97" s="14"/>
      <c r="S97"/>
      <c r="T97" s="6"/>
      <c r="Y97" s="6"/>
    </row>
    <row r="98" spans="1:25" hidden="1" x14ac:dyDescent="0.25">
      <c r="A98" t="str">
        <f>'rockfish harvests'!A99</f>
        <v>SC</v>
      </c>
      <c r="B98">
        <f>'rockfish harvests'!B99</f>
        <v>2020</v>
      </c>
      <c r="C98" t="str">
        <f>'rockfish harvests'!C99</f>
        <v>CI</v>
      </c>
      <c r="D98">
        <f>'rockfish harvests'!D99</f>
        <v>9784</v>
      </c>
      <c r="E98">
        <f>'YE harvest'!E100</f>
        <v>650</v>
      </c>
      <c r="I98">
        <f t="shared" si="33"/>
        <v>0</v>
      </c>
      <c r="J98">
        <f t="shared" si="34"/>
        <v>0</v>
      </c>
      <c r="K98" s="6">
        <f t="shared" si="35"/>
        <v>0</v>
      </c>
      <c r="M98" s="2">
        <f>'rockfish harvests'!O99</f>
        <v>10340.813008130081</v>
      </c>
      <c r="N98">
        <f>'rockfish harvests'!P99</f>
        <v>6856537.925024569</v>
      </c>
      <c r="R98" s="14"/>
      <c r="S98"/>
      <c r="T98" s="6"/>
      <c r="Y98" s="6"/>
    </row>
    <row r="99" spans="1:25" hidden="1" x14ac:dyDescent="0.25">
      <c r="A99" t="str">
        <f>'rockfish harvests'!A100</f>
        <v>SC</v>
      </c>
      <c r="B99">
        <f>'rockfish harvests'!B100</f>
        <v>2021</v>
      </c>
      <c r="C99" t="str">
        <f>'rockfish harvests'!C100</f>
        <v>CI</v>
      </c>
      <c r="D99">
        <f>'rockfish harvests'!D100</f>
        <v>14326</v>
      </c>
      <c r="E99">
        <f>'YE harvest'!E101</f>
        <v>1101</v>
      </c>
      <c r="K99" s="6"/>
      <c r="M99" s="2">
        <f>'rockfish harvests'!O100</f>
        <v>7068.2694391332043</v>
      </c>
      <c r="N99">
        <f>'rockfish harvests'!P100</f>
        <v>3061133.8312190818</v>
      </c>
      <c r="R99" s="14"/>
      <c r="S99"/>
      <c r="T99" s="6"/>
      <c r="Y99" s="6"/>
    </row>
    <row r="100" spans="1:25" hidden="1" x14ac:dyDescent="0.25">
      <c r="A100" t="str">
        <f>'rockfish harvests'!A102</f>
        <v>SC</v>
      </c>
      <c r="B100">
        <f>'rockfish harvests'!B102</f>
        <v>1998</v>
      </c>
      <c r="C100" t="str">
        <f>'rockfish harvests'!C102</f>
        <v>EASTSIDE</v>
      </c>
      <c r="D100">
        <f>'rockfish harvests'!D102</f>
        <v>157</v>
      </c>
      <c r="E100">
        <f>'YE harvest'!E103</f>
        <v>82</v>
      </c>
      <c r="F100" s="38"/>
      <c r="G100" s="39"/>
      <c r="H100" s="13">
        <f t="shared" ref="H100:H107" si="36">E100*F100</f>
        <v>0</v>
      </c>
      <c r="I100">
        <f t="shared" si="24"/>
        <v>0</v>
      </c>
      <c r="J100">
        <f t="shared" si="27"/>
        <v>0</v>
      </c>
      <c r="K100" s="6">
        <f t="shared" si="28"/>
        <v>0</v>
      </c>
      <c r="M100" s="2">
        <f>'rockfish harvests'!O102</f>
        <v>22.108315533666314</v>
      </c>
      <c r="N100">
        <f>'rockfish harvests'!P102</f>
        <v>350.7410435791694</v>
      </c>
      <c r="Q100" s="13" t="e">
        <f>M100*#REF!</f>
        <v>#REF!</v>
      </c>
      <c r="R100" s="14" t="e">
        <f>(M100^2)*#REF!+(#REF!^2)*N100-(#REF!*N100)</f>
        <v>#REF!</v>
      </c>
      <c r="S100" t="e">
        <f t="shared" si="29"/>
        <v>#REF!</v>
      </c>
      <c r="T100" s="6" t="e">
        <f t="shared" si="30"/>
        <v>#REF!</v>
      </c>
      <c r="V100" s="13" t="e">
        <f t="shared" si="25"/>
        <v>#REF!</v>
      </c>
      <c r="W100" t="e">
        <f t="shared" si="26"/>
        <v>#REF!</v>
      </c>
      <c r="X100" t="e">
        <f t="shared" si="31"/>
        <v>#REF!</v>
      </c>
      <c r="Y100" s="6" t="e">
        <f t="shared" si="32"/>
        <v>#REF!</v>
      </c>
    </row>
    <row r="101" spans="1:25" hidden="1" x14ac:dyDescent="0.25">
      <c r="A101" t="str">
        <f>'rockfish harvests'!A103</f>
        <v>SC</v>
      </c>
      <c r="B101">
        <f>'rockfish harvests'!B103</f>
        <v>1999</v>
      </c>
      <c r="C101" t="str">
        <f>'rockfish harvests'!C103</f>
        <v>EASTSIDE</v>
      </c>
      <c r="D101">
        <f>'rockfish harvests'!D103</f>
        <v>121</v>
      </c>
      <c r="E101">
        <f>'YE harvest'!E104</f>
        <v>21</v>
      </c>
      <c r="F101" s="38"/>
      <c r="G101" s="39"/>
      <c r="H101" s="13">
        <f t="shared" si="36"/>
        <v>0</v>
      </c>
      <c r="I101">
        <f t="shared" si="24"/>
        <v>0</v>
      </c>
      <c r="J101">
        <f t="shared" si="27"/>
        <v>0</v>
      </c>
      <c r="K101" s="6">
        <f t="shared" si="28"/>
        <v>0</v>
      </c>
      <c r="M101" s="2">
        <f>'rockfish harvests'!O103</f>
        <v>16.687051745013036</v>
      </c>
      <c r="N101">
        <f>'rockfish harvests'!P103</f>
        <v>206.21704461477333</v>
      </c>
      <c r="Q101" s="13" t="e">
        <f>M101*#REF!</f>
        <v>#REF!</v>
      </c>
      <c r="R101" s="14" t="e">
        <f>(M101^2)*#REF!+(#REF!^2)*N101-(#REF!*N101)</f>
        <v>#REF!</v>
      </c>
      <c r="S101" t="e">
        <f t="shared" si="29"/>
        <v>#REF!</v>
      </c>
      <c r="T101" s="6" t="e">
        <f t="shared" si="30"/>
        <v>#REF!</v>
      </c>
      <c r="V101" s="13" t="e">
        <f t="shared" si="25"/>
        <v>#REF!</v>
      </c>
      <c r="W101" t="e">
        <f t="shared" si="26"/>
        <v>#REF!</v>
      </c>
      <c r="X101" t="e">
        <f t="shared" si="31"/>
        <v>#REF!</v>
      </c>
      <c r="Y101" s="6" t="e">
        <f t="shared" si="32"/>
        <v>#REF!</v>
      </c>
    </row>
    <row r="102" spans="1:25" hidden="1" x14ac:dyDescent="0.25">
      <c r="A102" t="str">
        <f>'rockfish harvests'!A104</f>
        <v>SC</v>
      </c>
      <c r="B102">
        <f>'rockfish harvests'!B104</f>
        <v>2000</v>
      </c>
      <c r="C102" t="str">
        <f>'rockfish harvests'!C104</f>
        <v>EASTSIDE</v>
      </c>
      <c r="D102">
        <f>'rockfish harvests'!D104</f>
        <v>423</v>
      </c>
      <c r="E102">
        <f>'YE harvest'!E105</f>
        <v>43</v>
      </c>
      <c r="F102" s="38"/>
      <c r="G102" s="39"/>
      <c r="H102" s="13">
        <f t="shared" si="36"/>
        <v>0</v>
      </c>
      <c r="I102">
        <f t="shared" si="24"/>
        <v>0</v>
      </c>
      <c r="J102">
        <f t="shared" si="27"/>
        <v>0</v>
      </c>
      <c r="K102" s="6">
        <f t="shared" si="28"/>
        <v>0</v>
      </c>
      <c r="M102" s="2">
        <f>'rockfish harvests'!O104</f>
        <v>58.335726348268736</v>
      </c>
      <c r="N102">
        <f>'rockfish harvests'!P104</f>
        <v>2520.1973619204136</v>
      </c>
      <c r="Q102" s="13" t="e">
        <f>M102*#REF!</f>
        <v>#REF!</v>
      </c>
      <c r="R102" s="14" t="e">
        <f>(M102^2)*#REF!+(#REF!^2)*N102-(#REF!*N102)</f>
        <v>#REF!</v>
      </c>
      <c r="S102" t="e">
        <f t="shared" si="29"/>
        <v>#REF!</v>
      </c>
      <c r="T102" s="6" t="e">
        <f t="shared" si="30"/>
        <v>#REF!</v>
      </c>
      <c r="V102" s="13" t="e">
        <f t="shared" si="25"/>
        <v>#REF!</v>
      </c>
      <c r="W102" t="e">
        <f t="shared" si="26"/>
        <v>#REF!</v>
      </c>
      <c r="X102" t="e">
        <f t="shared" si="31"/>
        <v>#REF!</v>
      </c>
      <c r="Y102" s="6" t="e">
        <f t="shared" si="32"/>
        <v>#REF!</v>
      </c>
    </row>
    <row r="103" spans="1:25" hidden="1" x14ac:dyDescent="0.25">
      <c r="A103" t="str">
        <f>'rockfish harvests'!A105</f>
        <v>SC</v>
      </c>
      <c r="B103">
        <f>'rockfish harvests'!B105</f>
        <v>2001</v>
      </c>
      <c r="C103" t="str">
        <f>'rockfish harvests'!C105</f>
        <v>EASTSIDE</v>
      </c>
      <c r="D103">
        <f>'rockfish harvests'!D105</f>
        <v>298</v>
      </c>
      <c r="E103">
        <f>'YE harvest'!E106</f>
        <v>67</v>
      </c>
      <c r="F103" s="38"/>
      <c r="G103" s="39"/>
      <c r="H103" s="13">
        <f t="shared" si="36"/>
        <v>0</v>
      </c>
      <c r="I103">
        <f t="shared" si="24"/>
        <v>0</v>
      </c>
      <c r="J103">
        <f t="shared" si="27"/>
        <v>0</v>
      </c>
      <c r="K103" s="6">
        <f t="shared" si="28"/>
        <v>0</v>
      </c>
      <c r="M103" s="2">
        <f>'rockfish harvests'!O105</f>
        <v>41.097036529040395</v>
      </c>
      <c r="N103">
        <f>'rockfish harvests'!P105</f>
        <v>1250.7956034403612</v>
      </c>
      <c r="Q103" s="13" t="e">
        <f>M103*#REF!</f>
        <v>#REF!</v>
      </c>
      <c r="R103" s="14" t="e">
        <f>(M103^2)*#REF!+(#REF!^2)*N103-(#REF!*N103)</f>
        <v>#REF!</v>
      </c>
      <c r="S103" t="e">
        <f t="shared" si="29"/>
        <v>#REF!</v>
      </c>
      <c r="T103" s="6" t="e">
        <f t="shared" si="30"/>
        <v>#REF!</v>
      </c>
      <c r="V103" s="13" t="e">
        <f t="shared" si="25"/>
        <v>#REF!</v>
      </c>
      <c r="W103" t="e">
        <f t="shared" si="26"/>
        <v>#REF!</v>
      </c>
      <c r="X103" t="e">
        <f t="shared" si="31"/>
        <v>#REF!</v>
      </c>
      <c r="Y103" s="6" t="e">
        <f t="shared" si="32"/>
        <v>#REF!</v>
      </c>
    </row>
    <row r="104" spans="1:25" hidden="1" x14ac:dyDescent="0.25">
      <c r="A104" t="str">
        <f>'rockfish harvests'!A106</f>
        <v>SC</v>
      </c>
      <c r="B104">
        <f>'rockfish harvests'!B106</f>
        <v>2002</v>
      </c>
      <c r="C104" t="str">
        <f>'rockfish harvests'!C106</f>
        <v>EASTSIDE</v>
      </c>
      <c r="D104">
        <f>'rockfish harvests'!D106</f>
        <v>319</v>
      </c>
      <c r="E104">
        <f>'YE harvest'!E107</f>
        <v>50</v>
      </c>
      <c r="F104" s="38"/>
      <c r="G104" s="39"/>
      <c r="H104" s="13">
        <f t="shared" si="36"/>
        <v>0</v>
      </c>
      <c r="I104">
        <f t="shared" si="24"/>
        <v>0</v>
      </c>
      <c r="J104">
        <f t="shared" si="27"/>
        <v>0</v>
      </c>
      <c r="K104" s="6">
        <f t="shared" si="28"/>
        <v>0</v>
      </c>
      <c r="M104" s="2">
        <f>'rockfish harvests'!O106</f>
        <v>43.993136418670758</v>
      </c>
      <c r="N104">
        <f>'rockfish harvests'!P106</f>
        <v>1433.2936737274742</v>
      </c>
      <c r="Q104" s="13" t="e">
        <f>M104*#REF!</f>
        <v>#REF!</v>
      </c>
      <c r="R104" s="14" t="e">
        <f>(M104^2)*#REF!+(#REF!^2)*N104-(#REF!*N104)</f>
        <v>#REF!</v>
      </c>
      <c r="S104" t="e">
        <f t="shared" si="29"/>
        <v>#REF!</v>
      </c>
      <c r="T104" s="6" t="e">
        <f t="shared" si="30"/>
        <v>#REF!</v>
      </c>
      <c r="V104" s="13" t="e">
        <f t="shared" si="25"/>
        <v>#REF!</v>
      </c>
      <c r="W104" t="e">
        <f t="shared" si="26"/>
        <v>#REF!</v>
      </c>
      <c r="X104" t="e">
        <f t="shared" si="31"/>
        <v>#REF!</v>
      </c>
      <c r="Y104" s="6" t="e">
        <f t="shared" si="32"/>
        <v>#REF!</v>
      </c>
    </row>
    <row r="105" spans="1:25" hidden="1" x14ac:dyDescent="0.25">
      <c r="A105" t="str">
        <f>'rockfish harvests'!A107</f>
        <v>SC</v>
      </c>
      <c r="B105">
        <f>'rockfish harvests'!B107</f>
        <v>2003</v>
      </c>
      <c r="C105" t="str">
        <f>'rockfish harvests'!C107</f>
        <v>EASTSIDE</v>
      </c>
      <c r="D105">
        <f>'rockfish harvests'!D107</f>
        <v>1012</v>
      </c>
      <c r="E105">
        <f>'YE harvest'!E108</f>
        <v>48</v>
      </c>
      <c r="F105" s="38"/>
      <c r="G105" s="39"/>
      <c r="H105" s="13">
        <f t="shared" si="36"/>
        <v>0</v>
      </c>
      <c r="I105">
        <f t="shared" si="24"/>
        <v>0</v>
      </c>
      <c r="J105">
        <f t="shared" si="27"/>
        <v>0</v>
      </c>
      <c r="K105" s="6">
        <f t="shared" si="28"/>
        <v>0</v>
      </c>
      <c r="M105" s="2">
        <f>'rockfish harvests'!O107</f>
        <v>139.56443277647281</v>
      </c>
      <c r="N105">
        <f>'rockfish harvests'!P107</f>
        <v>14424.967484458195</v>
      </c>
      <c r="Q105" s="13" t="e">
        <f>M105*#REF!</f>
        <v>#REF!</v>
      </c>
      <c r="R105" s="14" t="e">
        <f>(M105^2)*#REF!+(#REF!^2)*N105-(#REF!*N105)</f>
        <v>#REF!</v>
      </c>
      <c r="S105" t="e">
        <f t="shared" si="29"/>
        <v>#REF!</v>
      </c>
      <c r="T105" s="6" t="e">
        <f t="shared" si="30"/>
        <v>#REF!</v>
      </c>
      <c r="V105" s="13" t="e">
        <f t="shared" si="25"/>
        <v>#REF!</v>
      </c>
      <c r="W105" t="e">
        <f t="shared" si="26"/>
        <v>#REF!</v>
      </c>
      <c r="X105" t="e">
        <f t="shared" si="31"/>
        <v>#REF!</v>
      </c>
      <c r="Y105" s="6" t="e">
        <f t="shared" si="32"/>
        <v>#REF!</v>
      </c>
    </row>
    <row r="106" spans="1:25" hidden="1" x14ac:dyDescent="0.25">
      <c r="A106" t="str">
        <f>'rockfish harvests'!A108</f>
        <v>SC</v>
      </c>
      <c r="B106">
        <f>'rockfish harvests'!B108</f>
        <v>2004</v>
      </c>
      <c r="C106" t="str">
        <f>'rockfish harvests'!C108</f>
        <v>EASTSIDE</v>
      </c>
      <c r="D106">
        <f>'rockfish harvests'!D108</f>
        <v>730</v>
      </c>
      <c r="E106">
        <f>'YE harvest'!E109</f>
        <v>58</v>
      </c>
      <c r="F106" s="38"/>
      <c r="G106" s="39"/>
      <c r="H106" s="13">
        <f t="shared" si="36"/>
        <v>0</v>
      </c>
      <c r="I106">
        <f t="shared" si="24"/>
        <v>0</v>
      </c>
      <c r="J106">
        <f t="shared" si="27"/>
        <v>0</v>
      </c>
      <c r="K106" s="6">
        <f t="shared" si="28"/>
        <v>0</v>
      </c>
      <c r="M106" s="2">
        <f>'rockfish harvests'!O108</f>
        <v>100.67394854429358</v>
      </c>
      <c r="N106">
        <f>'rockfish harvests'!P108</f>
        <v>7505.8440731652699</v>
      </c>
      <c r="Q106" s="13" t="e">
        <f>M106*#REF!</f>
        <v>#REF!</v>
      </c>
      <c r="R106" s="14" t="e">
        <f>(M106^2)*#REF!+(#REF!^2)*N106-(#REF!*N106)</f>
        <v>#REF!</v>
      </c>
      <c r="S106" t="e">
        <f t="shared" si="29"/>
        <v>#REF!</v>
      </c>
      <c r="T106" s="6" t="e">
        <f t="shared" si="30"/>
        <v>#REF!</v>
      </c>
      <c r="V106" s="13" t="e">
        <f t="shared" si="25"/>
        <v>#REF!</v>
      </c>
      <c r="W106" t="e">
        <f t="shared" si="26"/>
        <v>#REF!</v>
      </c>
      <c r="X106" t="e">
        <f t="shared" si="31"/>
        <v>#REF!</v>
      </c>
      <c r="Y106" s="6" t="e">
        <f t="shared" si="32"/>
        <v>#REF!</v>
      </c>
    </row>
    <row r="107" spans="1:25" hidden="1" x14ac:dyDescent="0.25">
      <c r="A107" t="str">
        <f>'rockfish harvests'!A109</f>
        <v>SC</v>
      </c>
      <c r="B107">
        <f>'rockfish harvests'!B109</f>
        <v>2005</v>
      </c>
      <c r="C107" t="str">
        <f>'rockfish harvests'!C109</f>
        <v>EASTSIDE</v>
      </c>
      <c r="D107">
        <f>'rockfish harvests'!D109</f>
        <v>1242</v>
      </c>
      <c r="E107">
        <f>'YE harvest'!E110</f>
        <v>168</v>
      </c>
      <c r="F107" s="38"/>
      <c r="G107" s="39"/>
      <c r="H107" s="13">
        <f t="shared" si="36"/>
        <v>0</v>
      </c>
      <c r="I107">
        <f t="shared" si="24"/>
        <v>0</v>
      </c>
      <c r="J107">
        <f t="shared" si="27"/>
        <v>0</v>
      </c>
      <c r="K107" s="6">
        <f t="shared" si="28"/>
        <v>0</v>
      </c>
      <c r="M107" s="2">
        <f>'rockfish harvests'!O109</f>
        <v>171.28362204385303</v>
      </c>
      <c r="N107">
        <f>'rockfish harvests'!P109</f>
        <v>21726.862182169472</v>
      </c>
      <c r="Q107" s="13" t="e">
        <f>M107*#REF!</f>
        <v>#REF!</v>
      </c>
      <c r="R107" s="14" t="e">
        <f>(M107^2)*#REF!+(#REF!^2)*N107-(#REF!*N107)</f>
        <v>#REF!</v>
      </c>
      <c r="S107" t="e">
        <f t="shared" si="29"/>
        <v>#REF!</v>
      </c>
      <c r="T107" s="6" t="e">
        <f t="shared" si="30"/>
        <v>#REF!</v>
      </c>
      <c r="V107" s="13" t="e">
        <f t="shared" si="25"/>
        <v>#REF!</v>
      </c>
      <c r="W107" t="e">
        <f t="shared" si="26"/>
        <v>#REF!</v>
      </c>
      <c r="X107" t="e">
        <f t="shared" si="31"/>
        <v>#REF!</v>
      </c>
      <c r="Y107" s="6" t="e">
        <f t="shared" si="32"/>
        <v>#REF!</v>
      </c>
    </row>
    <row r="108" spans="1:25" hidden="1" x14ac:dyDescent="0.25">
      <c r="A108" t="str">
        <f>'rockfish harvests'!A110</f>
        <v>SC</v>
      </c>
      <c r="B108">
        <f>'rockfish harvests'!B110</f>
        <v>2006</v>
      </c>
      <c r="C108" t="str">
        <f>'rockfish harvests'!C110</f>
        <v>EASTSIDE</v>
      </c>
      <c r="D108">
        <f>'rockfish harvests'!D110</f>
        <v>1516</v>
      </c>
      <c r="E108">
        <f>'YE harvest'!E111</f>
        <v>160</v>
      </c>
      <c r="H108" s="13" t="e">
        <f>#REF!</f>
        <v>#REF!</v>
      </c>
      <c r="I108">
        <f t="shared" si="24"/>
        <v>0</v>
      </c>
      <c r="J108">
        <f t="shared" si="27"/>
        <v>0</v>
      </c>
      <c r="K108" s="6">
        <f t="shared" si="28"/>
        <v>0</v>
      </c>
      <c r="M108" s="2">
        <f>'rockfish harvests'!O110</f>
        <v>209.07083012760154</v>
      </c>
      <c r="N108">
        <f>'rockfish harvests'!P110</f>
        <v>32370.709657002288</v>
      </c>
      <c r="Q108" s="13" t="e">
        <f>M108*#REF!</f>
        <v>#REF!</v>
      </c>
      <c r="R108" s="14" t="e">
        <f>(M108^2)*#REF!+(#REF!^2)*N108-(#REF!*N108)</f>
        <v>#REF!</v>
      </c>
      <c r="S108" t="e">
        <f t="shared" si="29"/>
        <v>#REF!</v>
      </c>
      <c r="T108" s="6" t="e">
        <f t="shared" si="30"/>
        <v>#REF!</v>
      </c>
      <c r="V108" s="13" t="e">
        <f t="shared" si="25"/>
        <v>#REF!</v>
      </c>
      <c r="W108" t="e">
        <f t="shared" si="26"/>
        <v>#REF!</v>
      </c>
      <c r="X108" t="e">
        <f t="shared" si="31"/>
        <v>#REF!</v>
      </c>
      <c r="Y108" s="6" t="e">
        <f t="shared" si="32"/>
        <v>#REF!</v>
      </c>
    </row>
    <row r="109" spans="1:25" hidden="1" x14ac:dyDescent="0.25">
      <c r="A109" t="str">
        <f>'rockfish harvests'!A111</f>
        <v>SC</v>
      </c>
      <c r="B109">
        <f>'rockfish harvests'!B111</f>
        <v>2007</v>
      </c>
      <c r="C109" t="str">
        <f>'rockfish harvests'!C111</f>
        <v>EASTSIDE</v>
      </c>
      <c r="D109">
        <f>'rockfish harvests'!D111</f>
        <v>3481</v>
      </c>
      <c r="E109">
        <f>'YE harvest'!E112</f>
        <v>171</v>
      </c>
      <c r="H109" s="13" t="e">
        <f>#REF!</f>
        <v>#REF!</v>
      </c>
      <c r="I109">
        <f t="shared" si="24"/>
        <v>0</v>
      </c>
      <c r="J109">
        <f t="shared" si="27"/>
        <v>0</v>
      </c>
      <c r="K109" s="6">
        <f t="shared" si="28"/>
        <v>0</v>
      </c>
      <c r="M109" s="2">
        <f>'rockfish harvests'!O111</f>
        <v>480.0630340858711</v>
      </c>
      <c r="N109">
        <f>'rockfish harvests'!P111</f>
        <v>170671.83757600674</v>
      </c>
      <c r="Q109" s="13" t="e">
        <f>M109*#REF!</f>
        <v>#REF!</v>
      </c>
      <c r="R109" s="14" t="e">
        <f>(M109^2)*#REF!+(#REF!^2)*N109-(#REF!*N109)</f>
        <v>#REF!</v>
      </c>
      <c r="S109" t="e">
        <f t="shared" si="29"/>
        <v>#REF!</v>
      </c>
      <c r="T109" s="6" t="e">
        <f t="shared" si="30"/>
        <v>#REF!</v>
      </c>
      <c r="V109" s="13" t="e">
        <f t="shared" si="25"/>
        <v>#REF!</v>
      </c>
      <c r="W109" t="e">
        <f t="shared" si="26"/>
        <v>#REF!</v>
      </c>
      <c r="X109" t="e">
        <f t="shared" si="31"/>
        <v>#REF!</v>
      </c>
      <c r="Y109" s="6" t="e">
        <f t="shared" si="32"/>
        <v>#REF!</v>
      </c>
    </row>
    <row r="110" spans="1:25" hidden="1" x14ac:dyDescent="0.25">
      <c r="A110" t="str">
        <f>'rockfish harvests'!A112</f>
        <v>SC</v>
      </c>
      <c r="B110">
        <f>'rockfish harvests'!B112</f>
        <v>2008</v>
      </c>
      <c r="C110" t="str">
        <f>'rockfish harvests'!C112</f>
        <v>EASTSIDE</v>
      </c>
      <c r="D110">
        <f>'rockfish harvests'!D112</f>
        <v>2311</v>
      </c>
      <c r="E110">
        <f>'YE harvest'!E113</f>
        <v>213</v>
      </c>
      <c r="H110" s="13" t="e">
        <f>#REF!</f>
        <v>#REF!</v>
      </c>
      <c r="I110">
        <f t="shared" si="24"/>
        <v>0</v>
      </c>
      <c r="J110">
        <f t="shared" si="27"/>
        <v>0</v>
      </c>
      <c r="K110" s="6">
        <f t="shared" si="28"/>
        <v>0</v>
      </c>
      <c r="M110" s="2">
        <f>'rockfish harvests'!O112</f>
        <v>318.70889737789366</v>
      </c>
      <c r="N110">
        <f>'rockfish harvests'!P112</f>
        <v>75223.529863537799</v>
      </c>
      <c r="Q110" s="13" t="e">
        <f>M110*#REF!</f>
        <v>#REF!</v>
      </c>
      <c r="R110" s="14" t="e">
        <f>(M110^2)*#REF!+(#REF!^2)*N110-(#REF!*N110)</f>
        <v>#REF!</v>
      </c>
      <c r="S110" t="e">
        <f t="shared" si="29"/>
        <v>#REF!</v>
      </c>
      <c r="T110" s="6" t="e">
        <f t="shared" si="30"/>
        <v>#REF!</v>
      </c>
      <c r="V110" s="13" t="e">
        <f t="shared" si="25"/>
        <v>#REF!</v>
      </c>
      <c r="W110" t="e">
        <f t="shared" si="26"/>
        <v>#REF!</v>
      </c>
      <c r="X110" t="e">
        <f t="shared" si="31"/>
        <v>#REF!</v>
      </c>
      <c r="Y110" s="6" t="e">
        <f t="shared" si="32"/>
        <v>#REF!</v>
      </c>
    </row>
    <row r="111" spans="1:25" hidden="1" x14ac:dyDescent="0.25">
      <c r="A111" t="str">
        <f>'rockfish harvests'!A113</f>
        <v>SC</v>
      </c>
      <c r="B111">
        <f>'rockfish harvests'!B113</f>
        <v>2009</v>
      </c>
      <c r="C111" t="str">
        <f>'rockfish harvests'!C113</f>
        <v>EASTSIDE</v>
      </c>
      <c r="D111">
        <f>'rockfish harvests'!D113</f>
        <v>2296</v>
      </c>
      <c r="E111">
        <f>'YE harvest'!E114</f>
        <v>49</v>
      </c>
      <c r="H111" s="13" t="e">
        <f>#REF!</f>
        <v>#REF!</v>
      </c>
      <c r="I111">
        <f t="shared" si="24"/>
        <v>0</v>
      </c>
      <c r="J111">
        <f t="shared" si="27"/>
        <v>0</v>
      </c>
      <c r="K111" s="6">
        <f t="shared" si="28"/>
        <v>0</v>
      </c>
      <c r="M111" s="2">
        <f>'rockfish harvests'!O113</f>
        <v>316.64025459958657</v>
      </c>
      <c r="N111">
        <f>'rockfish harvests'!P113</f>
        <v>74250.19273710491</v>
      </c>
      <c r="Q111" s="13" t="e">
        <f>M111*#REF!</f>
        <v>#REF!</v>
      </c>
      <c r="R111" s="14" t="e">
        <f>(M111^2)*#REF!+(#REF!^2)*N111-(#REF!*N111)</f>
        <v>#REF!</v>
      </c>
      <c r="S111" t="e">
        <f t="shared" si="29"/>
        <v>#REF!</v>
      </c>
      <c r="T111" s="6" t="e">
        <f t="shared" si="30"/>
        <v>#REF!</v>
      </c>
      <c r="V111" s="13" t="e">
        <f t="shared" si="25"/>
        <v>#REF!</v>
      </c>
      <c r="W111" t="e">
        <f t="shared" si="26"/>
        <v>#REF!</v>
      </c>
      <c r="X111" t="e">
        <f t="shared" si="31"/>
        <v>#REF!</v>
      </c>
      <c r="Y111" s="6" t="e">
        <f t="shared" si="32"/>
        <v>#REF!</v>
      </c>
    </row>
    <row r="112" spans="1:25" hidden="1" x14ac:dyDescent="0.25">
      <c r="A112" t="str">
        <f>'rockfish harvests'!A114</f>
        <v>SC</v>
      </c>
      <c r="B112">
        <f>'rockfish harvests'!B114</f>
        <v>2010</v>
      </c>
      <c r="C112" t="str">
        <f>'rockfish harvests'!C114</f>
        <v>EASTSIDE</v>
      </c>
      <c r="D112">
        <f>'rockfish harvests'!D114</f>
        <v>2555</v>
      </c>
      <c r="E112">
        <f>'YE harvest'!E115</f>
        <v>892</v>
      </c>
      <c r="H112" s="13" t="e">
        <f>#REF!</f>
        <v>#REF!</v>
      </c>
      <c r="I112">
        <f t="shared" si="24"/>
        <v>0</v>
      </c>
      <c r="J112">
        <f t="shared" si="27"/>
        <v>0</v>
      </c>
      <c r="K112" s="6">
        <f t="shared" si="28"/>
        <v>0</v>
      </c>
      <c r="M112" s="2">
        <f>'rockfish harvests'!O114</f>
        <v>352.35881990502776</v>
      </c>
      <c r="N112">
        <f>'rockfish harvests'!P114</f>
        <v>91946.589896274556</v>
      </c>
      <c r="Q112" s="13" t="e">
        <f>M112*#REF!</f>
        <v>#REF!</v>
      </c>
      <c r="R112" s="14" t="e">
        <f>(M112^2)*#REF!+(#REF!^2)*N112-(#REF!*N112)</f>
        <v>#REF!</v>
      </c>
      <c r="S112" t="e">
        <f t="shared" si="29"/>
        <v>#REF!</v>
      </c>
      <c r="T112" s="6" t="e">
        <f t="shared" si="30"/>
        <v>#REF!</v>
      </c>
      <c r="V112" s="13" t="e">
        <f t="shared" si="25"/>
        <v>#REF!</v>
      </c>
      <c r="W112" t="e">
        <f t="shared" si="26"/>
        <v>#REF!</v>
      </c>
      <c r="X112" t="e">
        <f t="shared" si="31"/>
        <v>#REF!</v>
      </c>
      <c r="Y112" s="6" t="e">
        <f t="shared" si="32"/>
        <v>#REF!</v>
      </c>
    </row>
    <row r="113" spans="1:25" hidden="1" x14ac:dyDescent="0.25">
      <c r="A113" t="str">
        <f>'rockfish harvests'!A115</f>
        <v>SC</v>
      </c>
      <c r="B113">
        <f>'rockfish harvests'!B115</f>
        <v>2011</v>
      </c>
      <c r="C113" t="str">
        <f>'rockfish harvests'!C115</f>
        <v>EASTSIDE</v>
      </c>
      <c r="D113">
        <f>'rockfish harvests'!D115</f>
        <v>1928</v>
      </c>
      <c r="E113">
        <f>'YE harvest'!E116</f>
        <v>75</v>
      </c>
      <c r="H113" s="13" t="e">
        <f>#REF!</f>
        <v>#REF!</v>
      </c>
      <c r="I113">
        <f t="shared" si="24"/>
        <v>0</v>
      </c>
      <c r="J113">
        <f t="shared" si="27"/>
        <v>0</v>
      </c>
      <c r="K113" s="6">
        <f t="shared" si="28"/>
        <v>0</v>
      </c>
      <c r="M113" s="2">
        <f>'rockfish harvests'!O115</f>
        <v>51.46120422098079</v>
      </c>
      <c r="N113">
        <f>'rockfish harvests'!P115</f>
        <v>1649.9620849615694</v>
      </c>
      <c r="Q113" s="13" t="e">
        <f>M113*#REF!</f>
        <v>#REF!</v>
      </c>
      <c r="R113" s="14" t="e">
        <f>(M113^2)*#REF!+(#REF!^2)*N113-(#REF!*N113)</f>
        <v>#REF!</v>
      </c>
      <c r="S113" t="e">
        <f t="shared" si="29"/>
        <v>#REF!</v>
      </c>
      <c r="T113" s="6" t="e">
        <f t="shared" si="30"/>
        <v>#REF!</v>
      </c>
      <c r="V113" s="13" t="e">
        <f t="shared" si="25"/>
        <v>#REF!</v>
      </c>
      <c r="W113" t="e">
        <f t="shared" si="26"/>
        <v>#REF!</v>
      </c>
      <c r="X113" t="e">
        <f t="shared" si="31"/>
        <v>#REF!</v>
      </c>
      <c r="Y113" s="6" t="e">
        <f t="shared" si="32"/>
        <v>#REF!</v>
      </c>
    </row>
    <row r="114" spans="1:25" hidden="1" x14ac:dyDescent="0.25">
      <c r="A114" t="str">
        <f>'rockfish harvests'!A116</f>
        <v>SC</v>
      </c>
      <c r="B114">
        <f>'rockfish harvests'!B116</f>
        <v>2012</v>
      </c>
      <c r="C114" t="str">
        <f>'rockfish harvests'!C116</f>
        <v>EASTSIDE</v>
      </c>
      <c r="D114">
        <f>'rockfish harvests'!D116</f>
        <v>3433</v>
      </c>
      <c r="E114">
        <f>'YE harvest'!E117</f>
        <v>223</v>
      </c>
      <c r="H114" s="13" t="e">
        <f>#REF!</f>
        <v>#REF!</v>
      </c>
      <c r="I114">
        <f t="shared" si="24"/>
        <v>0</v>
      </c>
      <c r="J114">
        <f t="shared" si="27"/>
        <v>0</v>
      </c>
      <c r="K114" s="6">
        <f t="shared" si="28"/>
        <v>0</v>
      </c>
      <c r="M114" s="2">
        <f>'rockfish harvests'!O116</f>
        <v>276.3989021043003</v>
      </c>
      <c r="N114">
        <f>'rockfish harvests'!P116</f>
        <v>25117.984568882985</v>
      </c>
      <c r="Q114" s="13" t="e">
        <f>M114*#REF!</f>
        <v>#REF!</v>
      </c>
      <c r="R114" s="14" t="e">
        <f>(M114^2)*#REF!+(#REF!^2)*N114-(#REF!*N114)</f>
        <v>#REF!</v>
      </c>
      <c r="S114" t="e">
        <f t="shared" si="29"/>
        <v>#REF!</v>
      </c>
      <c r="T114" s="6" t="e">
        <f t="shared" si="30"/>
        <v>#REF!</v>
      </c>
      <c r="V114" s="13" t="e">
        <f t="shared" si="25"/>
        <v>#REF!</v>
      </c>
      <c r="W114" t="e">
        <f t="shared" si="26"/>
        <v>#REF!</v>
      </c>
      <c r="X114" t="e">
        <f t="shared" si="31"/>
        <v>#REF!</v>
      </c>
      <c r="Y114" s="6" t="e">
        <f t="shared" si="32"/>
        <v>#REF!</v>
      </c>
    </row>
    <row r="115" spans="1:25" hidden="1" x14ac:dyDescent="0.25">
      <c r="A115" t="str">
        <f>'rockfish harvests'!A117</f>
        <v>SC</v>
      </c>
      <c r="B115">
        <f>'rockfish harvests'!B117</f>
        <v>2013</v>
      </c>
      <c r="C115" t="str">
        <f>'rockfish harvests'!C117</f>
        <v>EASTSIDE</v>
      </c>
      <c r="D115">
        <f>'rockfish harvests'!D117</f>
        <v>2207</v>
      </c>
      <c r="E115">
        <f>'YE harvest'!E118</f>
        <v>126</v>
      </c>
      <c r="H115" s="13" t="e">
        <f>#REF!</f>
        <v>#REF!</v>
      </c>
      <c r="I115">
        <f t="shared" si="24"/>
        <v>0</v>
      </c>
      <c r="J115">
        <f t="shared" si="27"/>
        <v>0</v>
      </c>
      <c r="K115" s="6">
        <f t="shared" si="28"/>
        <v>0</v>
      </c>
      <c r="M115" s="2">
        <f>'rockfish harvests'!O117</f>
        <v>351.77988614800779</v>
      </c>
      <c r="N115">
        <f>'rockfish harvests'!P117</f>
        <v>93936.264893907151</v>
      </c>
      <c r="Q115" s="13" t="e">
        <f>M115*#REF!</f>
        <v>#REF!</v>
      </c>
      <c r="R115" s="14" t="e">
        <f>(M115^2)*#REF!+(#REF!^2)*N115-(#REF!*N115)</f>
        <v>#REF!</v>
      </c>
      <c r="S115" t="e">
        <f t="shared" si="29"/>
        <v>#REF!</v>
      </c>
      <c r="T115" s="6" t="e">
        <f t="shared" si="30"/>
        <v>#REF!</v>
      </c>
      <c r="V115" s="13" t="e">
        <f t="shared" si="25"/>
        <v>#REF!</v>
      </c>
      <c r="W115" t="e">
        <f t="shared" si="26"/>
        <v>#REF!</v>
      </c>
      <c r="X115" t="e">
        <f t="shared" si="31"/>
        <v>#REF!</v>
      </c>
      <c r="Y115" s="6" t="e">
        <f t="shared" si="32"/>
        <v>#REF!</v>
      </c>
    </row>
    <row r="116" spans="1:25" hidden="1" x14ac:dyDescent="0.25">
      <c r="A116" t="str">
        <f>'rockfish harvests'!A118</f>
        <v>SC</v>
      </c>
      <c r="B116">
        <f>'rockfish harvests'!B118</f>
        <v>2014</v>
      </c>
      <c r="C116" t="str">
        <f>'rockfish harvests'!C118</f>
        <v>EASTSIDE</v>
      </c>
      <c r="D116">
        <f>'rockfish harvests'!D118</f>
        <v>3551</v>
      </c>
      <c r="E116">
        <f>'YE harvest'!E119</f>
        <v>166</v>
      </c>
      <c r="H116" s="13" t="e">
        <f>#REF!</f>
        <v>#REF!</v>
      </c>
      <c r="I116">
        <f t="shared" si="24"/>
        <v>0</v>
      </c>
      <c r="J116">
        <f t="shared" si="27"/>
        <v>0</v>
      </c>
      <c r="K116" s="6">
        <f t="shared" si="28"/>
        <v>0</v>
      </c>
      <c r="M116" s="2">
        <f>'rockfish harvests'!O118</f>
        <v>250.87949818421885</v>
      </c>
      <c r="N116">
        <f>'rockfish harvests'!P118</f>
        <v>23714.551436006946</v>
      </c>
      <c r="Q116" s="13" t="e">
        <f>M116*#REF!</f>
        <v>#REF!</v>
      </c>
      <c r="R116" s="14" t="e">
        <f>(M116^2)*#REF!+(#REF!^2)*N116-(#REF!*N116)</f>
        <v>#REF!</v>
      </c>
      <c r="S116" t="e">
        <f t="shared" si="29"/>
        <v>#REF!</v>
      </c>
      <c r="T116" s="6" t="e">
        <f t="shared" si="30"/>
        <v>#REF!</v>
      </c>
      <c r="V116" s="13" t="e">
        <f t="shared" si="25"/>
        <v>#REF!</v>
      </c>
      <c r="W116" t="e">
        <f t="shared" si="26"/>
        <v>#REF!</v>
      </c>
      <c r="X116" t="e">
        <f t="shared" si="31"/>
        <v>#REF!</v>
      </c>
      <c r="Y116" s="6" t="e">
        <f t="shared" si="32"/>
        <v>#REF!</v>
      </c>
    </row>
    <row r="117" spans="1:25" hidden="1" x14ac:dyDescent="0.25">
      <c r="A117" t="str">
        <f>'rockfish harvests'!A119</f>
        <v>SC</v>
      </c>
      <c r="B117">
        <f>'rockfish harvests'!B119</f>
        <v>2015</v>
      </c>
      <c r="C117" t="str">
        <f>'rockfish harvests'!C119</f>
        <v>EASTSIDE</v>
      </c>
      <c r="D117">
        <f>'rockfish harvests'!D119</f>
        <v>2787</v>
      </c>
      <c r="E117">
        <f>'YE harvest'!E120</f>
        <v>152</v>
      </c>
      <c r="H117" s="13" t="e">
        <f>#REF!</f>
        <v>#REF!</v>
      </c>
      <c r="I117">
        <f t="shared" si="24"/>
        <v>0</v>
      </c>
      <c r="J117">
        <f t="shared" si="27"/>
        <v>0</v>
      </c>
      <c r="K117" s="6">
        <f t="shared" si="28"/>
        <v>0</v>
      </c>
      <c r="M117" s="2">
        <f>'rockfish harvests'!O119</f>
        <v>932.19872110181996</v>
      </c>
      <c r="N117">
        <f>'rockfish harvests'!P119</f>
        <v>360398.18316320516</v>
      </c>
      <c r="Q117" s="13" t="e">
        <f>M117*#REF!</f>
        <v>#REF!</v>
      </c>
      <c r="R117" s="14" t="e">
        <f>(M117^2)*#REF!+(#REF!^2)*N117-(#REF!*N117)</f>
        <v>#REF!</v>
      </c>
      <c r="S117" t="e">
        <f t="shared" si="29"/>
        <v>#REF!</v>
      </c>
      <c r="T117" s="6" t="e">
        <f t="shared" si="30"/>
        <v>#REF!</v>
      </c>
      <c r="V117" s="13" t="e">
        <f t="shared" si="25"/>
        <v>#REF!</v>
      </c>
      <c r="W117" t="e">
        <f t="shared" si="26"/>
        <v>#REF!</v>
      </c>
      <c r="X117" t="e">
        <f t="shared" si="31"/>
        <v>#REF!</v>
      </c>
      <c r="Y117" s="6" t="e">
        <f t="shared" si="32"/>
        <v>#REF!</v>
      </c>
    </row>
    <row r="118" spans="1:25" hidden="1" x14ac:dyDescent="0.25">
      <c r="A118" t="str">
        <f>'rockfish harvests'!A120</f>
        <v>SC</v>
      </c>
      <c r="B118">
        <f>'rockfish harvests'!B120</f>
        <v>2016</v>
      </c>
      <c r="C118" t="str">
        <f>'rockfish harvests'!C120</f>
        <v>EASTSIDE</v>
      </c>
      <c r="D118">
        <f>'rockfish harvests'!D120</f>
        <v>3561</v>
      </c>
      <c r="E118">
        <f>'YE harvest'!E121</f>
        <v>169</v>
      </c>
      <c r="H118" s="13" t="e">
        <f>#REF!</f>
        <v>#REF!</v>
      </c>
      <c r="I118">
        <f t="shared" si="24"/>
        <v>0</v>
      </c>
      <c r="J118">
        <f t="shared" si="27"/>
        <v>0</v>
      </c>
      <c r="K118" s="6">
        <f t="shared" si="28"/>
        <v>0</v>
      </c>
      <c r="M118" s="2">
        <f>'rockfish harvests'!O120</f>
        <v>418.19068471337596</v>
      </c>
      <c r="N118">
        <f>'rockfish harvests'!P120</f>
        <v>86017.579810230731</v>
      </c>
      <c r="Q118" s="13" t="e">
        <f>M118*#REF!</f>
        <v>#REF!</v>
      </c>
      <c r="R118" s="14" t="e">
        <f>(M118^2)*#REF!+(#REF!^2)*N118-(#REF!*N118)</f>
        <v>#REF!</v>
      </c>
      <c r="S118" t="e">
        <f t="shared" si="29"/>
        <v>#REF!</v>
      </c>
      <c r="T118" s="6" t="e">
        <f t="shared" si="30"/>
        <v>#REF!</v>
      </c>
      <c r="V118" s="13" t="e">
        <f t="shared" si="25"/>
        <v>#REF!</v>
      </c>
      <c r="W118" t="e">
        <f t="shared" si="26"/>
        <v>#REF!</v>
      </c>
      <c r="X118" t="e">
        <f t="shared" si="31"/>
        <v>#REF!</v>
      </c>
      <c r="Y118" s="6" t="e">
        <f t="shared" si="32"/>
        <v>#REF!</v>
      </c>
    </row>
    <row r="119" spans="1:25" hidden="1" x14ac:dyDescent="0.25">
      <c r="A119" t="str">
        <f>'rockfish harvests'!A121</f>
        <v>SC</v>
      </c>
      <c r="B119">
        <f>'rockfish harvests'!B121</f>
        <v>2017</v>
      </c>
      <c r="C119" t="str">
        <f>'rockfish harvests'!C121</f>
        <v>EASTSIDE</v>
      </c>
      <c r="D119">
        <f>'rockfish harvests'!D121</f>
        <v>3933</v>
      </c>
      <c r="E119">
        <f>'YE harvest'!E122</f>
        <v>56</v>
      </c>
      <c r="H119" s="13" t="e">
        <f>#REF!</f>
        <v>#REF!</v>
      </c>
      <c r="I119">
        <f t="shared" si="24"/>
        <v>0</v>
      </c>
      <c r="J119">
        <f t="shared" si="27"/>
        <v>0</v>
      </c>
      <c r="K119" s="6">
        <f t="shared" si="28"/>
        <v>0</v>
      </c>
      <c r="M119" s="2">
        <f>'rockfish harvests'!O121</f>
        <v>1353.8031716417918</v>
      </c>
      <c r="N119">
        <f>'rockfish harvests'!P121</f>
        <v>628325.57356668822</v>
      </c>
      <c r="Q119" s="13" t="e">
        <f>M119*#REF!</f>
        <v>#REF!</v>
      </c>
      <c r="R119" s="14" t="e">
        <f>(M119^2)*#REF!+(#REF!^2)*N119-(#REF!*N119)</f>
        <v>#REF!</v>
      </c>
      <c r="S119" t="e">
        <f t="shared" si="29"/>
        <v>#REF!</v>
      </c>
      <c r="T119" s="6" t="e">
        <f t="shared" si="30"/>
        <v>#REF!</v>
      </c>
      <c r="V119" s="13" t="e">
        <f t="shared" si="25"/>
        <v>#REF!</v>
      </c>
      <c r="W119" t="e">
        <f t="shared" si="26"/>
        <v>#REF!</v>
      </c>
      <c r="X119" t="e">
        <f t="shared" si="31"/>
        <v>#REF!</v>
      </c>
      <c r="Y119" s="6" t="e">
        <f t="shared" si="32"/>
        <v>#REF!</v>
      </c>
    </row>
    <row r="120" spans="1:25" hidden="1" x14ac:dyDescent="0.25">
      <c r="A120" t="str">
        <f>'rockfish harvests'!A122</f>
        <v>SC</v>
      </c>
      <c r="B120">
        <f>'rockfish harvests'!B122</f>
        <v>2018</v>
      </c>
      <c r="C120" t="str">
        <f>'rockfish harvests'!C122</f>
        <v>EASTSIDE</v>
      </c>
      <c r="D120">
        <f>'rockfish harvests'!D122</f>
        <v>3914</v>
      </c>
      <c r="E120">
        <f>'YE harvest'!E123</f>
        <v>224</v>
      </c>
      <c r="H120" s="13" t="e">
        <f>#REF!</f>
        <v>#REF!</v>
      </c>
      <c r="I120">
        <f t="shared" si="24"/>
        <v>0</v>
      </c>
      <c r="J120">
        <f t="shared" si="27"/>
        <v>0</v>
      </c>
      <c r="K120" s="6">
        <f t="shared" si="28"/>
        <v>0</v>
      </c>
      <c r="M120" s="2">
        <f>'rockfish harvests'!O122</f>
        <v>302.2796271637817</v>
      </c>
      <c r="N120">
        <f>'rockfish harvests'!P122</f>
        <v>37596.448991886558</v>
      </c>
      <c r="Q120" s="13" t="e">
        <f>M120*#REF!</f>
        <v>#REF!</v>
      </c>
      <c r="R120" s="14" t="e">
        <f>(M120^2)*#REF!+(#REF!^2)*N120-(#REF!*N120)</f>
        <v>#REF!</v>
      </c>
      <c r="S120" t="e">
        <f t="shared" si="29"/>
        <v>#REF!</v>
      </c>
      <c r="T120" s="6" t="e">
        <f t="shared" si="30"/>
        <v>#REF!</v>
      </c>
      <c r="V120" s="13" t="e">
        <f t="shared" si="25"/>
        <v>#REF!</v>
      </c>
      <c r="W120" t="e">
        <f t="shared" si="26"/>
        <v>#REF!</v>
      </c>
      <c r="X120" t="e">
        <f t="shared" si="31"/>
        <v>#REF!</v>
      </c>
      <c r="Y120" s="6" t="e">
        <f t="shared" si="32"/>
        <v>#REF!</v>
      </c>
    </row>
    <row r="121" spans="1:25" hidden="1" x14ac:dyDescent="0.25">
      <c r="A121" t="str">
        <f>'rockfish harvests'!A123</f>
        <v>SC</v>
      </c>
      <c r="B121">
        <f>'rockfish harvests'!B123</f>
        <v>2019</v>
      </c>
      <c r="C121" t="str">
        <f>'rockfish harvests'!C123</f>
        <v>EASTSIDE</v>
      </c>
      <c r="D121">
        <f>'rockfish harvests'!D123</f>
        <v>5680</v>
      </c>
      <c r="E121">
        <f>'YE harvest'!E124</f>
        <v>116</v>
      </c>
      <c r="I121">
        <f t="shared" ref="I121:I122" si="37">(E121^2)*G121</f>
        <v>0</v>
      </c>
      <c r="J121">
        <f t="shared" ref="J121:J122" si="38">SQRT(I121)</f>
        <v>0</v>
      </c>
      <c r="K121" s="6">
        <f t="shared" ref="K121:K122" si="39">(1.96*J121)</f>
        <v>0</v>
      </c>
      <c r="M121" s="2">
        <f>'rockfish harvests'!O123</f>
        <v>1827.1545603495351</v>
      </c>
      <c r="N121">
        <f>'rockfish harvests'!P123</f>
        <v>1939226.0896531206</v>
      </c>
      <c r="R121" s="14"/>
      <c r="S121"/>
      <c r="T121" s="6"/>
      <c r="Y121" s="6"/>
    </row>
    <row r="122" spans="1:25" hidden="1" x14ac:dyDescent="0.25">
      <c r="A122" t="str">
        <f>'rockfish harvests'!A124</f>
        <v>SC</v>
      </c>
      <c r="B122">
        <f>'rockfish harvests'!B124</f>
        <v>2020</v>
      </c>
      <c r="C122" t="str">
        <f>'rockfish harvests'!C124</f>
        <v>EASTSIDE</v>
      </c>
      <c r="D122">
        <f>'rockfish harvests'!D124</f>
        <v>1507</v>
      </c>
      <c r="E122">
        <f>'YE harvest'!E125</f>
        <v>71</v>
      </c>
      <c r="I122">
        <f t="shared" si="37"/>
        <v>0</v>
      </c>
      <c r="J122">
        <f t="shared" si="38"/>
        <v>0</v>
      </c>
      <c r="K122" s="6">
        <f t="shared" si="39"/>
        <v>0</v>
      </c>
      <c r="M122" s="2">
        <f>'rockfish harvests'!O124</f>
        <v>285.07252075141969</v>
      </c>
      <c r="N122">
        <f>'rockfish harvests'!P124</f>
        <v>20342.54532916598</v>
      </c>
      <c r="R122" s="14"/>
      <c r="S122"/>
      <c r="T122" s="6"/>
      <c r="Y122" s="6"/>
    </row>
    <row r="123" spans="1:25" hidden="1" x14ac:dyDescent="0.25">
      <c r="A123" t="str">
        <f>'rockfish harvests'!A125</f>
        <v>SC</v>
      </c>
      <c r="B123">
        <f>'rockfish harvests'!B125</f>
        <v>2021</v>
      </c>
      <c r="C123" t="str">
        <f>'rockfish harvests'!C125</f>
        <v>EASTSIDE</v>
      </c>
      <c r="D123">
        <f>'rockfish harvests'!D125</f>
        <v>2885</v>
      </c>
      <c r="E123">
        <f>'YE harvest'!E126</f>
        <v>187</v>
      </c>
      <c r="K123" s="6"/>
      <c r="M123" s="2">
        <f>'rockfish harvests'!O125</f>
        <v>450.56951620479094</v>
      </c>
      <c r="N123">
        <f>'rockfish harvests'!P125</f>
        <v>34555.289276141099</v>
      </c>
      <c r="R123" s="14"/>
      <c r="S123"/>
      <c r="T123" s="6"/>
      <c r="Y123" s="6"/>
    </row>
    <row r="124" spans="1:25" hidden="1" x14ac:dyDescent="0.25">
      <c r="A124" t="str">
        <f>'rockfish harvests'!A127</f>
        <v>SC</v>
      </c>
      <c r="B124">
        <f>'rockfish harvests'!B127</f>
        <v>1998</v>
      </c>
      <c r="C124" t="str">
        <f>'rockfish harvests'!C127</f>
        <v>NG</v>
      </c>
      <c r="D124">
        <f>'rockfish harvests'!D127</f>
        <v>5169</v>
      </c>
      <c r="E124">
        <f>'YE harvest'!E128</f>
        <v>1242</v>
      </c>
      <c r="F124" s="32"/>
      <c r="G124" s="32"/>
      <c r="H124" s="13">
        <f t="shared" ref="H124:H131" si="40">E124*F124</f>
        <v>0</v>
      </c>
      <c r="I124">
        <f t="shared" si="24"/>
        <v>0</v>
      </c>
      <c r="J124">
        <f t="shared" si="27"/>
        <v>0</v>
      </c>
      <c r="K124" s="6">
        <f t="shared" si="28"/>
        <v>0</v>
      </c>
      <c r="M124" s="2">
        <f>'rockfish harvests'!O127</f>
        <v>2556.220955913016</v>
      </c>
      <c r="N124">
        <f>'rockfish harvests'!P127</f>
        <v>380846.86521831615</v>
      </c>
      <c r="Q124" s="13">
        <f t="shared" ref="Q124:Q196" si="41">M124*O124</f>
        <v>0</v>
      </c>
      <c r="R124" s="14">
        <f t="shared" ref="R124:R196" si="42">(M124^2)*P124+(O124^2)*N124-(P124*N124)</f>
        <v>0</v>
      </c>
      <c r="S124">
        <f t="shared" si="29"/>
        <v>0</v>
      </c>
      <c r="T124" s="6">
        <f t="shared" si="30"/>
        <v>0</v>
      </c>
      <c r="V124" s="13">
        <f t="shared" si="25"/>
        <v>0</v>
      </c>
      <c r="W124">
        <f t="shared" si="26"/>
        <v>0</v>
      </c>
      <c r="X124">
        <f t="shared" si="31"/>
        <v>0</v>
      </c>
      <c r="Y124" s="6">
        <f t="shared" si="32"/>
        <v>0</v>
      </c>
    </row>
    <row r="125" spans="1:25" hidden="1" x14ac:dyDescent="0.25">
      <c r="A125" t="str">
        <f>'rockfish harvests'!A128</f>
        <v>SC</v>
      </c>
      <c r="B125">
        <f>'rockfish harvests'!B128</f>
        <v>1999</v>
      </c>
      <c r="C125" t="str">
        <f>'rockfish harvests'!C128</f>
        <v>NG</v>
      </c>
      <c r="D125">
        <f>'rockfish harvests'!D128</f>
        <v>9276</v>
      </c>
      <c r="E125">
        <f>'YE harvest'!E129</f>
        <v>1138</v>
      </c>
      <c r="H125" s="13">
        <f t="shared" si="40"/>
        <v>0</v>
      </c>
      <c r="I125">
        <f t="shared" si="24"/>
        <v>0</v>
      </c>
      <c r="J125">
        <f t="shared" si="27"/>
        <v>0</v>
      </c>
      <c r="K125" s="6">
        <f t="shared" si="28"/>
        <v>0</v>
      </c>
      <c r="M125" s="2">
        <f>'rockfish harvests'!O128</f>
        <v>4587.2519998160442</v>
      </c>
      <c r="N125">
        <f>'rockfish harvests'!P128</f>
        <v>1226475.2843498222</v>
      </c>
      <c r="Q125" s="13">
        <f t="shared" si="41"/>
        <v>0</v>
      </c>
      <c r="R125" s="14">
        <f t="shared" si="42"/>
        <v>0</v>
      </c>
      <c r="S125">
        <f t="shared" si="29"/>
        <v>0</v>
      </c>
      <c r="T125" s="6">
        <f t="shared" si="30"/>
        <v>0</v>
      </c>
      <c r="V125" s="13">
        <f t="shared" si="25"/>
        <v>0</v>
      </c>
      <c r="W125">
        <f t="shared" si="26"/>
        <v>0</v>
      </c>
      <c r="X125">
        <f t="shared" si="31"/>
        <v>0</v>
      </c>
      <c r="Y125" s="6">
        <f t="shared" si="32"/>
        <v>0</v>
      </c>
    </row>
    <row r="126" spans="1:25" hidden="1" x14ac:dyDescent="0.25">
      <c r="A126" t="str">
        <f>'rockfish harvests'!A129</f>
        <v>SC</v>
      </c>
      <c r="B126">
        <f>'rockfish harvests'!B129</f>
        <v>2000</v>
      </c>
      <c r="C126" t="str">
        <f>'rockfish harvests'!C129</f>
        <v>NG</v>
      </c>
      <c r="D126">
        <f>'rockfish harvests'!D129</f>
        <v>13107</v>
      </c>
      <c r="E126">
        <f>'YE harvest'!E130</f>
        <v>2404</v>
      </c>
      <c r="H126" s="13">
        <f t="shared" si="40"/>
        <v>0</v>
      </c>
      <c r="I126">
        <f t="shared" si="24"/>
        <v>0</v>
      </c>
      <c r="J126">
        <f t="shared" si="27"/>
        <v>0</v>
      </c>
      <c r="K126" s="6">
        <f t="shared" si="28"/>
        <v>0</v>
      </c>
      <c r="M126" s="2">
        <f>'rockfish harvests'!O129</f>
        <v>6481.7930100893609</v>
      </c>
      <c r="N126">
        <f>'rockfish harvests'!P129</f>
        <v>2448747.0158551079</v>
      </c>
      <c r="Q126" s="13">
        <f t="shared" si="41"/>
        <v>0</v>
      </c>
      <c r="R126" s="14">
        <f t="shared" si="42"/>
        <v>0</v>
      </c>
      <c r="S126">
        <f t="shared" si="29"/>
        <v>0</v>
      </c>
      <c r="T126" s="6">
        <f t="shared" si="30"/>
        <v>0</v>
      </c>
      <c r="V126" s="13">
        <f t="shared" si="25"/>
        <v>0</v>
      </c>
      <c r="W126">
        <f t="shared" si="26"/>
        <v>0</v>
      </c>
      <c r="X126">
        <f t="shared" si="31"/>
        <v>0</v>
      </c>
      <c r="Y126" s="6">
        <f t="shared" si="32"/>
        <v>0</v>
      </c>
    </row>
    <row r="127" spans="1:25" hidden="1" x14ac:dyDescent="0.25">
      <c r="A127" t="str">
        <f>'rockfish harvests'!A130</f>
        <v>SC</v>
      </c>
      <c r="B127">
        <f>'rockfish harvests'!B130</f>
        <v>2001</v>
      </c>
      <c r="C127" t="str">
        <f>'rockfish harvests'!C130</f>
        <v>NG</v>
      </c>
      <c r="D127">
        <f>'rockfish harvests'!D130</f>
        <v>20907</v>
      </c>
      <c r="E127">
        <f>'YE harvest'!E131</f>
        <v>2450</v>
      </c>
      <c r="H127" s="13">
        <f t="shared" si="40"/>
        <v>0</v>
      </c>
      <c r="I127">
        <f t="shared" si="24"/>
        <v>0</v>
      </c>
      <c r="J127">
        <f t="shared" si="27"/>
        <v>0</v>
      </c>
      <c r="K127" s="6">
        <f t="shared" si="28"/>
        <v>0</v>
      </c>
      <c r="M127" s="2">
        <f>'rockfish harvests'!O130</f>
        <v>10339.120047450848</v>
      </c>
      <c r="N127">
        <f>'rockfish harvests'!P130</f>
        <v>6230469.2850139625</v>
      </c>
      <c r="Q127" s="13">
        <f t="shared" si="41"/>
        <v>0</v>
      </c>
      <c r="R127" s="14">
        <f t="shared" si="42"/>
        <v>0</v>
      </c>
      <c r="S127">
        <f t="shared" si="29"/>
        <v>0</v>
      </c>
      <c r="T127" s="6">
        <f t="shared" si="30"/>
        <v>0</v>
      </c>
      <c r="V127" s="13">
        <f t="shared" si="25"/>
        <v>0</v>
      </c>
      <c r="W127">
        <f t="shared" si="26"/>
        <v>0</v>
      </c>
      <c r="X127">
        <f t="shared" si="31"/>
        <v>0</v>
      </c>
      <c r="Y127" s="6">
        <f t="shared" si="32"/>
        <v>0</v>
      </c>
    </row>
    <row r="128" spans="1:25" hidden="1" x14ac:dyDescent="0.25">
      <c r="A128" t="str">
        <f>'rockfish harvests'!A131</f>
        <v>SC</v>
      </c>
      <c r="B128">
        <f>'rockfish harvests'!B131</f>
        <v>2002</v>
      </c>
      <c r="C128" t="str">
        <f>'rockfish harvests'!C131</f>
        <v>NG</v>
      </c>
      <c r="D128">
        <f>'rockfish harvests'!D131</f>
        <v>17318</v>
      </c>
      <c r="E128">
        <f>'YE harvest'!E132</f>
        <v>2230</v>
      </c>
      <c r="H128" s="13">
        <f t="shared" si="40"/>
        <v>0</v>
      </c>
      <c r="I128">
        <f t="shared" si="24"/>
        <v>0</v>
      </c>
      <c r="J128">
        <f t="shared" si="27"/>
        <v>0</v>
      </c>
      <c r="K128" s="6">
        <f t="shared" si="28"/>
        <v>0</v>
      </c>
      <c r="M128" s="2">
        <f>'rockfish harvests'!O131</f>
        <v>8564.2550811572073</v>
      </c>
      <c r="N128">
        <f>'rockfish harvests'!P131</f>
        <v>4274967.2451758217</v>
      </c>
      <c r="Q128" s="13">
        <f t="shared" si="41"/>
        <v>0</v>
      </c>
      <c r="R128" s="14">
        <f t="shared" si="42"/>
        <v>0</v>
      </c>
      <c r="S128">
        <f t="shared" si="29"/>
        <v>0</v>
      </c>
      <c r="T128" s="6">
        <f t="shared" si="30"/>
        <v>0</v>
      </c>
      <c r="V128" s="13">
        <f t="shared" si="25"/>
        <v>0</v>
      </c>
      <c r="W128">
        <f t="shared" si="26"/>
        <v>0</v>
      </c>
      <c r="X128">
        <f t="shared" si="31"/>
        <v>0</v>
      </c>
      <c r="Y128" s="6">
        <f t="shared" si="32"/>
        <v>0</v>
      </c>
    </row>
    <row r="129" spans="1:25" hidden="1" x14ac:dyDescent="0.25">
      <c r="A129" t="str">
        <f>'rockfish harvests'!A132</f>
        <v>SC</v>
      </c>
      <c r="B129">
        <f>'rockfish harvests'!B132</f>
        <v>2003</v>
      </c>
      <c r="C129" t="str">
        <f>'rockfish harvests'!C132</f>
        <v>NG</v>
      </c>
      <c r="D129">
        <f>'rockfish harvests'!D132</f>
        <v>17020</v>
      </c>
      <c r="E129">
        <f>'YE harvest'!E133</f>
        <v>3447</v>
      </c>
      <c r="H129" s="13">
        <f t="shared" si="40"/>
        <v>0</v>
      </c>
      <c r="I129">
        <f t="shared" si="24"/>
        <v>0</v>
      </c>
      <c r="J129">
        <f t="shared" si="27"/>
        <v>0</v>
      </c>
      <c r="K129" s="6">
        <f t="shared" si="28"/>
        <v>0</v>
      </c>
      <c r="M129" s="2">
        <f>'rockfish harvests'!O132</f>
        <v>8416.8854071657042</v>
      </c>
      <c r="N129">
        <f>'rockfish harvests'!P132</f>
        <v>4129109.8070434225</v>
      </c>
      <c r="Q129" s="13">
        <f t="shared" si="41"/>
        <v>0</v>
      </c>
      <c r="R129" s="14">
        <f t="shared" si="42"/>
        <v>0</v>
      </c>
      <c r="S129">
        <f t="shared" si="29"/>
        <v>0</v>
      </c>
      <c r="T129" s="6">
        <f t="shared" si="30"/>
        <v>0</v>
      </c>
      <c r="V129" s="13">
        <f t="shared" si="25"/>
        <v>0</v>
      </c>
      <c r="W129">
        <f t="shared" si="26"/>
        <v>0</v>
      </c>
      <c r="X129">
        <f t="shared" si="31"/>
        <v>0</v>
      </c>
      <c r="Y129" s="6">
        <f t="shared" si="32"/>
        <v>0</v>
      </c>
    </row>
    <row r="130" spans="1:25" hidden="1" x14ac:dyDescent="0.25">
      <c r="A130" t="str">
        <f>'rockfish harvests'!A133</f>
        <v>SC</v>
      </c>
      <c r="B130">
        <f>'rockfish harvests'!B133</f>
        <v>2004</v>
      </c>
      <c r="C130" t="str">
        <f>'rockfish harvests'!C133</f>
        <v>NG</v>
      </c>
      <c r="D130">
        <f>'rockfish harvests'!D133</f>
        <v>19434</v>
      </c>
      <c r="E130">
        <f>'YE harvest'!E134</f>
        <v>3475</v>
      </c>
      <c r="H130" s="13">
        <f t="shared" si="40"/>
        <v>0</v>
      </c>
      <c r="I130">
        <f t="shared" si="24"/>
        <v>0</v>
      </c>
      <c r="J130">
        <f t="shared" si="27"/>
        <v>0</v>
      </c>
      <c r="K130" s="6">
        <f t="shared" si="28"/>
        <v>0</v>
      </c>
      <c r="M130" s="2">
        <f>'rockfish harvests'!O133</f>
        <v>9610.6786723183504</v>
      </c>
      <c r="N130">
        <f>'rockfish harvests'!P133</f>
        <v>5383462.8158731172</v>
      </c>
      <c r="Q130" s="13">
        <f t="shared" si="41"/>
        <v>0</v>
      </c>
      <c r="R130" s="14">
        <f t="shared" si="42"/>
        <v>0</v>
      </c>
      <c r="S130">
        <f t="shared" si="29"/>
        <v>0</v>
      </c>
      <c r="T130" s="6">
        <f t="shared" si="30"/>
        <v>0</v>
      </c>
      <c r="V130" s="13">
        <f t="shared" si="25"/>
        <v>0</v>
      </c>
      <c r="W130">
        <f t="shared" si="26"/>
        <v>0</v>
      </c>
      <c r="X130">
        <f t="shared" si="31"/>
        <v>0</v>
      </c>
      <c r="Y130" s="6">
        <f t="shared" si="32"/>
        <v>0</v>
      </c>
    </row>
    <row r="131" spans="1:25" hidden="1" x14ac:dyDescent="0.25">
      <c r="A131" t="str">
        <f>'rockfish harvests'!A134</f>
        <v>SC</v>
      </c>
      <c r="B131">
        <f>'rockfish harvests'!B134</f>
        <v>2005</v>
      </c>
      <c r="C131" t="str">
        <f>'rockfish harvests'!C134</f>
        <v>NG</v>
      </c>
      <c r="D131">
        <f>'rockfish harvests'!D134</f>
        <v>22792</v>
      </c>
      <c r="E131">
        <f>'YE harvest'!E135</f>
        <v>4171</v>
      </c>
      <c r="H131" s="13">
        <f t="shared" si="40"/>
        <v>0</v>
      </c>
      <c r="I131">
        <f t="shared" si="24"/>
        <v>0</v>
      </c>
      <c r="J131">
        <f t="shared" si="27"/>
        <v>0</v>
      </c>
      <c r="K131" s="6">
        <f t="shared" si="28"/>
        <v>0</v>
      </c>
      <c r="M131" s="2">
        <f>'rockfish harvests'!O134</f>
        <v>11271.307414813207</v>
      </c>
      <c r="N131">
        <f>'rockfish harvests'!P134</f>
        <v>7404610.0706118569</v>
      </c>
      <c r="Q131" s="13">
        <f t="shared" si="41"/>
        <v>0</v>
      </c>
      <c r="R131" s="14">
        <f t="shared" si="42"/>
        <v>0</v>
      </c>
      <c r="S131">
        <f t="shared" si="29"/>
        <v>0</v>
      </c>
      <c r="T131" s="6">
        <f t="shared" si="30"/>
        <v>0</v>
      </c>
      <c r="V131" s="13">
        <f t="shared" si="25"/>
        <v>0</v>
      </c>
      <c r="W131">
        <f t="shared" si="26"/>
        <v>0</v>
      </c>
      <c r="X131">
        <f t="shared" si="31"/>
        <v>0</v>
      </c>
      <c r="Y131" s="6">
        <f t="shared" si="32"/>
        <v>0</v>
      </c>
    </row>
    <row r="132" spans="1:25" hidden="1" x14ac:dyDescent="0.25">
      <c r="A132" t="str">
        <f>'rockfish harvests'!A135</f>
        <v>SC</v>
      </c>
      <c r="B132">
        <f>'rockfish harvests'!B135</f>
        <v>2006</v>
      </c>
      <c r="C132" t="str">
        <f>'rockfish harvests'!C135</f>
        <v>NG</v>
      </c>
      <c r="D132">
        <f>'rockfish harvests'!D135</f>
        <v>19998</v>
      </c>
      <c r="E132">
        <f>'YE harvest'!E136</f>
        <v>4131</v>
      </c>
      <c r="H132" s="13" t="e">
        <f>#REF!</f>
        <v>#REF!</v>
      </c>
      <c r="I132">
        <f t="shared" si="24"/>
        <v>0</v>
      </c>
      <c r="J132">
        <f t="shared" si="27"/>
        <v>0</v>
      </c>
      <c r="K132" s="6">
        <f t="shared" si="28"/>
        <v>0</v>
      </c>
      <c r="M132" s="2">
        <f>'rockfish harvests'!O135</f>
        <v>9889.5930888660259</v>
      </c>
      <c r="N132">
        <f>'rockfish harvests'!P135</f>
        <v>5700467.1719220383</v>
      </c>
      <c r="Q132" s="13">
        <f t="shared" si="41"/>
        <v>0</v>
      </c>
      <c r="R132" s="14">
        <f t="shared" si="42"/>
        <v>0</v>
      </c>
      <c r="S132">
        <f t="shared" si="29"/>
        <v>0</v>
      </c>
      <c r="T132" s="6">
        <f t="shared" si="30"/>
        <v>0</v>
      </c>
      <c r="V132" s="13" t="e">
        <f t="shared" si="25"/>
        <v>#REF!</v>
      </c>
      <c r="W132">
        <f t="shared" si="26"/>
        <v>0</v>
      </c>
      <c r="X132">
        <f t="shared" si="31"/>
        <v>0</v>
      </c>
      <c r="Y132" s="6">
        <f t="shared" si="32"/>
        <v>0</v>
      </c>
    </row>
    <row r="133" spans="1:25" hidden="1" x14ac:dyDescent="0.25">
      <c r="A133" t="str">
        <f>'rockfish harvests'!A136</f>
        <v>SC</v>
      </c>
      <c r="B133">
        <f>'rockfish harvests'!B136</f>
        <v>2007</v>
      </c>
      <c r="C133" t="str">
        <f>'rockfish harvests'!C136</f>
        <v>NG</v>
      </c>
      <c r="D133">
        <f>'rockfish harvests'!D136</f>
        <v>23861</v>
      </c>
      <c r="E133">
        <f>'YE harvest'!E137</f>
        <v>4118</v>
      </c>
      <c r="H133" s="13" t="e">
        <f>#REF!</f>
        <v>#REF!</v>
      </c>
      <c r="I133">
        <f t="shared" si="24"/>
        <v>0</v>
      </c>
      <c r="J133">
        <f t="shared" si="27"/>
        <v>0</v>
      </c>
      <c r="K133" s="6">
        <f t="shared" si="28"/>
        <v>0</v>
      </c>
      <c r="M133" s="2">
        <f>'rockfish harvests'!O136</f>
        <v>11799.959030574668</v>
      </c>
      <c r="N133">
        <f>'rockfish harvests'!P136</f>
        <v>8115487.2982604261</v>
      </c>
      <c r="Q133" s="13">
        <f t="shared" si="41"/>
        <v>0</v>
      </c>
      <c r="R133" s="14">
        <f t="shared" si="42"/>
        <v>0</v>
      </c>
      <c r="S133">
        <f t="shared" si="29"/>
        <v>0</v>
      </c>
      <c r="T133" s="6">
        <f t="shared" si="30"/>
        <v>0</v>
      </c>
      <c r="V133" s="13" t="e">
        <f t="shared" si="25"/>
        <v>#REF!</v>
      </c>
      <c r="W133">
        <f t="shared" si="26"/>
        <v>0</v>
      </c>
      <c r="X133">
        <f t="shared" si="31"/>
        <v>0</v>
      </c>
      <c r="Y133" s="6">
        <f t="shared" si="32"/>
        <v>0</v>
      </c>
    </row>
    <row r="134" spans="1:25" hidden="1" x14ac:dyDescent="0.25">
      <c r="A134" t="str">
        <f>'rockfish harvests'!A137</f>
        <v>SC</v>
      </c>
      <c r="B134">
        <f>'rockfish harvests'!B137</f>
        <v>2008</v>
      </c>
      <c r="C134" t="str">
        <f>'rockfish harvests'!C137</f>
        <v>NG</v>
      </c>
      <c r="D134">
        <f>'rockfish harvests'!D137</f>
        <v>25596</v>
      </c>
      <c r="E134">
        <f>'YE harvest'!E138</f>
        <v>4729</v>
      </c>
      <c r="H134" s="13" t="e">
        <f>#REF!</f>
        <v>#REF!</v>
      </c>
      <c r="I134">
        <f t="shared" si="24"/>
        <v>0</v>
      </c>
      <c r="J134">
        <f t="shared" si="27"/>
        <v>0</v>
      </c>
      <c r="K134" s="6">
        <f t="shared" si="28"/>
        <v>0</v>
      </c>
      <c r="M134" s="2">
        <f>'rockfish harvests'!O137</f>
        <v>12657.967031833927</v>
      </c>
      <c r="N134">
        <f>'rockfish harvests'!P137</f>
        <v>9338594.6288435515</v>
      </c>
      <c r="Q134" s="13">
        <f t="shared" si="41"/>
        <v>0</v>
      </c>
      <c r="R134" s="14">
        <f t="shared" si="42"/>
        <v>0</v>
      </c>
      <c r="S134">
        <f t="shared" si="29"/>
        <v>0</v>
      </c>
      <c r="T134" s="6">
        <f t="shared" si="30"/>
        <v>0</v>
      </c>
      <c r="V134" s="13" t="e">
        <f t="shared" si="25"/>
        <v>#REF!</v>
      </c>
      <c r="W134">
        <f t="shared" si="26"/>
        <v>0</v>
      </c>
      <c r="X134">
        <f t="shared" si="31"/>
        <v>0</v>
      </c>
      <c r="Y134" s="6">
        <f t="shared" si="32"/>
        <v>0</v>
      </c>
    </row>
    <row r="135" spans="1:25" hidden="1" x14ac:dyDescent="0.25">
      <c r="A135" t="str">
        <f>'rockfish harvests'!A138</f>
        <v>SC</v>
      </c>
      <c r="B135">
        <f>'rockfish harvests'!B138</f>
        <v>2009</v>
      </c>
      <c r="C135" t="str">
        <f>'rockfish harvests'!C138</f>
        <v>NG</v>
      </c>
      <c r="D135">
        <f>'rockfish harvests'!D138</f>
        <v>21909</v>
      </c>
      <c r="E135">
        <f>'YE harvest'!E139</f>
        <v>3321</v>
      </c>
      <c r="H135" s="13" t="e">
        <f>#REF!</f>
        <v>#REF!</v>
      </c>
      <c r="I135">
        <f t="shared" si="24"/>
        <v>0</v>
      </c>
      <c r="J135">
        <f t="shared" si="27"/>
        <v>0</v>
      </c>
      <c r="K135" s="6">
        <f t="shared" si="28"/>
        <v>0</v>
      </c>
      <c r="M135" s="2">
        <f>'rockfish harvests'!O138</f>
        <v>10834.638213019593</v>
      </c>
      <c r="N135">
        <f>'rockfish harvests'!P138</f>
        <v>6841989.9451254793</v>
      </c>
      <c r="Q135" s="13">
        <f t="shared" si="41"/>
        <v>0</v>
      </c>
      <c r="R135" s="14">
        <f t="shared" si="42"/>
        <v>0</v>
      </c>
      <c r="S135">
        <f t="shared" si="29"/>
        <v>0</v>
      </c>
      <c r="T135" s="6">
        <f t="shared" si="30"/>
        <v>0</v>
      </c>
      <c r="V135" s="13" t="e">
        <f t="shared" si="25"/>
        <v>#REF!</v>
      </c>
      <c r="W135">
        <f t="shared" si="26"/>
        <v>0</v>
      </c>
      <c r="X135">
        <f t="shared" si="31"/>
        <v>0</v>
      </c>
      <c r="Y135" s="6">
        <f t="shared" si="32"/>
        <v>0</v>
      </c>
    </row>
    <row r="136" spans="1:25" hidden="1" x14ac:dyDescent="0.25">
      <c r="A136" t="str">
        <f>'rockfish harvests'!A139</f>
        <v>SC</v>
      </c>
      <c r="B136">
        <f>'rockfish harvests'!B139</f>
        <v>2010</v>
      </c>
      <c r="C136" t="str">
        <f>'rockfish harvests'!C139</f>
        <v>NG</v>
      </c>
      <c r="D136">
        <f>'rockfish harvests'!D139</f>
        <v>27027</v>
      </c>
      <c r="E136">
        <f>'YE harvest'!E140</f>
        <v>6189</v>
      </c>
      <c r="H136" s="13" t="e">
        <f>#REF!</f>
        <v>#REF!</v>
      </c>
      <c r="I136">
        <f t="shared" si="24"/>
        <v>0</v>
      </c>
      <c r="J136">
        <f t="shared" si="27"/>
        <v>0</v>
      </c>
      <c r="K136" s="6">
        <f t="shared" si="28"/>
        <v>0</v>
      </c>
      <c r="M136" s="2">
        <f>'rockfish harvests'!O139</f>
        <v>13365.638184457552</v>
      </c>
      <c r="N136">
        <f>'rockfish harvests'!P139</f>
        <v>10411972.30311189</v>
      </c>
      <c r="Q136" s="13">
        <f t="shared" si="41"/>
        <v>0</v>
      </c>
      <c r="R136" s="14">
        <f t="shared" si="42"/>
        <v>0</v>
      </c>
      <c r="S136">
        <f t="shared" si="29"/>
        <v>0</v>
      </c>
      <c r="T136" s="6">
        <f t="shared" si="30"/>
        <v>0</v>
      </c>
      <c r="V136" s="13" t="e">
        <f t="shared" si="25"/>
        <v>#REF!</v>
      </c>
      <c r="W136">
        <f t="shared" si="26"/>
        <v>0</v>
      </c>
      <c r="X136">
        <f t="shared" si="31"/>
        <v>0</v>
      </c>
      <c r="Y136" s="6">
        <f t="shared" si="32"/>
        <v>0</v>
      </c>
    </row>
    <row r="137" spans="1:25" hidden="1" x14ac:dyDescent="0.25">
      <c r="A137" t="str">
        <f>'rockfish harvests'!A140</f>
        <v>SC</v>
      </c>
      <c r="B137">
        <f>'rockfish harvests'!B140</f>
        <v>2011</v>
      </c>
      <c r="C137" t="str">
        <f>'rockfish harvests'!C140</f>
        <v>NG</v>
      </c>
      <c r="D137">
        <f>'rockfish harvests'!D140</f>
        <v>30322</v>
      </c>
      <c r="E137">
        <f>'YE harvest'!E141</f>
        <v>5609</v>
      </c>
      <c r="H137" s="13" t="e">
        <f>#REF!</f>
        <v>#REF!</v>
      </c>
      <c r="I137">
        <f t="shared" si="24"/>
        <v>0</v>
      </c>
      <c r="J137">
        <f t="shared" si="27"/>
        <v>0</v>
      </c>
      <c r="K137" s="6">
        <f t="shared" si="28"/>
        <v>0</v>
      </c>
      <c r="M137" s="2">
        <f>'rockfish harvests'!O140</f>
        <v>21882.405010282295</v>
      </c>
      <c r="N137">
        <f>'rockfish harvests'!P140</f>
        <v>8183614.275682712</v>
      </c>
      <c r="Q137" s="13">
        <f t="shared" si="41"/>
        <v>0</v>
      </c>
      <c r="R137" s="14">
        <f t="shared" si="42"/>
        <v>0</v>
      </c>
      <c r="S137">
        <f t="shared" si="29"/>
        <v>0</v>
      </c>
      <c r="T137" s="6">
        <f t="shared" si="30"/>
        <v>0</v>
      </c>
      <c r="V137" s="13" t="e">
        <f t="shared" si="25"/>
        <v>#REF!</v>
      </c>
      <c r="W137">
        <f t="shared" si="26"/>
        <v>0</v>
      </c>
      <c r="X137">
        <f t="shared" si="31"/>
        <v>0</v>
      </c>
      <c r="Y137" s="6">
        <f t="shared" si="32"/>
        <v>0</v>
      </c>
    </row>
    <row r="138" spans="1:25" hidden="1" x14ac:dyDescent="0.25">
      <c r="A138" t="str">
        <f>'rockfish harvests'!A141</f>
        <v>SC</v>
      </c>
      <c r="B138">
        <f>'rockfish harvests'!B141</f>
        <v>2012</v>
      </c>
      <c r="C138" t="str">
        <f>'rockfish harvests'!C141</f>
        <v>NG</v>
      </c>
      <c r="D138">
        <f>'rockfish harvests'!D141</f>
        <v>27771</v>
      </c>
      <c r="E138">
        <f>'YE harvest'!E142</f>
        <v>5715</v>
      </c>
      <c r="H138" s="13" t="e">
        <f>#REF!</f>
        <v>#REF!</v>
      </c>
      <c r="I138">
        <f t="shared" si="24"/>
        <v>0</v>
      </c>
      <c r="J138">
        <f t="shared" si="27"/>
        <v>0</v>
      </c>
      <c r="K138" s="6">
        <f t="shared" si="28"/>
        <v>0</v>
      </c>
      <c r="M138" s="2">
        <f>'rockfish harvests'!O141</f>
        <v>13248.802237331009</v>
      </c>
      <c r="N138">
        <f>'rockfish harvests'!P141</f>
        <v>2524598.6215632036</v>
      </c>
      <c r="Q138" s="13">
        <f t="shared" si="41"/>
        <v>0</v>
      </c>
      <c r="R138" s="14">
        <f t="shared" si="42"/>
        <v>0</v>
      </c>
      <c r="S138">
        <f t="shared" si="29"/>
        <v>0</v>
      </c>
      <c r="T138" s="6">
        <f t="shared" si="30"/>
        <v>0</v>
      </c>
      <c r="V138" s="13" t="e">
        <f t="shared" si="25"/>
        <v>#REF!</v>
      </c>
      <c r="W138">
        <f t="shared" si="26"/>
        <v>0</v>
      </c>
      <c r="X138">
        <f t="shared" si="31"/>
        <v>0</v>
      </c>
      <c r="Y138" s="6">
        <f t="shared" si="32"/>
        <v>0</v>
      </c>
    </row>
    <row r="139" spans="1:25" hidden="1" x14ac:dyDescent="0.25">
      <c r="A139" t="str">
        <f>'rockfish harvests'!A142</f>
        <v>SC</v>
      </c>
      <c r="B139">
        <f>'rockfish harvests'!B142</f>
        <v>2013</v>
      </c>
      <c r="C139" t="str">
        <f>'rockfish harvests'!C142</f>
        <v>NG</v>
      </c>
      <c r="D139">
        <f>'rockfish harvests'!D142</f>
        <v>30558</v>
      </c>
      <c r="E139">
        <f>'YE harvest'!E143</f>
        <v>5301</v>
      </c>
      <c r="H139" s="13" t="e">
        <f>#REF!</f>
        <v>#REF!</v>
      </c>
      <c r="I139">
        <f t="shared" si="24"/>
        <v>0</v>
      </c>
      <c r="J139">
        <f t="shared" si="27"/>
        <v>0</v>
      </c>
      <c r="K139" s="6">
        <f t="shared" si="28"/>
        <v>0</v>
      </c>
      <c r="M139" s="2">
        <f>'rockfish harvests'!O142</f>
        <v>17157.239835728957</v>
      </c>
      <c r="N139">
        <f>'rockfish harvests'!P142</f>
        <v>3987660.0085104108</v>
      </c>
      <c r="Q139" s="13">
        <f t="shared" si="41"/>
        <v>0</v>
      </c>
      <c r="R139" s="14">
        <f t="shared" si="42"/>
        <v>0</v>
      </c>
      <c r="S139">
        <f t="shared" si="29"/>
        <v>0</v>
      </c>
      <c r="T139" s="6">
        <f t="shared" si="30"/>
        <v>0</v>
      </c>
      <c r="V139" s="13" t="e">
        <f t="shared" si="25"/>
        <v>#REF!</v>
      </c>
      <c r="W139">
        <f t="shared" si="26"/>
        <v>0</v>
      </c>
      <c r="X139">
        <f t="shared" si="31"/>
        <v>0</v>
      </c>
      <c r="Y139" s="6">
        <f t="shared" si="32"/>
        <v>0</v>
      </c>
    </row>
    <row r="140" spans="1:25" hidden="1" x14ac:dyDescent="0.25">
      <c r="A140" t="str">
        <f>'rockfish harvests'!A143</f>
        <v>SC</v>
      </c>
      <c r="B140">
        <f>'rockfish harvests'!B143</f>
        <v>2014</v>
      </c>
      <c r="C140" t="str">
        <f>'rockfish harvests'!C143</f>
        <v>NG</v>
      </c>
      <c r="D140">
        <f>'rockfish harvests'!D143</f>
        <v>37025</v>
      </c>
      <c r="E140">
        <f>'YE harvest'!E144</f>
        <v>5089</v>
      </c>
      <c r="H140" s="13" t="e">
        <f>#REF!</f>
        <v>#REF!</v>
      </c>
      <c r="I140">
        <f t="shared" si="24"/>
        <v>0</v>
      </c>
      <c r="J140">
        <f t="shared" si="27"/>
        <v>0</v>
      </c>
      <c r="K140" s="6">
        <f t="shared" si="28"/>
        <v>0</v>
      </c>
      <c r="M140" s="2">
        <f>'rockfish harvests'!O143</f>
        <v>21744.197040285006</v>
      </c>
      <c r="N140">
        <f>'rockfish harvests'!P143</f>
        <v>6732768.2681420343</v>
      </c>
      <c r="Q140" s="13">
        <f t="shared" si="41"/>
        <v>0</v>
      </c>
      <c r="R140" s="14">
        <f t="shared" si="42"/>
        <v>0</v>
      </c>
      <c r="S140">
        <f t="shared" si="29"/>
        <v>0</v>
      </c>
      <c r="T140" s="6">
        <f t="shared" si="30"/>
        <v>0</v>
      </c>
      <c r="V140" s="13" t="e">
        <f t="shared" si="25"/>
        <v>#REF!</v>
      </c>
      <c r="W140">
        <f t="shared" si="26"/>
        <v>0</v>
      </c>
      <c r="X140">
        <f t="shared" si="31"/>
        <v>0</v>
      </c>
      <c r="Y140" s="6">
        <f t="shared" si="32"/>
        <v>0</v>
      </c>
    </row>
    <row r="141" spans="1:25" hidden="1" x14ac:dyDescent="0.25">
      <c r="A141" t="str">
        <f>'rockfish harvests'!A144</f>
        <v>SC</v>
      </c>
      <c r="B141">
        <f>'rockfish harvests'!B144</f>
        <v>2015</v>
      </c>
      <c r="C141" t="str">
        <f>'rockfish harvests'!C144</f>
        <v>NG</v>
      </c>
      <c r="D141">
        <f>'rockfish harvests'!D144</f>
        <v>45883</v>
      </c>
      <c r="E141">
        <f>'YE harvest'!E145</f>
        <v>6139</v>
      </c>
      <c r="H141" s="13" t="e">
        <f>#REF!</f>
        <v>#REF!</v>
      </c>
      <c r="I141">
        <f t="shared" si="24"/>
        <v>0</v>
      </c>
      <c r="J141">
        <f t="shared" si="27"/>
        <v>0</v>
      </c>
      <c r="K141" s="6">
        <f t="shared" si="28"/>
        <v>0</v>
      </c>
      <c r="M141" s="2">
        <f>'rockfish harvests'!O144</f>
        <v>24091.13981323161</v>
      </c>
      <c r="N141">
        <f>'rockfish harvests'!P144</f>
        <v>7216831.4803412473</v>
      </c>
      <c r="Q141" s="13">
        <f t="shared" si="41"/>
        <v>0</v>
      </c>
      <c r="R141" s="14">
        <f t="shared" si="42"/>
        <v>0</v>
      </c>
      <c r="S141">
        <f t="shared" si="29"/>
        <v>0</v>
      </c>
      <c r="T141" s="6">
        <f t="shared" si="30"/>
        <v>0</v>
      </c>
      <c r="V141" s="13" t="e">
        <f t="shared" si="25"/>
        <v>#REF!</v>
      </c>
      <c r="W141">
        <f t="shared" si="26"/>
        <v>0</v>
      </c>
      <c r="X141">
        <f t="shared" si="31"/>
        <v>0</v>
      </c>
      <c r="Y141" s="6">
        <f t="shared" si="32"/>
        <v>0</v>
      </c>
    </row>
    <row r="142" spans="1:25" hidden="1" x14ac:dyDescent="0.25">
      <c r="A142" t="str">
        <f>'rockfish harvests'!A145</f>
        <v>SC</v>
      </c>
      <c r="B142">
        <f>'rockfish harvests'!B145</f>
        <v>2016</v>
      </c>
      <c r="C142" t="str">
        <f>'rockfish harvests'!C145</f>
        <v>NG</v>
      </c>
      <c r="D142">
        <f>'rockfish harvests'!D145</f>
        <v>56991</v>
      </c>
      <c r="E142">
        <f>'YE harvest'!E146</f>
        <v>7838</v>
      </c>
      <c r="H142" s="13" t="e">
        <f>#REF!</f>
        <v>#REF!</v>
      </c>
      <c r="I142">
        <f t="shared" si="24"/>
        <v>0</v>
      </c>
      <c r="J142">
        <f t="shared" si="27"/>
        <v>0</v>
      </c>
      <c r="K142" s="6">
        <f t="shared" si="28"/>
        <v>0</v>
      </c>
      <c r="M142" s="2">
        <f>'rockfish harvests'!O145</f>
        <v>21657.041703490948</v>
      </c>
      <c r="N142">
        <f>'rockfish harvests'!P145</f>
        <v>6461271.9983784193</v>
      </c>
      <c r="Q142" s="13">
        <f t="shared" si="41"/>
        <v>0</v>
      </c>
      <c r="R142" s="14">
        <f t="shared" si="42"/>
        <v>0</v>
      </c>
      <c r="S142">
        <f t="shared" si="29"/>
        <v>0</v>
      </c>
      <c r="T142" s="6">
        <f t="shared" si="30"/>
        <v>0</v>
      </c>
      <c r="V142" s="13" t="e">
        <f t="shared" si="25"/>
        <v>#REF!</v>
      </c>
      <c r="W142">
        <f t="shared" si="26"/>
        <v>0</v>
      </c>
      <c r="X142">
        <f t="shared" si="31"/>
        <v>0</v>
      </c>
      <c r="Y142" s="6">
        <f t="shared" si="32"/>
        <v>0</v>
      </c>
    </row>
    <row r="143" spans="1:25" hidden="1" x14ac:dyDescent="0.25">
      <c r="A143" t="str">
        <f>'rockfish harvests'!A146</f>
        <v>SC</v>
      </c>
      <c r="B143">
        <f>'rockfish harvests'!B146</f>
        <v>2017</v>
      </c>
      <c r="C143" t="str">
        <f>'rockfish harvests'!C146</f>
        <v>NG</v>
      </c>
      <c r="D143">
        <f>'rockfish harvests'!D146</f>
        <v>38626</v>
      </c>
      <c r="E143">
        <f>'YE harvest'!E147</f>
        <v>6291</v>
      </c>
      <c r="H143" s="13" t="e">
        <f>#REF!</f>
        <v>#REF!</v>
      </c>
      <c r="I143">
        <f t="shared" si="24"/>
        <v>0</v>
      </c>
      <c r="J143">
        <f t="shared" si="27"/>
        <v>0</v>
      </c>
      <c r="K143" s="6">
        <f t="shared" si="28"/>
        <v>0</v>
      </c>
      <c r="M143" s="2">
        <f>'rockfish harvests'!O146</f>
        <v>15237.511532831981</v>
      </c>
      <c r="N143">
        <f>'rockfish harvests'!P146</f>
        <v>3824430.6766507281</v>
      </c>
      <c r="Q143" s="13">
        <f t="shared" si="41"/>
        <v>0</v>
      </c>
      <c r="R143" s="14">
        <f t="shared" si="42"/>
        <v>0</v>
      </c>
      <c r="S143">
        <f t="shared" si="29"/>
        <v>0</v>
      </c>
      <c r="T143" s="6">
        <f t="shared" si="30"/>
        <v>0</v>
      </c>
      <c r="V143" s="13" t="e">
        <f t="shared" si="25"/>
        <v>#REF!</v>
      </c>
      <c r="W143">
        <f t="shared" si="26"/>
        <v>0</v>
      </c>
      <c r="X143">
        <f t="shared" si="31"/>
        <v>0</v>
      </c>
      <c r="Y143" s="6">
        <f t="shared" si="32"/>
        <v>0</v>
      </c>
    </row>
    <row r="144" spans="1:25" hidden="1" x14ac:dyDescent="0.25">
      <c r="A144" t="str">
        <f>'rockfish harvests'!A147</f>
        <v>SC</v>
      </c>
      <c r="B144">
        <f>'rockfish harvests'!B147</f>
        <v>2018</v>
      </c>
      <c r="C144" t="str">
        <f>'rockfish harvests'!C147</f>
        <v>NG</v>
      </c>
      <c r="D144">
        <f>'rockfish harvests'!D147</f>
        <v>50115</v>
      </c>
      <c r="E144">
        <f>'YE harvest'!E148</f>
        <v>8269</v>
      </c>
      <c r="H144" s="13" t="e">
        <f>#REF!</f>
        <v>#REF!</v>
      </c>
      <c r="I144">
        <f t="shared" si="24"/>
        <v>0</v>
      </c>
      <c r="J144">
        <f t="shared" si="27"/>
        <v>0</v>
      </c>
      <c r="K144" s="6">
        <f t="shared" si="28"/>
        <v>0</v>
      </c>
      <c r="M144" s="2">
        <f>'rockfish harvests'!O147</f>
        <v>18807.337515014005</v>
      </c>
      <c r="N144">
        <f>'rockfish harvests'!P147</f>
        <v>5909265.1225642972</v>
      </c>
      <c r="Q144" s="13">
        <f t="shared" si="41"/>
        <v>0</v>
      </c>
      <c r="R144" s="14">
        <f t="shared" si="42"/>
        <v>0</v>
      </c>
      <c r="S144">
        <f t="shared" si="29"/>
        <v>0</v>
      </c>
      <c r="T144" s="6">
        <f t="shared" si="30"/>
        <v>0</v>
      </c>
      <c r="V144" s="13" t="e">
        <f t="shared" si="25"/>
        <v>#REF!</v>
      </c>
      <c r="W144">
        <f t="shared" si="26"/>
        <v>0</v>
      </c>
      <c r="X144">
        <f t="shared" si="31"/>
        <v>0</v>
      </c>
      <c r="Y144" s="6">
        <f t="shared" si="32"/>
        <v>0</v>
      </c>
    </row>
    <row r="145" spans="1:25" hidden="1" x14ac:dyDescent="0.25">
      <c r="A145" t="str">
        <f>'rockfish harvests'!A148</f>
        <v>SC</v>
      </c>
      <c r="B145">
        <f>'rockfish harvests'!B148</f>
        <v>2019</v>
      </c>
      <c r="C145" t="str">
        <f>'rockfish harvests'!C148</f>
        <v>NG</v>
      </c>
      <c r="D145">
        <f>'rockfish harvests'!D148</f>
        <v>64565</v>
      </c>
      <c r="E145">
        <f>'YE harvest'!E149</f>
        <v>9526</v>
      </c>
      <c r="I145">
        <f t="shared" ref="I145:I146" si="43">(E145^2)*G145</f>
        <v>0</v>
      </c>
      <c r="J145">
        <f t="shared" ref="J145:J146" si="44">SQRT(I145)</f>
        <v>0</v>
      </c>
      <c r="K145" s="6">
        <f t="shared" ref="K145:K146" si="45">(1.96*J145)</f>
        <v>0</v>
      </c>
      <c r="M145" s="2">
        <f>'rockfish harvests'!O148</f>
        <v>30264.472570734768</v>
      </c>
      <c r="N145">
        <f>'rockfish harvests'!P148</f>
        <v>14426596.252648354</v>
      </c>
      <c r="R145" s="14"/>
      <c r="S145"/>
      <c r="T145" s="6"/>
      <c r="Y145" s="6"/>
    </row>
    <row r="146" spans="1:25" hidden="1" x14ac:dyDescent="0.25">
      <c r="A146" t="str">
        <f>'rockfish harvests'!A149</f>
        <v>SC</v>
      </c>
      <c r="B146">
        <f>'rockfish harvests'!B149</f>
        <v>2020</v>
      </c>
      <c r="C146" t="str">
        <f>'rockfish harvests'!C149</f>
        <v>NG</v>
      </c>
      <c r="D146">
        <f>'rockfish harvests'!D149</f>
        <v>43363</v>
      </c>
      <c r="E146">
        <f>'YE harvest'!E150</f>
        <v>6211</v>
      </c>
      <c r="I146">
        <f t="shared" si="43"/>
        <v>0</v>
      </c>
      <c r="J146">
        <f t="shared" si="44"/>
        <v>0</v>
      </c>
      <c r="K146" s="6">
        <f t="shared" si="45"/>
        <v>0</v>
      </c>
      <c r="M146" s="2">
        <f>'rockfish harvests'!O149</f>
        <v>14406.767557261875</v>
      </c>
      <c r="N146">
        <f>'rockfish harvests'!P149</f>
        <v>3787465.8304927479</v>
      </c>
      <c r="R146" s="14"/>
      <c r="S146"/>
      <c r="T146" s="6"/>
      <c r="Y146" s="6"/>
    </row>
    <row r="147" spans="1:25" hidden="1" x14ac:dyDescent="0.25">
      <c r="A147" t="str">
        <f>'rockfish harvests'!A150</f>
        <v>SC</v>
      </c>
      <c r="B147">
        <f>'rockfish harvests'!B150</f>
        <v>2021</v>
      </c>
      <c r="C147" t="str">
        <f>'rockfish harvests'!C150</f>
        <v>NG</v>
      </c>
      <c r="D147">
        <f>'rockfish harvests'!D150</f>
        <v>83097</v>
      </c>
      <c r="E147">
        <f>'YE harvest'!E151</f>
        <v>9825</v>
      </c>
      <c r="K147" s="6"/>
      <c r="M147" s="2">
        <f>'rockfish harvests'!O150</f>
        <v>24593.025482509038</v>
      </c>
      <c r="N147">
        <f>'rockfish harvests'!P150</f>
        <v>11012636.577756885</v>
      </c>
      <c r="R147" s="14"/>
      <c r="S147"/>
      <c r="T147" s="6"/>
      <c r="Y147" s="6"/>
    </row>
    <row r="148" spans="1:25" hidden="1" x14ac:dyDescent="0.25">
      <c r="A148" t="str">
        <f>'rockfish harvests'!A152</f>
        <v>SC</v>
      </c>
      <c r="B148">
        <f>'rockfish harvests'!B152</f>
        <v>1998</v>
      </c>
      <c r="C148" t="str">
        <f>'rockfish harvests'!C152</f>
        <v>NORTHEAS</v>
      </c>
      <c r="D148">
        <f>'rockfish harvests'!D152</f>
        <v>1488</v>
      </c>
      <c r="E148">
        <f>'YE harvest'!E153</f>
        <v>511</v>
      </c>
      <c r="F148" s="38"/>
      <c r="G148" s="39"/>
      <c r="H148" s="13">
        <f t="shared" ref="H148:H155" si="46">E148*F148</f>
        <v>0</v>
      </c>
      <c r="I148">
        <f t="shared" si="24"/>
        <v>0</v>
      </c>
      <c r="J148">
        <f t="shared" si="27"/>
        <v>0</v>
      </c>
      <c r="K148" s="6">
        <f t="shared" si="28"/>
        <v>0</v>
      </c>
      <c r="M148" s="2">
        <f>'rockfish harvests'!O152</f>
        <v>1158.751507803267</v>
      </c>
      <c r="N148">
        <f>'rockfish harvests'!P152</f>
        <v>130721.74657888399</v>
      </c>
      <c r="Q148" s="13">
        <f t="shared" si="41"/>
        <v>0</v>
      </c>
      <c r="R148" s="14">
        <f t="shared" si="42"/>
        <v>0</v>
      </c>
      <c r="S148">
        <f t="shared" si="29"/>
        <v>0</v>
      </c>
      <c r="T148" s="6">
        <f t="shared" si="30"/>
        <v>0</v>
      </c>
      <c r="V148" s="13">
        <f t="shared" si="25"/>
        <v>0</v>
      </c>
      <c r="W148">
        <f t="shared" si="26"/>
        <v>0</v>
      </c>
      <c r="X148">
        <f t="shared" si="31"/>
        <v>0</v>
      </c>
      <c r="Y148" s="6">
        <f t="shared" si="32"/>
        <v>0</v>
      </c>
    </row>
    <row r="149" spans="1:25" hidden="1" x14ac:dyDescent="0.25">
      <c r="A149" t="str">
        <f>'rockfish harvests'!A153</f>
        <v>SC</v>
      </c>
      <c r="B149">
        <f>'rockfish harvests'!B153</f>
        <v>1999</v>
      </c>
      <c r="C149" t="str">
        <f>'rockfish harvests'!C153</f>
        <v>NORTHEAS</v>
      </c>
      <c r="D149">
        <f>'rockfish harvests'!D153</f>
        <v>1866</v>
      </c>
      <c r="E149">
        <f>'YE harvest'!E154</f>
        <v>177</v>
      </c>
      <c r="F149" s="38"/>
      <c r="G149" s="39"/>
      <c r="H149" s="13">
        <f t="shared" si="46"/>
        <v>0</v>
      </c>
      <c r="I149">
        <f t="shared" si="24"/>
        <v>0</v>
      </c>
      <c r="J149">
        <f t="shared" si="27"/>
        <v>0</v>
      </c>
      <c r="K149" s="6">
        <f t="shared" si="28"/>
        <v>0</v>
      </c>
      <c r="M149" s="2">
        <f>'rockfish harvests'!O153</f>
        <v>1453.1117698661938</v>
      </c>
      <c r="N149">
        <f>'rockfish harvests'!P153</f>
        <v>205572.61399024838</v>
      </c>
      <c r="Q149" s="13">
        <f t="shared" si="41"/>
        <v>0</v>
      </c>
      <c r="R149" s="14">
        <f t="shared" si="42"/>
        <v>0</v>
      </c>
      <c r="S149">
        <f t="shared" si="29"/>
        <v>0</v>
      </c>
      <c r="T149" s="6">
        <f t="shared" si="30"/>
        <v>0</v>
      </c>
      <c r="V149" s="13">
        <f t="shared" si="25"/>
        <v>0</v>
      </c>
      <c r="W149">
        <f t="shared" si="26"/>
        <v>0</v>
      </c>
      <c r="X149">
        <f t="shared" si="31"/>
        <v>0</v>
      </c>
      <c r="Y149" s="6">
        <f t="shared" si="32"/>
        <v>0</v>
      </c>
    </row>
    <row r="150" spans="1:25" hidden="1" x14ac:dyDescent="0.25">
      <c r="A150" t="str">
        <f>'rockfish harvests'!A154</f>
        <v>SC</v>
      </c>
      <c r="B150">
        <f>'rockfish harvests'!B154</f>
        <v>2000</v>
      </c>
      <c r="C150" t="str">
        <f>'rockfish harvests'!C154</f>
        <v>NORTHEAS</v>
      </c>
      <c r="D150">
        <f>'rockfish harvests'!D154</f>
        <v>2115</v>
      </c>
      <c r="E150">
        <f>'YE harvest'!E155</f>
        <v>250</v>
      </c>
      <c r="F150" s="38"/>
      <c r="G150" s="39"/>
      <c r="H150" s="13">
        <f t="shared" si="46"/>
        <v>0</v>
      </c>
      <c r="I150">
        <f t="shared" ref="I150:I222" si="47">(E150^2)*G150</f>
        <v>0</v>
      </c>
      <c r="J150">
        <f t="shared" si="27"/>
        <v>0</v>
      </c>
      <c r="K150" s="6">
        <f t="shared" si="28"/>
        <v>0</v>
      </c>
      <c r="M150" s="2">
        <f>'rockfish harvests'!O154</f>
        <v>1647.0157520187568</v>
      </c>
      <c r="N150">
        <f>'rockfish harvests'!P154</f>
        <v>264096.54694560438</v>
      </c>
      <c r="Q150" s="13">
        <f t="shared" si="41"/>
        <v>0</v>
      </c>
      <c r="R150" s="14">
        <f t="shared" si="42"/>
        <v>0</v>
      </c>
      <c r="S150">
        <f t="shared" si="29"/>
        <v>0</v>
      </c>
      <c r="T150" s="6">
        <f t="shared" si="30"/>
        <v>0</v>
      </c>
      <c r="V150" s="13">
        <f t="shared" ref="V150:V222" si="48">Q150+H150</f>
        <v>0</v>
      </c>
      <c r="W150">
        <f t="shared" ref="W150:W222" si="49">R150+I150</f>
        <v>0</v>
      </c>
      <c r="X150">
        <f t="shared" si="31"/>
        <v>0</v>
      </c>
      <c r="Y150" s="6">
        <f t="shared" si="32"/>
        <v>0</v>
      </c>
    </row>
    <row r="151" spans="1:25" hidden="1" x14ac:dyDescent="0.25">
      <c r="A151" t="str">
        <f>'rockfish harvests'!A155</f>
        <v>SC</v>
      </c>
      <c r="B151">
        <f>'rockfish harvests'!B155</f>
        <v>2001</v>
      </c>
      <c r="C151" t="str">
        <f>'rockfish harvests'!C155</f>
        <v>NORTHEAS</v>
      </c>
      <c r="D151">
        <f>'rockfish harvests'!D155</f>
        <v>2081</v>
      </c>
      <c r="E151">
        <f>'YE harvest'!E156</f>
        <v>227</v>
      </c>
      <c r="F151" s="38"/>
      <c r="G151" s="39"/>
      <c r="H151" s="13">
        <f t="shared" si="46"/>
        <v>0</v>
      </c>
      <c r="I151">
        <f t="shared" si="47"/>
        <v>0</v>
      </c>
      <c r="J151">
        <f t="shared" ref="J151:J223" si="50">SQRT(I151)</f>
        <v>0</v>
      </c>
      <c r="K151" s="6">
        <f t="shared" ref="K151:K223" si="51">(1.96*J151)</f>
        <v>0</v>
      </c>
      <c r="M151" s="2">
        <f>'rockfish harvests'!O155</f>
        <v>1620.5389030501337</v>
      </c>
      <c r="N151">
        <f>'rockfish harvests'!P155</f>
        <v>255673.74912670467</v>
      </c>
      <c r="Q151" s="13">
        <f t="shared" si="41"/>
        <v>0</v>
      </c>
      <c r="R151" s="14">
        <f t="shared" si="42"/>
        <v>0</v>
      </c>
      <c r="S151">
        <f t="shared" ref="S151:S223" si="52">SQRT(R151)</f>
        <v>0</v>
      </c>
      <c r="T151" s="6">
        <f t="shared" ref="T151:T223" si="53">(1.96*S151)</f>
        <v>0</v>
      </c>
      <c r="V151" s="13">
        <f t="shared" si="48"/>
        <v>0</v>
      </c>
      <c r="W151">
        <f t="shared" si="49"/>
        <v>0</v>
      </c>
      <c r="X151">
        <f t="shared" ref="X151:X223" si="54">SQRT(W151)</f>
        <v>0</v>
      </c>
      <c r="Y151" s="6">
        <f t="shared" ref="Y151:Y223" si="55">(1.96*X151)</f>
        <v>0</v>
      </c>
    </row>
    <row r="152" spans="1:25" hidden="1" x14ac:dyDescent="0.25">
      <c r="A152" t="str">
        <f>'rockfish harvests'!A156</f>
        <v>SC</v>
      </c>
      <c r="B152">
        <f>'rockfish harvests'!B156</f>
        <v>2002</v>
      </c>
      <c r="C152" t="str">
        <f>'rockfish harvests'!C156</f>
        <v>NORTHEAS</v>
      </c>
      <c r="D152">
        <f>'rockfish harvests'!D156</f>
        <v>2262</v>
      </c>
      <c r="E152">
        <f>'YE harvest'!E157</f>
        <v>210</v>
      </c>
      <c r="F152" s="38"/>
      <c r="G152" s="39"/>
      <c r="H152" s="13">
        <f t="shared" si="46"/>
        <v>0</v>
      </c>
      <c r="I152">
        <f t="shared" si="47"/>
        <v>0</v>
      </c>
      <c r="J152">
        <f t="shared" si="50"/>
        <v>0</v>
      </c>
      <c r="K152" s="6">
        <f t="shared" si="51"/>
        <v>0</v>
      </c>
      <c r="M152" s="2">
        <f>'rockfish harvests'!O156</f>
        <v>1761.4891872654503</v>
      </c>
      <c r="N152">
        <f>'rockfish harvests'!P156</f>
        <v>302083.62252065231</v>
      </c>
      <c r="Q152" s="13">
        <f t="shared" si="41"/>
        <v>0</v>
      </c>
      <c r="R152" s="14">
        <f t="shared" si="42"/>
        <v>0</v>
      </c>
      <c r="S152">
        <f t="shared" si="52"/>
        <v>0</v>
      </c>
      <c r="T152" s="6">
        <f t="shared" si="53"/>
        <v>0</v>
      </c>
      <c r="V152" s="13">
        <f t="shared" si="48"/>
        <v>0</v>
      </c>
      <c r="W152">
        <f t="shared" si="49"/>
        <v>0</v>
      </c>
      <c r="X152">
        <f t="shared" si="54"/>
        <v>0</v>
      </c>
      <c r="Y152" s="6">
        <f t="shared" si="55"/>
        <v>0</v>
      </c>
    </row>
    <row r="153" spans="1:25" hidden="1" x14ac:dyDescent="0.25">
      <c r="A153" t="str">
        <f>'rockfish harvests'!A157</f>
        <v>SC</v>
      </c>
      <c r="B153">
        <f>'rockfish harvests'!B157</f>
        <v>2003</v>
      </c>
      <c r="C153" t="str">
        <f>'rockfish harvests'!C157</f>
        <v>NORTHEAS</v>
      </c>
      <c r="D153">
        <f>'rockfish harvests'!D157</f>
        <v>2743</v>
      </c>
      <c r="E153">
        <f>'YE harvest'!E158</f>
        <v>266</v>
      </c>
      <c r="F153" s="38"/>
      <c r="G153" s="39"/>
      <c r="H153" s="13">
        <f t="shared" si="46"/>
        <v>0</v>
      </c>
      <c r="I153">
        <f t="shared" si="47"/>
        <v>0</v>
      </c>
      <c r="J153">
        <f t="shared" si="50"/>
        <v>0</v>
      </c>
      <c r="K153" s="6">
        <f t="shared" si="51"/>
        <v>0</v>
      </c>
      <c r="M153" s="2">
        <f>'rockfish harvests'!O157</f>
        <v>2136.0587270862643</v>
      </c>
      <c r="N153">
        <f>'rockfish harvests'!P157</f>
        <v>444215.38374428463</v>
      </c>
      <c r="Q153" s="13">
        <f t="shared" si="41"/>
        <v>0</v>
      </c>
      <c r="R153" s="14">
        <f t="shared" si="42"/>
        <v>0</v>
      </c>
      <c r="S153">
        <f t="shared" si="52"/>
        <v>0</v>
      </c>
      <c r="T153" s="6">
        <f t="shared" si="53"/>
        <v>0</v>
      </c>
      <c r="V153" s="13">
        <f t="shared" si="48"/>
        <v>0</v>
      </c>
      <c r="W153">
        <f t="shared" si="49"/>
        <v>0</v>
      </c>
      <c r="X153">
        <f t="shared" si="54"/>
        <v>0</v>
      </c>
      <c r="Y153" s="6">
        <f t="shared" si="55"/>
        <v>0</v>
      </c>
    </row>
    <row r="154" spans="1:25" hidden="1" x14ac:dyDescent="0.25">
      <c r="A154" t="str">
        <f>'rockfish harvests'!A158</f>
        <v>SC</v>
      </c>
      <c r="B154">
        <f>'rockfish harvests'!B158</f>
        <v>2004</v>
      </c>
      <c r="C154" t="str">
        <f>'rockfish harvests'!C158</f>
        <v>NORTHEAS</v>
      </c>
      <c r="D154">
        <f>'rockfish harvests'!D158</f>
        <v>3291</v>
      </c>
      <c r="E154">
        <f>'YE harvest'!E159</f>
        <v>223</v>
      </c>
      <c r="F154" s="38"/>
      <c r="G154" s="39"/>
      <c r="H154" s="13">
        <f t="shared" si="46"/>
        <v>0</v>
      </c>
      <c r="I154">
        <f t="shared" si="47"/>
        <v>0</v>
      </c>
      <c r="J154">
        <f t="shared" si="50"/>
        <v>0</v>
      </c>
      <c r="K154" s="6">
        <f t="shared" si="51"/>
        <v>0</v>
      </c>
      <c r="M154" s="2">
        <f>'rockfish harvests'!O158</f>
        <v>2562.8032339923066</v>
      </c>
      <c r="N154">
        <f>'rockfish harvests'!P158</f>
        <v>639436.97291537211</v>
      </c>
      <c r="Q154" s="13">
        <f t="shared" si="41"/>
        <v>0</v>
      </c>
      <c r="R154" s="14">
        <f t="shared" si="42"/>
        <v>0</v>
      </c>
      <c r="S154">
        <f t="shared" si="52"/>
        <v>0</v>
      </c>
      <c r="T154" s="6">
        <f t="shared" si="53"/>
        <v>0</v>
      </c>
      <c r="V154" s="13">
        <f t="shared" si="48"/>
        <v>0</v>
      </c>
      <c r="W154">
        <f t="shared" si="49"/>
        <v>0</v>
      </c>
      <c r="X154">
        <f t="shared" si="54"/>
        <v>0</v>
      </c>
      <c r="Y154" s="6">
        <f t="shared" si="55"/>
        <v>0</v>
      </c>
    </row>
    <row r="155" spans="1:25" hidden="1" x14ac:dyDescent="0.25">
      <c r="A155" t="str">
        <f>'rockfish harvests'!A159</f>
        <v>SC</v>
      </c>
      <c r="B155">
        <f>'rockfish harvests'!B159</f>
        <v>2005</v>
      </c>
      <c r="C155" t="str">
        <f>'rockfish harvests'!C159</f>
        <v>NORTHEAS</v>
      </c>
      <c r="D155">
        <f>'rockfish harvests'!D159</f>
        <v>4641</v>
      </c>
      <c r="E155">
        <f>'YE harvest'!E160</f>
        <v>316</v>
      </c>
      <c r="F155" s="38"/>
      <c r="G155" s="39"/>
      <c r="H155" s="13">
        <f t="shared" si="46"/>
        <v>0</v>
      </c>
      <c r="I155">
        <f t="shared" si="47"/>
        <v>0</v>
      </c>
      <c r="J155">
        <f t="shared" si="50"/>
        <v>0</v>
      </c>
      <c r="K155" s="6">
        <f t="shared" si="51"/>
        <v>0</v>
      </c>
      <c r="M155" s="2">
        <f>'rockfish harvests'!O159</f>
        <v>3614.0898842170445</v>
      </c>
      <c r="N155">
        <f>'rockfish harvests'!P159</f>
        <v>1271642.7403433286</v>
      </c>
      <c r="Q155" s="13">
        <f t="shared" si="41"/>
        <v>0</v>
      </c>
      <c r="R155" s="14">
        <f t="shared" si="42"/>
        <v>0</v>
      </c>
      <c r="S155">
        <f t="shared" si="52"/>
        <v>0</v>
      </c>
      <c r="T155" s="6">
        <f t="shared" si="53"/>
        <v>0</v>
      </c>
      <c r="V155" s="13">
        <f t="shared" si="48"/>
        <v>0</v>
      </c>
      <c r="W155">
        <f t="shared" si="49"/>
        <v>0</v>
      </c>
      <c r="X155">
        <f t="shared" si="54"/>
        <v>0</v>
      </c>
      <c r="Y155" s="6">
        <f t="shared" si="55"/>
        <v>0</v>
      </c>
    </row>
    <row r="156" spans="1:25" hidden="1" x14ac:dyDescent="0.25">
      <c r="A156" t="str">
        <f>'rockfish harvests'!A160</f>
        <v>SC</v>
      </c>
      <c r="B156">
        <f>'rockfish harvests'!B160</f>
        <v>2006</v>
      </c>
      <c r="C156" t="str">
        <f>'rockfish harvests'!C160</f>
        <v>NORTHEAS</v>
      </c>
      <c r="D156">
        <f>'rockfish harvests'!D160</f>
        <v>3693</v>
      </c>
      <c r="E156">
        <f>'YE harvest'!E161</f>
        <v>174</v>
      </c>
      <c r="H156" s="13" t="e">
        <f>#REF!</f>
        <v>#REF!</v>
      </c>
      <c r="I156">
        <f t="shared" si="47"/>
        <v>0</v>
      </c>
      <c r="J156">
        <f t="shared" si="50"/>
        <v>0</v>
      </c>
      <c r="K156" s="6">
        <f t="shared" si="51"/>
        <v>0</v>
      </c>
      <c r="M156" s="2">
        <f>'rockfish harvests'!O160</f>
        <v>2875.8530365036731</v>
      </c>
      <c r="N156">
        <f>'rockfish harvests'!P160</f>
        <v>805194.11996587296</v>
      </c>
      <c r="Q156" s="13">
        <f t="shared" si="41"/>
        <v>0</v>
      </c>
      <c r="R156" s="14">
        <f t="shared" si="42"/>
        <v>0</v>
      </c>
      <c r="S156">
        <f t="shared" si="52"/>
        <v>0</v>
      </c>
      <c r="T156" s="6">
        <f t="shared" si="53"/>
        <v>0</v>
      </c>
      <c r="V156" s="13" t="e">
        <f t="shared" si="48"/>
        <v>#REF!</v>
      </c>
      <c r="W156">
        <f t="shared" si="49"/>
        <v>0</v>
      </c>
      <c r="X156">
        <f t="shared" si="54"/>
        <v>0</v>
      </c>
      <c r="Y156" s="6">
        <f t="shared" si="55"/>
        <v>0</v>
      </c>
    </row>
    <row r="157" spans="1:25" hidden="1" x14ac:dyDescent="0.25">
      <c r="A157" t="str">
        <f>'rockfish harvests'!A161</f>
        <v>SC</v>
      </c>
      <c r="B157">
        <f>'rockfish harvests'!B161</f>
        <v>2007</v>
      </c>
      <c r="C157" t="str">
        <f>'rockfish harvests'!C161</f>
        <v>NORTHEAS</v>
      </c>
      <c r="D157">
        <f>'rockfish harvests'!D161</f>
        <v>5080</v>
      </c>
      <c r="E157">
        <f>'YE harvest'!E162</f>
        <v>428</v>
      </c>
      <c r="H157" s="13" t="e">
        <f>#REF!</f>
        <v>#REF!</v>
      </c>
      <c r="I157">
        <f t="shared" si="47"/>
        <v>0</v>
      </c>
      <c r="J157">
        <f t="shared" si="50"/>
        <v>0</v>
      </c>
      <c r="K157" s="6">
        <f t="shared" si="51"/>
        <v>0</v>
      </c>
      <c r="M157" s="2">
        <f>'rockfish harvests'!O161</f>
        <v>3955.9527282530889</v>
      </c>
      <c r="N157">
        <f>'rockfish harvests'!P161</f>
        <v>1523594.5272363999</v>
      </c>
      <c r="Q157" s="13">
        <f t="shared" si="41"/>
        <v>0</v>
      </c>
      <c r="R157" s="14">
        <f t="shared" si="42"/>
        <v>0</v>
      </c>
      <c r="S157">
        <f t="shared" si="52"/>
        <v>0</v>
      </c>
      <c r="T157" s="6">
        <f t="shared" si="53"/>
        <v>0</v>
      </c>
      <c r="V157" s="13" t="e">
        <f t="shared" si="48"/>
        <v>#REF!</v>
      </c>
      <c r="W157">
        <f t="shared" si="49"/>
        <v>0</v>
      </c>
      <c r="X157">
        <f t="shared" si="54"/>
        <v>0</v>
      </c>
      <c r="Y157" s="6">
        <f t="shared" si="55"/>
        <v>0</v>
      </c>
    </row>
    <row r="158" spans="1:25" hidden="1" x14ac:dyDescent="0.25">
      <c r="A158" t="str">
        <f>'rockfish harvests'!A162</f>
        <v>SC</v>
      </c>
      <c r="B158">
        <f>'rockfish harvests'!B162</f>
        <v>2008</v>
      </c>
      <c r="C158" t="str">
        <f>'rockfish harvests'!C162</f>
        <v>NORTHEAS</v>
      </c>
      <c r="D158">
        <f>'rockfish harvests'!D162</f>
        <v>6260</v>
      </c>
      <c r="E158">
        <f>'YE harvest'!E163</f>
        <v>407</v>
      </c>
      <c r="H158" s="13" t="e">
        <f>#REF!</f>
        <v>#REF!</v>
      </c>
      <c r="I158">
        <f t="shared" si="47"/>
        <v>0</v>
      </c>
      <c r="J158">
        <f t="shared" si="50"/>
        <v>0</v>
      </c>
      <c r="K158" s="6">
        <f t="shared" si="51"/>
        <v>0</v>
      </c>
      <c r="M158" s="2">
        <f>'rockfish harvests'!O162</f>
        <v>4874.8551336347118</v>
      </c>
      <c r="N158">
        <f>'rockfish harvests'!P162</f>
        <v>2313612.6269270084</v>
      </c>
      <c r="Q158" s="13">
        <f t="shared" si="41"/>
        <v>0</v>
      </c>
      <c r="R158" s="14">
        <f t="shared" si="42"/>
        <v>0</v>
      </c>
      <c r="S158">
        <f t="shared" si="52"/>
        <v>0</v>
      </c>
      <c r="T158" s="6">
        <f t="shared" si="53"/>
        <v>0</v>
      </c>
      <c r="V158" s="13" t="e">
        <f t="shared" si="48"/>
        <v>#REF!</v>
      </c>
      <c r="W158">
        <f t="shared" si="49"/>
        <v>0</v>
      </c>
      <c r="X158">
        <f t="shared" si="54"/>
        <v>0</v>
      </c>
      <c r="Y158" s="6">
        <f t="shared" si="55"/>
        <v>0</v>
      </c>
    </row>
    <row r="159" spans="1:25" hidden="1" x14ac:dyDescent="0.25">
      <c r="A159" t="str">
        <f>'rockfish harvests'!A163</f>
        <v>SC</v>
      </c>
      <c r="B159">
        <f>'rockfish harvests'!B163</f>
        <v>2009</v>
      </c>
      <c r="C159" t="str">
        <f>'rockfish harvests'!C163</f>
        <v>NORTHEAS</v>
      </c>
      <c r="D159">
        <f>'rockfish harvests'!D163</f>
        <v>6369</v>
      </c>
      <c r="E159">
        <f>'YE harvest'!E164</f>
        <v>282</v>
      </c>
      <c r="H159" s="13" t="e">
        <f>#REF!</f>
        <v>#REF!</v>
      </c>
      <c r="I159">
        <f t="shared" si="47"/>
        <v>0</v>
      </c>
      <c r="J159">
        <f t="shared" si="50"/>
        <v>0</v>
      </c>
      <c r="K159" s="6">
        <f t="shared" si="51"/>
        <v>0</v>
      </c>
      <c r="M159" s="2">
        <f>'rockfish harvests'!O163</f>
        <v>4959.7367965047106</v>
      </c>
      <c r="N159">
        <f>'rockfish harvests'!P163</f>
        <v>2394883.9707024693</v>
      </c>
      <c r="Q159" s="13">
        <f t="shared" si="41"/>
        <v>0</v>
      </c>
      <c r="R159" s="14">
        <f t="shared" si="42"/>
        <v>0</v>
      </c>
      <c r="S159">
        <f t="shared" si="52"/>
        <v>0</v>
      </c>
      <c r="T159" s="6">
        <f t="shared" si="53"/>
        <v>0</v>
      </c>
      <c r="V159" s="13" t="e">
        <f t="shared" si="48"/>
        <v>#REF!</v>
      </c>
      <c r="W159">
        <f t="shared" si="49"/>
        <v>0</v>
      </c>
      <c r="X159">
        <f t="shared" si="54"/>
        <v>0</v>
      </c>
      <c r="Y159" s="6">
        <f t="shared" si="55"/>
        <v>0</v>
      </c>
    </row>
    <row r="160" spans="1:25" hidden="1" x14ac:dyDescent="0.25">
      <c r="A160" t="str">
        <f>'rockfish harvests'!A164</f>
        <v>SC</v>
      </c>
      <c r="B160">
        <f>'rockfish harvests'!B164</f>
        <v>2010</v>
      </c>
      <c r="C160" t="str">
        <f>'rockfish harvests'!C164</f>
        <v>NORTHEAS</v>
      </c>
      <c r="D160">
        <f>'rockfish harvests'!D164</f>
        <v>8141</v>
      </c>
      <c r="E160">
        <f>'YE harvest'!E165</f>
        <v>1433</v>
      </c>
      <c r="H160" s="13" t="e">
        <f>#REF!</f>
        <v>#REF!</v>
      </c>
      <c r="I160">
        <f t="shared" si="47"/>
        <v>0</v>
      </c>
      <c r="J160">
        <f t="shared" si="50"/>
        <v>0</v>
      </c>
      <c r="K160" s="6">
        <f t="shared" si="51"/>
        <v>0</v>
      </c>
      <c r="M160" s="2">
        <f>'rockfish harvests'!O164</f>
        <v>6339.6478662811805</v>
      </c>
      <c r="N160">
        <f>'rockfish harvests'!P164</f>
        <v>3912888.6469779164</v>
      </c>
      <c r="O160" s="21"/>
      <c r="P160" s="21"/>
      <c r="Q160" s="13">
        <f t="shared" si="41"/>
        <v>0</v>
      </c>
      <c r="R160" s="14">
        <f t="shared" si="42"/>
        <v>0</v>
      </c>
      <c r="S160">
        <f t="shared" si="52"/>
        <v>0</v>
      </c>
      <c r="T160" s="6">
        <f t="shared" si="53"/>
        <v>0</v>
      </c>
      <c r="V160" s="13" t="e">
        <f t="shared" si="48"/>
        <v>#REF!</v>
      </c>
      <c r="W160">
        <f t="shared" si="49"/>
        <v>0</v>
      </c>
      <c r="X160">
        <f t="shared" si="54"/>
        <v>0</v>
      </c>
      <c r="Y160" s="6">
        <f t="shared" si="55"/>
        <v>0</v>
      </c>
    </row>
    <row r="161" spans="1:25" hidden="1" x14ac:dyDescent="0.25">
      <c r="A161" t="str">
        <f>'rockfish harvests'!A165</f>
        <v>SC</v>
      </c>
      <c r="B161">
        <f>'rockfish harvests'!B165</f>
        <v>2011</v>
      </c>
      <c r="C161" t="str">
        <f>'rockfish harvests'!C165</f>
        <v>NORTHEAS</v>
      </c>
      <c r="D161">
        <f>'rockfish harvests'!D165</f>
        <v>6904</v>
      </c>
      <c r="E161">
        <f>'YE harvest'!E166</f>
        <v>293</v>
      </c>
      <c r="H161" s="13" t="e">
        <f>#REF!</f>
        <v>#REF!</v>
      </c>
      <c r="I161">
        <f t="shared" si="47"/>
        <v>0</v>
      </c>
      <c r="J161">
        <f t="shared" si="50"/>
        <v>0</v>
      </c>
      <c r="K161" s="6">
        <f t="shared" si="51"/>
        <v>0</v>
      </c>
      <c r="M161" s="2">
        <f>'rockfish harvests'!O165</f>
        <v>6000.5227354099534</v>
      </c>
      <c r="N161">
        <f>'rockfish harvests'!P165</f>
        <v>2122890.1028359062</v>
      </c>
      <c r="Q161" s="13">
        <f t="shared" si="41"/>
        <v>0</v>
      </c>
      <c r="R161" s="14">
        <f t="shared" si="42"/>
        <v>0</v>
      </c>
      <c r="S161">
        <f t="shared" si="52"/>
        <v>0</v>
      </c>
      <c r="T161" s="6">
        <f t="shared" si="53"/>
        <v>0</v>
      </c>
      <c r="V161" s="13" t="e">
        <f t="shared" si="48"/>
        <v>#REF!</v>
      </c>
      <c r="W161">
        <f t="shared" si="49"/>
        <v>0</v>
      </c>
      <c r="X161">
        <f t="shared" si="54"/>
        <v>0</v>
      </c>
      <c r="Y161" s="6">
        <f t="shared" si="55"/>
        <v>0</v>
      </c>
    </row>
    <row r="162" spans="1:25" hidden="1" x14ac:dyDescent="0.25">
      <c r="A162" t="str">
        <f>'rockfish harvests'!A166</f>
        <v>SC</v>
      </c>
      <c r="B162">
        <f>'rockfish harvests'!B166</f>
        <v>2012</v>
      </c>
      <c r="C162" t="str">
        <f>'rockfish harvests'!C166</f>
        <v>NORTHEAS</v>
      </c>
      <c r="D162">
        <f>'rockfish harvests'!D166</f>
        <v>6813</v>
      </c>
      <c r="E162">
        <f>'YE harvest'!E167</f>
        <v>556</v>
      </c>
      <c r="H162" s="13" t="e">
        <f>#REF!</f>
        <v>#REF!</v>
      </c>
      <c r="I162">
        <f t="shared" si="47"/>
        <v>0</v>
      </c>
      <c r="J162">
        <f t="shared" si="50"/>
        <v>0</v>
      </c>
      <c r="K162" s="6">
        <f t="shared" si="51"/>
        <v>0</v>
      </c>
      <c r="M162" s="2">
        <f>'rockfish harvests'!O166</f>
        <v>4938.4793337446008</v>
      </c>
      <c r="N162">
        <f>'rockfish harvests'!P166</f>
        <v>2023168.1052428612</v>
      </c>
      <c r="Q162" s="13">
        <f t="shared" si="41"/>
        <v>0</v>
      </c>
      <c r="R162" s="14">
        <f t="shared" si="42"/>
        <v>0</v>
      </c>
      <c r="S162">
        <f t="shared" si="52"/>
        <v>0</v>
      </c>
      <c r="T162" s="6">
        <f t="shared" si="53"/>
        <v>0</v>
      </c>
      <c r="V162" s="13" t="e">
        <f t="shared" si="48"/>
        <v>#REF!</v>
      </c>
      <c r="W162">
        <f t="shared" si="49"/>
        <v>0</v>
      </c>
      <c r="X162">
        <f t="shared" si="54"/>
        <v>0</v>
      </c>
      <c r="Y162" s="6">
        <f t="shared" si="55"/>
        <v>0</v>
      </c>
    </row>
    <row r="163" spans="1:25" hidden="1" x14ac:dyDescent="0.25">
      <c r="A163" t="str">
        <f>'rockfish harvests'!A167</f>
        <v>SC</v>
      </c>
      <c r="B163">
        <f>'rockfish harvests'!B167</f>
        <v>2013</v>
      </c>
      <c r="C163" t="str">
        <f>'rockfish harvests'!C167</f>
        <v>NORTHEAS</v>
      </c>
      <c r="D163">
        <f>'rockfish harvests'!D167</f>
        <v>9965</v>
      </c>
      <c r="E163">
        <f>'YE harvest'!E168</f>
        <v>638</v>
      </c>
      <c r="H163" s="13" t="e">
        <f>#REF!</f>
        <v>#REF!</v>
      </c>
      <c r="I163">
        <f t="shared" si="47"/>
        <v>0</v>
      </c>
      <c r="J163">
        <f t="shared" si="50"/>
        <v>0</v>
      </c>
      <c r="K163" s="6">
        <f t="shared" si="51"/>
        <v>0</v>
      </c>
      <c r="M163" s="2">
        <f>'rockfish harvests'!O167</f>
        <v>8625.830039525692</v>
      </c>
      <c r="N163">
        <f>'rockfish harvests'!P167</f>
        <v>4761147.9363994701</v>
      </c>
      <c r="Q163" s="13">
        <f t="shared" si="41"/>
        <v>0</v>
      </c>
      <c r="R163" s="14">
        <f t="shared" si="42"/>
        <v>0</v>
      </c>
      <c r="S163">
        <f t="shared" si="52"/>
        <v>0</v>
      </c>
      <c r="T163" s="6">
        <f t="shared" si="53"/>
        <v>0</v>
      </c>
      <c r="V163" s="13" t="e">
        <f t="shared" si="48"/>
        <v>#REF!</v>
      </c>
      <c r="W163">
        <f t="shared" si="49"/>
        <v>0</v>
      </c>
      <c r="X163">
        <f t="shared" si="54"/>
        <v>0</v>
      </c>
      <c r="Y163" s="6">
        <f t="shared" si="55"/>
        <v>0</v>
      </c>
    </row>
    <row r="164" spans="1:25" hidden="1" x14ac:dyDescent="0.25">
      <c r="A164" t="str">
        <f>'rockfish harvests'!A168</f>
        <v>SC</v>
      </c>
      <c r="B164">
        <f>'rockfish harvests'!B168</f>
        <v>2014</v>
      </c>
      <c r="C164" t="str">
        <f>'rockfish harvests'!C168</f>
        <v>NORTHEAS</v>
      </c>
      <c r="D164">
        <f>'rockfish harvests'!D168</f>
        <v>11896</v>
      </c>
      <c r="E164">
        <f>'YE harvest'!E169</f>
        <v>1536</v>
      </c>
      <c r="H164" s="13" t="e">
        <f>#REF!</f>
        <v>#REF!</v>
      </c>
      <c r="I164">
        <f t="shared" si="47"/>
        <v>0</v>
      </c>
      <c r="J164">
        <f t="shared" si="50"/>
        <v>0</v>
      </c>
      <c r="K164" s="6">
        <f t="shared" si="51"/>
        <v>0</v>
      </c>
      <c r="M164" s="2">
        <f>'rockfish harvests'!O168</f>
        <v>5411.0074000986679</v>
      </c>
      <c r="N164">
        <f>'rockfish harvests'!P168</f>
        <v>1633143.8585763292</v>
      </c>
      <c r="Q164" s="13">
        <f t="shared" si="41"/>
        <v>0</v>
      </c>
      <c r="R164" s="14">
        <f t="shared" si="42"/>
        <v>0</v>
      </c>
      <c r="S164">
        <f t="shared" si="52"/>
        <v>0</v>
      </c>
      <c r="T164" s="6">
        <f t="shared" si="53"/>
        <v>0</v>
      </c>
      <c r="V164" s="13" t="e">
        <f t="shared" si="48"/>
        <v>#REF!</v>
      </c>
      <c r="W164">
        <f t="shared" si="49"/>
        <v>0</v>
      </c>
      <c r="X164">
        <f t="shared" si="54"/>
        <v>0</v>
      </c>
      <c r="Y164" s="6">
        <f t="shared" si="55"/>
        <v>0</v>
      </c>
    </row>
    <row r="165" spans="1:25" hidden="1" x14ac:dyDescent="0.25">
      <c r="A165" t="str">
        <f>'rockfish harvests'!A169</f>
        <v>SC</v>
      </c>
      <c r="B165">
        <f>'rockfish harvests'!B169</f>
        <v>2015</v>
      </c>
      <c r="C165" t="str">
        <f>'rockfish harvests'!C169</f>
        <v>NORTHEAS</v>
      </c>
      <c r="D165">
        <f>'rockfish harvests'!D169</f>
        <v>12377</v>
      </c>
      <c r="E165">
        <f>'YE harvest'!E170</f>
        <v>578</v>
      </c>
      <c r="H165" s="13" t="e">
        <f>#REF!</f>
        <v>#REF!</v>
      </c>
      <c r="I165">
        <f t="shared" si="47"/>
        <v>0</v>
      </c>
      <c r="J165">
        <f t="shared" si="50"/>
        <v>0</v>
      </c>
      <c r="K165" s="6">
        <f t="shared" si="51"/>
        <v>0</v>
      </c>
      <c r="M165" s="2">
        <f>'rockfish harvests'!O169</f>
        <v>10776.477406902814</v>
      </c>
      <c r="N165">
        <f>'rockfish harvests'!P169</f>
        <v>10110394.020791385</v>
      </c>
      <c r="Q165" s="13">
        <f t="shared" si="41"/>
        <v>0</v>
      </c>
      <c r="R165" s="14">
        <f t="shared" si="42"/>
        <v>0</v>
      </c>
      <c r="S165">
        <f t="shared" si="52"/>
        <v>0</v>
      </c>
      <c r="T165" s="6">
        <f t="shared" si="53"/>
        <v>0</v>
      </c>
      <c r="V165" s="13" t="e">
        <f t="shared" si="48"/>
        <v>#REF!</v>
      </c>
      <c r="W165">
        <f t="shared" si="49"/>
        <v>0</v>
      </c>
      <c r="X165">
        <f t="shared" si="54"/>
        <v>0</v>
      </c>
      <c r="Y165" s="6">
        <f t="shared" si="55"/>
        <v>0</v>
      </c>
    </row>
    <row r="166" spans="1:25" hidden="1" x14ac:dyDescent="0.25">
      <c r="A166" t="str">
        <f>'rockfish harvests'!A170</f>
        <v>SC</v>
      </c>
      <c r="B166">
        <f>'rockfish harvests'!B170</f>
        <v>2016</v>
      </c>
      <c r="C166" t="str">
        <f>'rockfish harvests'!C170</f>
        <v>NORTHEAS</v>
      </c>
      <c r="D166">
        <f>'rockfish harvests'!D170</f>
        <v>13580</v>
      </c>
      <c r="E166">
        <f>'YE harvest'!E171</f>
        <v>719</v>
      </c>
      <c r="H166" s="13" t="e">
        <f>#REF!</f>
        <v>#REF!</v>
      </c>
      <c r="I166">
        <f t="shared" si="47"/>
        <v>0</v>
      </c>
      <c r="J166">
        <f t="shared" si="50"/>
        <v>0</v>
      </c>
      <c r="K166" s="6">
        <f t="shared" si="51"/>
        <v>0</v>
      </c>
      <c r="M166" s="2">
        <f>'rockfish harvests'!O170</f>
        <v>14147.366319691999</v>
      </c>
      <c r="N166">
        <f>'rockfish harvests'!P170</f>
        <v>22590691.391820997</v>
      </c>
      <c r="Q166" s="13">
        <f t="shared" si="41"/>
        <v>0</v>
      </c>
      <c r="R166" s="14">
        <f t="shared" si="42"/>
        <v>0</v>
      </c>
      <c r="S166">
        <f t="shared" si="52"/>
        <v>0</v>
      </c>
      <c r="T166" s="6">
        <f t="shared" si="53"/>
        <v>0</v>
      </c>
      <c r="V166" s="13" t="e">
        <f t="shared" si="48"/>
        <v>#REF!</v>
      </c>
      <c r="W166">
        <f t="shared" si="49"/>
        <v>0</v>
      </c>
      <c r="X166">
        <f t="shared" si="54"/>
        <v>0</v>
      </c>
      <c r="Y166" s="6">
        <f t="shared" si="55"/>
        <v>0</v>
      </c>
    </row>
    <row r="167" spans="1:25" hidden="1" x14ac:dyDescent="0.25">
      <c r="A167" t="str">
        <f>'rockfish harvests'!A171</f>
        <v>SC</v>
      </c>
      <c r="B167">
        <f>'rockfish harvests'!B171</f>
        <v>2017</v>
      </c>
      <c r="C167" t="str">
        <f>'rockfish harvests'!C171</f>
        <v>NORTHEAS</v>
      </c>
      <c r="D167">
        <f>'rockfish harvests'!D171</f>
        <v>6719</v>
      </c>
      <c r="E167">
        <f>'YE harvest'!E172</f>
        <v>241</v>
      </c>
      <c r="H167" s="13" t="e">
        <f>#REF!</f>
        <v>#REF!</v>
      </c>
      <c r="I167">
        <f t="shared" si="47"/>
        <v>0</v>
      </c>
      <c r="J167">
        <f t="shared" si="50"/>
        <v>0</v>
      </c>
      <c r="K167" s="6">
        <f t="shared" si="51"/>
        <v>0</v>
      </c>
      <c r="M167" s="2">
        <f>'rockfish harvests'!O171</f>
        <v>3758.2825709322533</v>
      </c>
      <c r="N167">
        <f>'rockfish harvests'!P171</f>
        <v>1035822.3149322054</v>
      </c>
      <c r="Q167" s="13">
        <f t="shared" si="41"/>
        <v>0</v>
      </c>
      <c r="R167" s="14">
        <f t="shared" si="42"/>
        <v>0</v>
      </c>
      <c r="S167">
        <f t="shared" si="52"/>
        <v>0</v>
      </c>
      <c r="T167" s="6">
        <f t="shared" si="53"/>
        <v>0</v>
      </c>
      <c r="V167" s="13" t="e">
        <f t="shared" si="48"/>
        <v>#REF!</v>
      </c>
      <c r="W167">
        <f t="shared" si="49"/>
        <v>0</v>
      </c>
      <c r="X167">
        <f t="shared" si="54"/>
        <v>0</v>
      </c>
      <c r="Y167" s="6">
        <f t="shared" si="55"/>
        <v>0</v>
      </c>
    </row>
    <row r="168" spans="1:25" hidden="1" x14ac:dyDescent="0.25">
      <c r="A168" t="str">
        <f>'rockfish harvests'!A172</f>
        <v>SC</v>
      </c>
      <c r="B168">
        <f>'rockfish harvests'!B172</f>
        <v>2018</v>
      </c>
      <c r="C168" t="str">
        <f>'rockfish harvests'!C172</f>
        <v>NORTHEAS</v>
      </c>
      <c r="D168">
        <f>'rockfish harvests'!D172</f>
        <v>8479</v>
      </c>
      <c r="E168">
        <f>'YE harvest'!E173</f>
        <v>316</v>
      </c>
      <c r="H168" s="13" t="e">
        <f>#REF!</f>
        <v>#REF!</v>
      </c>
      <c r="I168">
        <f t="shared" si="47"/>
        <v>0</v>
      </c>
      <c r="J168">
        <f t="shared" si="50"/>
        <v>0</v>
      </c>
      <c r="K168" s="6">
        <f t="shared" si="51"/>
        <v>0</v>
      </c>
      <c r="M168" s="2">
        <f>'rockfish harvests'!O172</f>
        <v>8690.7789084181313</v>
      </c>
      <c r="N168">
        <f>'rockfish harvests'!P172</f>
        <v>6090869.3085533688</v>
      </c>
      <c r="Q168" s="13">
        <f t="shared" si="41"/>
        <v>0</v>
      </c>
      <c r="R168" s="14">
        <f t="shared" si="42"/>
        <v>0</v>
      </c>
      <c r="S168">
        <f t="shared" si="52"/>
        <v>0</v>
      </c>
      <c r="T168" s="6">
        <f t="shared" si="53"/>
        <v>0</v>
      </c>
      <c r="V168" s="13" t="e">
        <f t="shared" si="48"/>
        <v>#REF!</v>
      </c>
      <c r="W168">
        <f t="shared" si="49"/>
        <v>0</v>
      </c>
      <c r="X168">
        <f t="shared" si="54"/>
        <v>0</v>
      </c>
      <c r="Y168" s="6">
        <f t="shared" si="55"/>
        <v>0</v>
      </c>
    </row>
    <row r="169" spans="1:25" hidden="1" x14ac:dyDescent="0.25">
      <c r="A169" t="str">
        <f>'rockfish harvests'!A173</f>
        <v>SC</v>
      </c>
      <c r="B169">
        <f>'rockfish harvests'!B173</f>
        <v>2019</v>
      </c>
      <c r="C169" t="str">
        <f>'rockfish harvests'!C173</f>
        <v>NORTHEAS</v>
      </c>
      <c r="D169">
        <f>'rockfish harvests'!D173</f>
        <v>9881</v>
      </c>
      <c r="E169">
        <f>'YE harvest'!E174</f>
        <v>435</v>
      </c>
      <c r="I169">
        <f t="shared" ref="I169:I170" si="56">(E169^2)*G169</f>
        <v>0</v>
      </c>
      <c r="J169">
        <f t="shared" ref="J169:J170" si="57">SQRT(I169)</f>
        <v>0</v>
      </c>
      <c r="K169" s="6">
        <f t="shared" ref="K169:K170" si="58">(1.96*J169)</f>
        <v>0</v>
      </c>
      <c r="M169" s="2">
        <f>'rockfish harvests'!O173</f>
        <v>10303.660072182862</v>
      </c>
      <c r="N169">
        <f>'rockfish harvests'!P173</f>
        <v>5030013.8598571327</v>
      </c>
      <c r="R169" s="14"/>
      <c r="S169"/>
      <c r="T169" s="6"/>
      <c r="Y169" s="6"/>
    </row>
    <row r="170" spans="1:25" hidden="1" x14ac:dyDescent="0.25">
      <c r="A170" t="str">
        <f>'rockfish harvests'!A174</f>
        <v>SC</v>
      </c>
      <c r="B170">
        <f>'rockfish harvests'!B174</f>
        <v>2020</v>
      </c>
      <c r="C170" t="str">
        <f>'rockfish harvests'!C174</f>
        <v>NORTHEAS</v>
      </c>
      <c r="D170">
        <f>'rockfish harvests'!D174</f>
        <v>4479</v>
      </c>
      <c r="E170">
        <f>'YE harvest'!E175</f>
        <v>296</v>
      </c>
      <c r="I170">
        <f t="shared" si="56"/>
        <v>0</v>
      </c>
      <c r="J170">
        <f t="shared" si="57"/>
        <v>0</v>
      </c>
      <c r="K170" s="6">
        <f t="shared" si="58"/>
        <v>0</v>
      </c>
      <c r="M170" s="2">
        <f>'rockfish harvests'!O174</f>
        <v>5425.9695845697333</v>
      </c>
      <c r="N170">
        <f>'rockfish harvests'!P174</f>
        <v>2642689.7102351333</v>
      </c>
      <c r="R170" s="14"/>
      <c r="S170"/>
      <c r="T170" s="6"/>
      <c r="Y170" s="6"/>
    </row>
    <row r="171" spans="1:25" hidden="1" x14ac:dyDescent="0.25">
      <c r="A171" t="str">
        <f>'rockfish harvests'!A175</f>
        <v>SC</v>
      </c>
      <c r="B171">
        <f>'rockfish harvests'!B175</f>
        <v>2021</v>
      </c>
      <c r="C171" t="str">
        <f>'rockfish harvests'!C175</f>
        <v>NORTHEAS</v>
      </c>
      <c r="D171">
        <f>'rockfish harvests'!D175</f>
        <v>9680</v>
      </c>
      <c r="E171">
        <f>'YE harvest'!E176</f>
        <v>701</v>
      </c>
      <c r="K171" s="6"/>
      <c r="M171" s="2">
        <f>'rockfish harvests'!O175</f>
        <v>6922.7471252241812</v>
      </c>
      <c r="N171">
        <f>'rockfish harvests'!P175</f>
        <v>2666714.9901529583</v>
      </c>
      <c r="R171" s="14"/>
      <c r="S171"/>
      <c r="T171" s="6"/>
      <c r="Y171" s="6"/>
    </row>
    <row r="172" spans="1:25" hidden="1" x14ac:dyDescent="0.25">
      <c r="A172" t="str">
        <f>'rockfish harvests'!A177</f>
        <v>SC</v>
      </c>
      <c r="B172">
        <f>'rockfish harvests'!B177</f>
        <v>1998</v>
      </c>
      <c r="C172" t="str">
        <f>'rockfish harvests'!C177</f>
        <v>PWSI</v>
      </c>
      <c r="D172">
        <f>'rockfish harvests'!D177</f>
        <v>3821</v>
      </c>
      <c r="E172">
        <f>'YE harvest'!E178</f>
        <v>1723</v>
      </c>
      <c r="H172" s="13">
        <f t="shared" ref="H172:H179" si="59">E172*F172</f>
        <v>0</v>
      </c>
      <c r="I172">
        <f t="shared" si="47"/>
        <v>0</v>
      </c>
      <c r="J172">
        <f t="shared" si="50"/>
        <v>0</v>
      </c>
      <c r="K172" s="6">
        <f t="shared" si="51"/>
        <v>0</v>
      </c>
      <c r="M172" s="2">
        <f>'rockfish harvests'!O177</f>
        <v>9768.3550806147941</v>
      </c>
      <c r="N172">
        <f>'rockfish harvests'!P177</f>
        <v>8755809.3695013113</v>
      </c>
      <c r="O172" s="32"/>
      <c r="P172" s="32"/>
      <c r="Q172" s="13">
        <f t="shared" si="41"/>
        <v>0</v>
      </c>
      <c r="R172" s="14">
        <f t="shared" si="42"/>
        <v>0</v>
      </c>
      <c r="S172">
        <f t="shared" si="52"/>
        <v>0</v>
      </c>
      <c r="T172" s="6">
        <f t="shared" si="53"/>
        <v>0</v>
      </c>
      <c r="V172" s="13">
        <f t="shared" si="48"/>
        <v>0</v>
      </c>
      <c r="W172">
        <f t="shared" si="49"/>
        <v>0</v>
      </c>
      <c r="X172">
        <f t="shared" si="54"/>
        <v>0</v>
      </c>
      <c r="Y172" s="6">
        <f t="shared" si="55"/>
        <v>0</v>
      </c>
    </row>
    <row r="173" spans="1:25" hidden="1" x14ac:dyDescent="0.25">
      <c r="A173" t="str">
        <f>'rockfish harvests'!A178</f>
        <v>SC</v>
      </c>
      <c r="B173">
        <f>'rockfish harvests'!B178</f>
        <v>1999</v>
      </c>
      <c r="C173" t="str">
        <f>'rockfish harvests'!C178</f>
        <v>PWSI</v>
      </c>
      <c r="D173">
        <f>'rockfish harvests'!D178</f>
        <v>4514</v>
      </c>
      <c r="E173">
        <f>'YE harvest'!E179</f>
        <v>1905</v>
      </c>
      <c r="H173" s="13">
        <f t="shared" si="59"/>
        <v>0</v>
      </c>
      <c r="I173">
        <f t="shared" si="47"/>
        <v>0</v>
      </c>
      <c r="J173">
        <f t="shared" si="50"/>
        <v>0</v>
      </c>
      <c r="K173" s="6">
        <f t="shared" si="51"/>
        <v>0</v>
      </c>
      <c r="M173" s="2">
        <f>'rockfish harvests'!O178</f>
        <v>11540.003882202349</v>
      </c>
      <c r="N173">
        <f>'rockfish harvests'!P178</f>
        <v>12219834.714956973</v>
      </c>
      <c r="Q173" s="13">
        <f t="shared" si="41"/>
        <v>0</v>
      </c>
      <c r="R173" s="14">
        <f t="shared" si="42"/>
        <v>0</v>
      </c>
      <c r="S173">
        <f t="shared" si="52"/>
        <v>0</v>
      </c>
      <c r="T173" s="6">
        <f t="shared" si="53"/>
        <v>0</v>
      </c>
      <c r="V173" s="13">
        <f t="shared" si="48"/>
        <v>0</v>
      </c>
      <c r="W173">
        <f t="shared" si="49"/>
        <v>0</v>
      </c>
      <c r="X173">
        <f t="shared" si="54"/>
        <v>0</v>
      </c>
      <c r="Y173" s="6">
        <f t="shared" si="55"/>
        <v>0</v>
      </c>
    </row>
    <row r="174" spans="1:25" hidden="1" x14ac:dyDescent="0.25">
      <c r="A174" t="str">
        <f>'rockfish harvests'!A179</f>
        <v>SC</v>
      </c>
      <c r="B174">
        <f>'rockfish harvests'!B179</f>
        <v>2000</v>
      </c>
      <c r="C174" t="str">
        <f>'rockfish harvests'!C179</f>
        <v>PWSI</v>
      </c>
      <c r="D174">
        <f>'rockfish harvests'!D179</f>
        <v>6011</v>
      </c>
      <c r="E174">
        <f>'YE harvest'!E180</f>
        <v>2620</v>
      </c>
      <c r="H174" s="13">
        <f t="shared" si="59"/>
        <v>0</v>
      </c>
      <c r="I174">
        <f t="shared" si="47"/>
        <v>0</v>
      </c>
      <c r="J174">
        <f t="shared" si="50"/>
        <v>0</v>
      </c>
      <c r="K174" s="6">
        <f t="shared" si="51"/>
        <v>0</v>
      </c>
      <c r="M174" s="2">
        <f>'rockfish harvests'!O179</f>
        <v>15367.072072644733</v>
      </c>
      <c r="N174">
        <f>'rockfish harvests'!P179</f>
        <v>21668840.765019432</v>
      </c>
      <c r="Q174" s="13">
        <f t="shared" si="41"/>
        <v>0</v>
      </c>
      <c r="R174" s="14">
        <f t="shared" si="42"/>
        <v>0</v>
      </c>
      <c r="S174">
        <f t="shared" si="52"/>
        <v>0</v>
      </c>
      <c r="T174" s="6">
        <f t="shared" si="53"/>
        <v>0</v>
      </c>
      <c r="V174" s="13">
        <f t="shared" si="48"/>
        <v>0</v>
      </c>
      <c r="W174">
        <f t="shared" si="49"/>
        <v>0</v>
      </c>
      <c r="X174">
        <f t="shared" si="54"/>
        <v>0</v>
      </c>
      <c r="Y174" s="6">
        <f t="shared" si="55"/>
        <v>0</v>
      </c>
    </row>
    <row r="175" spans="1:25" hidden="1" x14ac:dyDescent="0.25">
      <c r="A175" t="str">
        <f>'rockfish harvests'!A180</f>
        <v>SC</v>
      </c>
      <c r="B175">
        <f>'rockfish harvests'!B180</f>
        <v>2001</v>
      </c>
      <c r="C175" t="str">
        <f>'rockfish harvests'!C180</f>
        <v>PWSI</v>
      </c>
      <c r="D175">
        <f>'rockfish harvests'!D180</f>
        <v>7036</v>
      </c>
      <c r="E175">
        <f>'YE harvest'!E181</f>
        <v>2827</v>
      </c>
      <c r="H175" s="13">
        <f t="shared" si="59"/>
        <v>0</v>
      </c>
      <c r="I175">
        <f t="shared" si="47"/>
        <v>0</v>
      </c>
      <c r="J175">
        <f t="shared" si="50"/>
        <v>0</v>
      </c>
      <c r="K175" s="6">
        <f t="shared" si="51"/>
        <v>0</v>
      </c>
      <c r="M175" s="2">
        <f>'rockfish harvests'!O180</f>
        <v>17987.476144256918</v>
      </c>
      <c r="N175">
        <f>'rockfish harvests'!P180</f>
        <v>29688884.747428846</v>
      </c>
      <c r="Q175" s="13">
        <f t="shared" si="41"/>
        <v>0</v>
      </c>
      <c r="R175" s="14">
        <f t="shared" si="42"/>
        <v>0</v>
      </c>
      <c r="S175">
        <f t="shared" si="52"/>
        <v>0</v>
      </c>
      <c r="T175" s="6">
        <f t="shared" si="53"/>
        <v>0</v>
      </c>
      <c r="V175" s="13">
        <f t="shared" si="48"/>
        <v>0</v>
      </c>
      <c r="W175">
        <f t="shared" si="49"/>
        <v>0</v>
      </c>
      <c r="X175">
        <f t="shared" si="54"/>
        <v>0</v>
      </c>
      <c r="Y175" s="6">
        <f t="shared" si="55"/>
        <v>0</v>
      </c>
    </row>
    <row r="176" spans="1:25" hidden="1" x14ac:dyDescent="0.25">
      <c r="A176" t="str">
        <f>'rockfish harvests'!A181</f>
        <v>SC</v>
      </c>
      <c r="B176">
        <f>'rockfish harvests'!B181</f>
        <v>2002</v>
      </c>
      <c r="C176" t="str">
        <f>'rockfish harvests'!C181</f>
        <v>PWSI</v>
      </c>
      <c r="D176">
        <f>'rockfish harvests'!D181</f>
        <v>7398</v>
      </c>
      <c r="E176">
        <f>'YE harvest'!E182</f>
        <v>2518</v>
      </c>
      <c r="H176" s="13">
        <f t="shared" si="59"/>
        <v>0</v>
      </c>
      <c r="I176">
        <f t="shared" si="47"/>
        <v>0</v>
      </c>
      <c r="J176">
        <f t="shared" si="50"/>
        <v>0</v>
      </c>
      <c r="K176" s="6">
        <f t="shared" si="51"/>
        <v>0</v>
      </c>
      <c r="M176" s="2">
        <f>'rockfish harvests'!O181</f>
        <v>18912.926167597027</v>
      </c>
      <c r="N176">
        <f>'rockfish harvests'!P181</f>
        <v>32822440.987651471</v>
      </c>
      <c r="Q176" s="13">
        <f t="shared" si="41"/>
        <v>0</v>
      </c>
      <c r="R176" s="14">
        <f t="shared" si="42"/>
        <v>0</v>
      </c>
      <c r="S176">
        <f t="shared" si="52"/>
        <v>0</v>
      </c>
      <c r="T176" s="6">
        <f t="shared" si="53"/>
        <v>0</v>
      </c>
      <c r="V176" s="13">
        <f t="shared" si="48"/>
        <v>0</v>
      </c>
      <c r="W176">
        <f t="shared" si="49"/>
        <v>0</v>
      </c>
      <c r="X176">
        <f t="shared" si="54"/>
        <v>0</v>
      </c>
      <c r="Y176" s="6">
        <f t="shared" si="55"/>
        <v>0</v>
      </c>
    </row>
    <row r="177" spans="1:25" hidden="1" x14ac:dyDescent="0.25">
      <c r="A177" t="str">
        <f>'rockfish harvests'!A182</f>
        <v>SC</v>
      </c>
      <c r="B177">
        <f>'rockfish harvests'!B182</f>
        <v>2003</v>
      </c>
      <c r="C177" t="str">
        <f>'rockfish harvests'!C182</f>
        <v>PWSI</v>
      </c>
      <c r="D177">
        <f>'rockfish harvests'!D182</f>
        <v>11932</v>
      </c>
      <c r="E177">
        <f>'YE harvest'!E183</f>
        <v>3187</v>
      </c>
      <c r="H177" s="13">
        <f t="shared" si="59"/>
        <v>0</v>
      </c>
      <c r="I177">
        <f t="shared" si="47"/>
        <v>0</v>
      </c>
      <c r="J177">
        <f t="shared" si="50"/>
        <v>0</v>
      </c>
      <c r="K177" s="6">
        <f t="shared" si="51"/>
        <v>0</v>
      </c>
      <c r="M177" s="2">
        <f>'rockfish harvests'!O182</f>
        <v>30504.059885343027</v>
      </c>
      <c r="N177">
        <f>'rockfish harvests'!P182</f>
        <v>85382469.486194402</v>
      </c>
      <c r="Q177" s="13">
        <f t="shared" si="41"/>
        <v>0</v>
      </c>
      <c r="R177" s="14">
        <f t="shared" si="42"/>
        <v>0</v>
      </c>
      <c r="S177">
        <f t="shared" si="52"/>
        <v>0</v>
      </c>
      <c r="T177" s="6">
        <f t="shared" si="53"/>
        <v>0</v>
      </c>
      <c r="V177" s="13">
        <f t="shared" si="48"/>
        <v>0</v>
      </c>
      <c r="W177">
        <f t="shared" si="49"/>
        <v>0</v>
      </c>
      <c r="X177">
        <f t="shared" si="54"/>
        <v>0</v>
      </c>
      <c r="Y177" s="6">
        <f t="shared" si="55"/>
        <v>0</v>
      </c>
    </row>
    <row r="178" spans="1:25" hidden="1" x14ac:dyDescent="0.25">
      <c r="A178" t="str">
        <f>'rockfish harvests'!A183</f>
        <v>SC</v>
      </c>
      <c r="B178">
        <f>'rockfish harvests'!B183</f>
        <v>2004</v>
      </c>
      <c r="C178" t="str">
        <f>'rockfish harvests'!C183</f>
        <v>PWSI</v>
      </c>
      <c r="D178">
        <f>'rockfish harvests'!D183</f>
        <v>10310</v>
      </c>
      <c r="E178">
        <f>'YE harvest'!E184</f>
        <v>2872</v>
      </c>
      <c r="H178" s="13">
        <f t="shared" si="59"/>
        <v>0</v>
      </c>
      <c r="I178">
        <f t="shared" si="47"/>
        <v>0</v>
      </c>
      <c r="J178">
        <f t="shared" si="50"/>
        <v>0</v>
      </c>
      <c r="K178" s="6">
        <f t="shared" si="51"/>
        <v>0</v>
      </c>
      <c r="M178" s="2">
        <f>'rockfish harvests'!O183</f>
        <v>26357.430222752817</v>
      </c>
      <c r="N178">
        <f>'rockfish harvests'!P183</f>
        <v>63746970.869564563</v>
      </c>
      <c r="Q178" s="13">
        <f t="shared" si="41"/>
        <v>0</v>
      </c>
      <c r="R178" s="14">
        <f t="shared" si="42"/>
        <v>0</v>
      </c>
      <c r="S178">
        <f t="shared" si="52"/>
        <v>0</v>
      </c>
      <c r="T178" s="6">
        <f t="shared" si="53"/>
        <v>0</v>
      </c>
      <c r="V178" s="13">
        <f t="shared" si="48"/>
        <v>0</v>
      </c>
      <c r="W178">
        <f t="shared" si="49"/>
        <v>0</v>
      </c>
      <c r="X178">
        <f t="shared" si="54"/>
        <v>0</v>
      </c>
      <c r="Y178" s="6">
        <f t="shared" si="55"/>
        <v>0</v>
      </c>
    </row>
    <row r="179" spans="1:25" hidden="1" x14ac:dyDescent="0.25">
      <c r="A179" t="str">
        <f>'rockfish harvests'!A184</f>
        <v>SC</v>
      </c>
      <c r="B179">
        <f>'rockfish harvests'!B184</f>
        <v>2005</v>
      </c>
      <c r="C179" t="str">
        <f>'rockfish harvests'!C184</f>
        <v>PWSI</v>
      </c>
      <c r="D179">
        <f>'rockfish harvests'!D184</f>
        <v>10930</v>
      </c>
      <c r="E179">
        <f>'YE harvest'!E185</f>
        <v>2754</v>
      </c>
      <c r="H179" s="13">
        <f t="shared" si="59"/>
        <v>0</v>
      </c>
      <c r="I179">
        <f t="shared" si="47"/>
        <v>0</v>
      </c>
      <c r="J179">
        <f t="shared" si="50"/>
        <v>0</v>
      </c>
      <c r="K179" s="6">
        <f t="shared" si="51"/>
        <v>0</v>
      </c>
      <c r="M179" s="2">
        <f>'rockfish harvests'!O184</f>
        <v>27942.455124606044</v>
      </c>
      <c r="N179">
        <f>'rockfish harvests'!P184</f>
        <v>71644448.857817397</v>
      </c>
      <c r="Q179" s="13">
        <f t="shared" si="41"/>
        <v>0</v>
      </c>
      <c r="R179" s="14">
        <f t="shared" si="42"/>
        <v>0</v>
      </c>
      <c r="S179">
        <f t="shared" si="52"/>
        <v>0</v>
      </c>
      <c r="T179" s="6">
        <f t="shared" si="53"/>
        <v>0</v>
      </c>
      <c r="V179" s="13">
        <f t="shared" si="48"/>
        <v>0</v>
      </c>
      <c r="W179">
        <f t="shared" si="49"/>
        <v>0</v>
      </c>
      <c r="X179">
        <f t="shared" si="54"/>
        <v>0</v>
      </c>
      <c r="Y179" s="6">
        <f t="shared" si="55"/>
        <v>0</v>
      </c>
    </row>
    <row r="180" spans="1:25" hidden="1" x14ac:dyDescent="0.25">
      <c r="A180" t="str">
        <f>'rockfish harvests'!A185</f>
        <v>SC</v>
      </c>
      <c r="B180">
        <f>'rockfish harvests'!B185</f>
        <v>2006</v>
      </c>
      <c r="C180" t="str">
        <f>'rockfish harvests'!C185</f>
        <v>PWSI</v>
      </c>
      <c r="D180">
        <f>'rockfish harvests'!D185</f>
        <v>7578</v>
      </c>
      <c r="E180">
        <f>'YE harvest'!E186</f>
        <v>2985</v>
      </c>
      <c r="H180" s="13" t="e">
        <f>#REF!</f>
        <v>#REF!</v>
      </c>
      <c r="I180">
        <f t="shared" si="47"/>
        <v>0</v>
      </c>
      <c r="J180">
        <f t="shared" si="50"/>
        <v>0</v>
      </c>
      <c r="K180" s="6">
        <f t="shared" si="51"/>
        <v>0</v>
      </c>
      <c r="M180" s="2">
        <f>'rockfish harvests'!O185</f>
        <v>19373.094687489898</v>
      </c>
      <c r="N180">
        <f>'rockfish harvests'!P185</f>
        <v>34439070.708155498</v>
      </c>
      <c r="Q180" s="13">
        <f t="shared" si="41"/>
        <v>0</v>
      </c>
      <c r="R180" s="14">
        <f t="shared" si="42"/>
        <v>0</v>
      </c>
      <c r="S180">
        <f t="shared" si="52"/>
        <v>0</v>
      </c>
      <c r="T180" s="6">
        <f t="shared" si="53"/>
        <v>0</v>
      </c>
      <c r="V180" s="13" t="e">
        <f t="shared" si="48"/>
        <v>#REF!</v>
      </c>
      <c r="W180">
        <f t="shared" si="49"/>
        <v>0</v>
      </c>
      <c r="X180">
        <f t="shared" si="54"/>
        <v>0</v>
      </c>
      <c r="Y180" s="6">
        <f t="shared" si="55"/>
        <v>0</v>
      </c>
    </row>
    <row r="181" spans="1:25" hidden="1" x14ac:dyDescent="0.25">
      <c r="A181" t="str">
        <f>'rockfish harvests'!A186</f>
        <v>SC</v>
      </c>
      <c r="B181">
        <f>'rockfish harvests'!B186</f>
        <v>2007</v>
      </c>
      <c r="C181" t="str">
        <f>'rockfish harvests'!C186</f>
        <v>PWSI</v>
      </c>
      <c r="D181">
        <f>'rockfish harvests'!D186</f>
        <v>12404</v>
      </c>
      <c r="E181">
        <f>'YE harvest'!E187</f>
        <v>3115</v>
      </c>
      <c r="H181" s="13" t="e">
        <f>#REF!</f>
        <v>#REF!</v>
      </c>
      <c r="I181">
        <f t="shared" si="47"/>
        <v>0</v>
      </c>
      <c r="J181">
        <f t="shared" si="50"/>
        <v>0</v>
      </c>
      <c r="K181" s="6">
        <f t="shared" si="51"/>
        <v>0</v>
      </c>
      <c r="M181" s="2">
        <f>'rockfish harvests'!O186</f>
        <v>31710.724004173229</v>
      </c>
      <c r="N181">
        <f>'rockfish harvests'!P186</f>
        <v>92271108.350786552</v>
      </c>
      <c r="Q181" s="13">
        <f t="shared" si="41"/>
        <v>0</v>
      </c>
      <c r="R181" s="14">
        <f t="shared" si="42"/>
        <v>0</v>
      </c>
      <c r="S181">
        <f t="shared" si="52"/>
        <v>0</v>
      </c>
      <c r="T181" s="6">
        <f t="shared" si="53"/>
        <v>0</v>
      </c>
      <c r="V181" s="13" t="e">
        <f t="shared" si="48"/>
        <v>#REF!</v>
      </c>
      <c r="W181">
        <f t="shared" si="49"/>
        <v>0</v>
      </c>
      <c r="X181">
        <f t="shared" si="54"/>
        <v>0</v>
      </c>
      <c r="Y181" s="6">
        <f t="shared" si="55"/>
        <v>0</v>
      </c>
    </row>
    <row r="182" spans="1:25" hidden="1" x14ac:dyDescent="0.25">
      <c r="A182" t="str">
        <f>'rockfish harvests'!A187</f>
        <v>SC</v>
      </c>
      <c r="B182">
        <f>'rockfish harvests'!B187</f>
        <v>2008</v>
      </c>
      <c r="C182" t="str">
        <f>'rockfish harvests'!C187</f>
        <v>PWSI</v>
      </c>
      <c r="D182">
        <f>'rockfish harvests'!D187</f>
        <v>9522</v>
      </c>
      <c r="E182">
        <f>'YE harvest'!E188</f>
        <v>2623</v>
      </c>
      <c r="H182" s="13" t="e">
        <f>#REF!</f>
        <v>#REF!</v>
      </c>
      <c r="I182">
        <f t="shared" si="47"/>
        <v>0</v>
      </c>
      <c r="J182">
        <f t="shared" si="50"/>
        <v>0</v>
      </c>
      <c r="K182" s="6">
        <f t="shared" si="51"/>
        <v>0</v>
      </c>
      <c r="M182" s="2">
        <f>'rockfish harvests'!O187</f>
        <v>24342.914702332913</v>
      </c>
      <c r="N182">
        <f>'rockfish harvests'!P187</f>
        <v>54374913.17494791</v>
      </c>
      <c r="Q182" s="13">
        <f t="shared" si="41"/>
        <v>0</v>
      </c>
      <c r="R182" s="14">
        <f t="shared" si="42"/>
        <v>0</v>
      </c>
      <c r="S182">
        <f t="shared" si="52"/>
        <v>0</v>
      </c>
      <c r="T182" s="6">
        <f t="shared" si="53"/>
        <v>0</v>
      </c>
      <c r="V182" s="13" t="e">
        <f t="shared" si="48"/>
        <v>#REF!</v>
      </c>
      <c r="W182">
        <f t="shared" si="49"/>
        <v>0</v>
      </c>
      <c r="X182">
        <f t="shared" si="54"/>
        <v>0</v>
      </c>
      <c r="Y182" s="6">
        <f t="shared" si="55"/>
        <v>0</v>
      </c>
    </row>
    <row r="183" spans="1:25" hidden="1" x14ac:dyDescent="0.25">
      <c r="A183" t="str">
        <f>'rockfish harvests'!A188</f>
        <v>SC</v>
      </c>
      <c r="B183">
        <f>'rockfish harvests'!B188</f>
        <v>2009</v>
      </c>
      <c r="C183" t="str">
        <f>'rockfish harvests'!C188</f>
        <v>PWSI</v>
      </c>
      <c r="D183">
        <f>'rockfish harvests'!D188</f>
        <v>8197</v>
      </c>
      <c r="E183">
        <f>'YE harvest'!E189</f>
        <v>2224</v>
      </c>
      <c r="H183" s="13" t="e">
        <f>#REF!</f>
        <v>#REF!</v>
      </c>
      <c r="I183">
        <f t="shared" si="47"/>
        <v>0</v>
      </c>
      <c r="J183">
        <f t="shared" si="50"/>
        <v>0</v>
      </c>
      <c r="K183" s="6">
        <f t="shared" si="51"/>
        <v>0</v>
      </c>
      <c r="M183" s="2">
        <f>'rockfish harvests'!O188</f>
        <v>20955.563097565941</v>
      </c>
      <c r="N183">
        <f>'rockfish harvests'!P188</f>
        <v>40295086.4991799</v>
      </c>
      <c r="Q183" s="13">
        <f t="shared" si="41"/>
        <v>0</v>
      </c>
      <c r="R183" s="14">
        <f t="shared" si="42"/>
        <v>0</v>
      </c>
      <c r="S183">
        <f t="shared" si="52"/>
        <v>0</v>
      </c>
      <c r="T183" s="6">
        <f t="shared" si="53"/>
        <v>0</v>
      </c>
      <c r="V183" s="13" t="e">
        <f t="shared" si="48"/>
        <v>#REF!</v>
      </c>
      <c r="W183">
        <f t="shared" si="49"/>
        <v>0</v>
      </c>
      <c r="X183">
        <f t="shared" si="54"/>
        <v>0</v>
      </c>
      <c r="Y183" s="6">
        <f t="shared" si="55"/>
        <v>0</v>
      </c>
    </row>
    <row r="184" spans="1:25" hidden="1" x14ac:dyDescent="0.25">
      <c r="A184" t="str">
        <f>'rockfish harvests'!A189</f>
        <v>SC</v>
      </c>
      <c r="B184">
        <f>'rockfish harvests'!B189</f>
        <v>2010</v>
      </c>
      <c r="C184" t="str">
        <f>'rockfish harvests'!C189</f>
        <v>PWSI</v>
      </c>
      <c r="D184">
        <f>'rockfish harvests'!D189</f>
        <v>11909</v>
      </c>
      <c r="E184">
        <f>'YE harvest'!E190</f>
        <v>3828</v>
      </c>
      <c r="H184" s="13" t="e">
        <f>#REF!</f>
        <v>#REF!</v>
      </c>
      <c r="I184">
        <f t="shared" si="47"/>
        <v>0</v>
      </c>
      <c r="J184">
        <f t="shared" si="50"/>
        <v>0</v>
      </c>
      <c r="K184" s="6">
        <f t="shared" si="51"/>
        <v>0</v>
      </c>
      <c r="M184" s="2">
        <f>'rockfish harvests'!O189</f>
        <v>30445.260574467829</v>
      </c>
      <c r="N184">
        <f>'rockfish harvests'!P189</f>
        <v>85053622.000279784</v>
      </c>
      <c r="Q184" s="13">
        <f t="shared" si="41"/>
        <v>0</v>
      </c>
      <c r="R184" s="14">
        <f t="shared" si="42"/>
        <v>0</v>
      </c>
      <c r="S184">
        <f t="shared" si="52"/>
        <v>0</v>
      </c>
      <c r="T184" s="6">
        <f t="shared" si="53"/>
        <v>0</v>
      </c>
      <c r="V184" s="13" t="e">
        <f t="shared" si="48"/>
        <v>#REF!</v>
      </c>
      <c r="W184">
        <f t="shared" si="49"/>
        <v>0</v>
      </c>
      <c r="X184">
        <f t="shared" si="54"/>
        <v>0</v>
      </c>
      <c r="Y184" s="6">
        <f t="shared" si="55"/>
        <v>0</v>
      </c>
    </row>
    <row r="185" spans="1:25" hidden="1" x14ac:dyDescent="0.25">
      <c r="A185" t="str">
        <f>'rockfish harvests'!A190</f>
        <v>SC</v>
      </c>
      <c r="B185">
        <f>'rockfish harvests'!B190</f>
        <v>2011</v>
      </c>
      <c r="C185" t="str">
        <f>'rockfish harvests'!C190</f>
        <v>PWSI</v>
      </c>
      <c r="D185">
        <f>'rockfish harvests'!D190</f>
        <v>11367</v>
      </c>
      <c r="E185">
        <f>'YE harvest'!E191</f>
        <v>3175</v>
      </c>
      <c r="H185" s="13" t="e">
        <f>#REF!</f>
        <v>#REF!</v>
      </c>
      <c r="I185">
        <f t="shared" si="47"/>
        <v>0</v>
      </c>
      <c r="J185">
        <f t="shared" si="50"/>
        <v>0</v>
      </c>
      <c r="K185" s="6">
        <f t="shared" si="51"/>
        <v>0</v>
      </c>
      <c r="M185" s="2">
        <f>'rockfish harvests'!O190</f>
        <v>58599.987281399051</v>
      </c>
      <c r="N185">
        <f>'rockfish harvests'!P190</f>
        <v>100066036.13433234</v>
      </c>
      <c r="Q185" s="13">
        <f t="shared" si="41"/>
        <v>0</v>
      </c>
      <c r="R185" s="14">
        <f t="shared" si="42"/>
        <v>0</v>
      </c>
      <c r="S185">
        <f t="shared" si="52"/>
        <v>0</v>
      </c>
      <c r="T185" s="6">
        <f t="shared" si="53"/>
        <v>0</v>
      </c>
      <c r="V185" s="13" t="e">
        <f t="shared" si="48"/>
        <v>#REF!</v>
      </c>
      <c r="W185">
        <f t="shared" si="49"/>
        <v>0</v>
      </c>
      <c r="X185">
        <f t="shared" si="54"/>
        <v>0</v>
      </c>
      <c r="Y185" s="6">
        <f t="shared" si="55"/>
        <v>0</v>
      </c>
    </row>
    <row r="186" spans="1:25" hidden="1" x14ac:dyDescent="0.25">
      <c r="A186" t="str">
        <f>'rockfish harvests'!A191</f>
        <v>SC</v>
      </c>
      <c r="B186">
        <f>'rockfish harvests'!B191</f>
        <v>2012</v>
      </c>
      <c r="C186" t="str">
        <f>'rockfish harvests'!C191</f>
        <v>PWSI</v>
      </c>
      <c r="D186">
        <f>'rockfish harvests'!D191</f>
        <v>13580</v>
      </c>
      <c r="E186">
        <f>'YE harvest'!E192</f>
        <v>4267</v>
      </c>
      <c r="H186" s="13" t="e">
        <f>#REF!</f>
        <v>#REF!</v>
      </c>
      <c r="I186">
        <f t="shared" si="47"/>
        <v>0</v>
      </c>
      <c r="J186">
        <f t="shared" si="50"/>
        <v>0</v>
      </c>
      <c r="K186" s="6">
        <f t="shared" si="51"/>
        <v>0</v>
      </c>
      <c r="M186" s="2">
        <f>'rockfish harvests'!O191</f>
        <v>31117.154090427939</v>
      </c>
      <c r="N186">
        <f>'rockfish harvests'!P191</f>
        <v>29413124.019685954</v>
      </c>
      <c r="Q186" s="13">
        <f t="shared" si="41"/>
        <v>0</v>
      </c>
      <c r="R186" s="14">
        <f t="shared" si="42"/>
        <v>0</v>
      </c>
      <c r="S186">
        <f t="shared" si="52"/>
        <v>0</v>
      </c>
      <c r="T186" s="6">
        <f t="shared" si="53"/>
        <v>0</v>
      </c>
      <c r="V186" s="13" t="e">
        <f t="shared" si="48"/>
        <v>#REF!</v>
      </c>
      <c r="W186">
        <f t="shared" si="49"/>
        <v>0</v>
      </c>
      <c r="X186">
        <f t="shared" si="54"/>
        <v>0</v>
      </c>
      <c r="Y186" s="6">
        <f t="shared" si="55"/>
        <v>0</v>
      </c>
    </row>
    <row r="187" spans="1:25" hidden="1" x14ac:dyDescent="0.25">
      <c r="A187" t="str">
        <f>'rockfish harvests'!A192</f>
        <v>SC</v>
      </c>
      <c r="B187">
        <f>'rockfish harvests'!B192</f>
        <v>2013</v>
      </c>
      <c r="C187" t="str">
        <f>'rockfish harvests'!C192</f>
        <v>PWSI</v>
      </c>
      <c r="D187">
        <f>'rockfish harvests'!D192</f>
        <v>14209</v>
      </c>
      <c r="E187">
        <f>'YE harvest'!E193</f>
        <v>3334</v>
      </c>
      <c r="H187" s="13" t="e">
        <f>#REF!</f>
        <v>#REF!</v>
      </c>
      <c r="I187">
        <f t="shared" si="47"/>
        <v>0</v>
      </c>
      <c r="J187">
        <f t="shared" si="50"/>
        <v>0</v>
      </c>
      <c r="K187" s="6">
        <f t="shared" si="51"/>
        <v>0</v>
      </c>
      <c r="M187" s="2">
        <f>'rockfish harvests'!O192</f>
        <v>46247.943133398883</v>
      </c>
      <c r="N187">
        <f>'rockfish harvests'!P192</f>
        <v>49601334.787597425</v>
      </c>
      <c r="Q187" s="13">
        <f t="shared" si="41"/>
        <v>0</v>
      </c>
      <c r="R187" s="14">
        <f t="shared" si="42"/>
        <v>0</v>
      </c>
      <c r="S187">
        <f t="shared" si="52"/>
        <v>0</v>
      </c>
      <c r="T187" s="6">
        <f t="shared" si="53"/>
        <v>0</v>
      </c>
      <c r="V187" s="13" t="e">
        <f t="shared" si="48"/>
        <v>#REF!</v>
      </c>
      <c r="W187">
        <f t="shared" si="49"/>
        <v>0</v>
      </c>
      <c r="X187">
        <f t="shared" si="54"/>
        <v>0</v>
      </c>
      <c r="Y187" s="6">
        <f t="shared" si="55"/>
        <v>0</v>
      </c>
    </row>
    <row r="188" spans="1:25" hidden="1" x14ac:dyDescent="0.25">
      <c r="A188" t="str">
        <f>'rockfish harvests'!A193</f>
        <v>SC</v>
      </c>
      <c r="B188">
        <f>'rockfish harvests'!B193</f>
        <v>2014</v>
      </c>
      <c r="C188" t="str">
        <f>'rockfish harvests'!C193</f>
        <v>PWSI</v>
      </c>
      <c r="D188">
        <f>'rockfish harvests'!D193</f>
        <v>14913</v>
      </c>
      <c r="E188">
        <f>'YE harvest'!E194</f>
        <v>4184</v>
      </c>
      <c r="H188" s="13" t="e">
        <f>#REF!</f>
        <v>#REF!</v>
      </c>
      <c r="I188">
        <f t="shared" si="47"/>
        <v>0</v>
      </c>
      <c r="J188">
        <f t="shared" si="50"/>
        <v>0</v>
      </c>
      <c r="K188" s="6">
        <f t="shared" si="51"/>
        <v>0</v>
      </c>
      <c r="M188" s="2">
        <f>'rockfish harvests'!O193</f>
        <v>37953.469599823133</v>
      </c>
      <c r="N188">
        <f>'rockfish harvests'!P193</f>
        <v>47097436.38695576</v>
      </c>
      <c r="Q188" s="13">
        <f t="shared" si="41"/>
        <v>0</v>
      </c>
      <c r="R188" s="14">
        <f t="shared" si="42"/>
        <v>0</v>
      </c>
      <c r="S188">
        <f t="shared" si="52"/>
        <v>0</v>
      </c>
      <c r="T188" s="6">
        <f t="shared" si="53"/>
        <v>0</v>
      </c>
      <c r="V188" s="13" t="e">
        <f t="shared" si="48"/>
        <v>#REF!</v>
      </c>
      <c r="W188">
        <f t="shared" si="49"/>
        <v>0</v>
      </c>
      <c r="X188">
        <f t="shared" si="54"/>
        <v>0</v>
      </c>
      <c r="Y188" s="6">
        <f t="shared" si="55"/>
        <v>0</v>
      </c>
    </row>
    <row r="189" spans="1:25" hidden="1" x14ac:dyDescent="0.25">
      <c r="A189" t="str">
        <f>'rockfish harvests'!A194</f>
        <v>SC</v>
      </c>
      <c r="B189">
        <f>'rockfish harvests'!B194</f>
        <v>2015</v>
      </c>
      <c r="C189" t="str">
        <f>'rockfish harvests'!C194</f>
        <v>PWSI</v>
      </c>
      <c r="D189">
        <f>'rockfish harvests'!D194</f>
        <v>20073</v>
      </c>
      <c r="E189">
        <f>'YE harvest'!E195</f>
        <v>5220</v>
      </c>
      <c r="H189" s="13" t="e">
        <f>#REF!</f>
        <v>#REF!</v>
      </c>
      <c r="I189">
        <f t="shared" si="47"/>
        <v>0</v>
      </c>
      <c r="J189">
        <f t="shared" si="50"/>
        <v>0</v>
      </c>
      <c r="K189" s="6">
        <f t="shared" si="51"/>
        <v>0</v>
      </c>
      <c r="M189" s="2">
        <f>'rockfish harvests'!O194</f>
        <v>52130.446754112942</v>
      </c>
      <c r="N189">
        <f>'rockfish harvests'!P194</f>
        <v>59819505.590102598</v>
      </c>
      <c r="Q189" s="13">
        <f t="shared" si="41"/>
        <v>0</v>
      </c>
      <c r="R189" s="14">
        <f t="shared" si="42"/>
        <v>0</v>
      </c>
      <c r="S189">
        <f t="shared" si="52"/>
        <v>0</v>
      </c>
      <c r="T189" s="6">
        <f t="shared" si="53"/>
        <v>0</v>
      </c>
      <c r="V189" s="13" t="e">
        <f t="shared" si="48"/>
        <v>#REF!</v>
      </c>
      <c r="W189">
        <f t="shared" si="49"/>
        <v>0</v>
      </c>
      <c r="X189">
        <f t="shared" si="54"/>
        <v>0</v>
      </c>
      <c r="Y189" s="6">
        <f t="shared" si="55"/>
        <v>0</v>
      </c>
    </row>
    <row r="190" spans="1:25" hidden="1" x14ac:dyDescent="0.25">
      <c r="A190" t="str">
        <f>'rockfish harvests'!A195</f>
        <v>SC</v>
      </c>
      <c r="B190">
        <f>'rockfish harvests'!B195</f>
        <v>2016</v>
      </c>
      <c r="C190" t="str">
        <f>'rockfish harvests'!C195</f>
        <v>PWSI</v>
      </c>
      <c r="D190">
        <f>'rockfish harvests'!D195</f>
        <v>28893</v>
      </c>
      <c r="E190">
        <f>'YE harvest'!E196</f>
        <v>6695</v>
      </c>
      <c r="H190" s="13" t="e">
        <f>#REF!</f>
        <v>#REF!</v>
      </c>
      <c r="I190">
        <f t="shared" si="47"/>
        <v>0</v>
      </c>
      <c r="J190">
        <f t="shared" si="50"/>
        <v>0</v>
      </c>
      <c r="K190" s="6">
        <f t="shared" si="51"/>
        <v>0</v>
      </c>
      <c r="M190" s="2">
        <f>'rockfish harvests'!O195</f>
        <v>64825.548631333717</v>
      </c>
      <c r="N190">
        <f>'rockfish harvests'!P195</f>
        <v>114245520.83381788</v>
      </c>
      <c r="Q190" s="13">
        <f t="shared" si="41"/>
        <v>0</v>
      </c>
      <c r="R190" s="14">
        <f t="shared" si="42"/>
        <v>0</v>
      </c>
      <c r="S190">
        <f t="shared" si="52"/>
        <v>0</v>
      </c>
      <c r="T190" s="6">
        <f t="shared" si="53"/>
        <v>0</v>
      </c>
      <c r="V190" s="13" t="e">
        <f t="shared" si="48"/>
        <v>#REF!</v>
      </c>
      <c r="W190">
        <f t="shared" si="49"/>
        <v>0</v>
      </c>
      <c r="X190">
        <f t="shared" si="54"/>
        <v>0</v>
      </c>
      <c r="Y190" s="6">
        <f t="shared" si="55"/>
        <v>0</v>
      </c>
    </row>
    <row r="191" spans="1:25" hidden="1" x14ac:dyDescent="0.25">
      <c r="A191" t="str">
        <f>'rockfish harvests'!A196</f>
        <v>SC</v>
      </c>
      <c r="B191">
        <f>'rockfish harvests'!B196</f>
        <v>2017</v>
      </c>
      <c r="C191" t="str">
        <f>'rockfish harvests'!C196</f>
        <v>PWSI</v>
      </c>
      <c r="D191">
        <f>'rockfish harvests'!D196</f>
        <v>16300</v>
      </c>
      <c r="E191">
        <f>'YE harvest'!E197</f>
        <v>4734</v>
      </c>
      <c r="H191" s="13" t="e">
        <f>#REF!</f>
        <v>#REF!</v>
      </c>
      <c r="I191">
        <f t="shared" si="47"/>
        <v>0</v>
      </c>
      <c r="J191">
        <f t="shared" si="50"/>
        <v>0</v>
      </c>
      <c r="K191" s="6">
        <f t="shared" si="51"/>
        <v>0</v>
      </c>
      <c r="M191" s="2">
        <f>'rockfish harvests'!O196</f>
        <v>33515.774784613517</v>
      </c>
      <c r="N191">
        <f>'rockfish harvests'!P196</f>
        <v>29331655.3806163</v>
      </c>
      <c r="Q191" s="13">
        <f t="shared" si="41"/>
        <v>0</v>
      </c>
      <c r="R191" s="14">
        <f t="shared" si="42"/>
        <v>0</v>
      </c>
      <c r="S191">
        <f t="shared" si="52"/>
        <v>0</v>
      </c>
      <c r="T191" s="6">
        <f t="shared" si="53"/>
        <v>0</v>
      </c>
      <c r="V191" s="13" t="e">
        <f t="shared" si="48"/>
        <v>#REF!</v>
      </c>
      <c r="W191">
        <f t="shared" si="49"/>
        <v>0</v>
      </c>
      <c r="X191">
        <f t="shared" si="54"/>
        <v>0</v>
      </c>
      <c r="Y191" s="6">
        <f t="shared" si="55"/>
        <v>0</v>
      </c>
    </row>
    <row r="192" spans="1:25" hidden="1" x14ac:dyDescent="0.25">
      <c r="A192" t="str">
        <f>'rockfish harvests'!A197</f>
        <v>SC</v>
      </c>
      <c r="B192">
        <f>'rockfish harvests'!B197</f>
        <v>2018</v>
      </c>
      <c r="C192" t="str">
        <f>'rockfish harvests'!C197</f>
        <v>PWSI</v>
      </c>
      <c r="D192">
        <f>'rockfish harvests'!D197</f>
        <v>12107</v>
      </c>
      <c r="E192">
        <f>'YE harvest'!E198</f>
        <v>3366</v>
      </c>
      <c r="H192" s="13" t="e">
        <f>#REF!</f>
        <v>#REF!</v>
      </c>
      <c r="I192">
        <f t="shared" si="47"/>
        <v>0</v>
      </c>
      <c r="J192">
        <f t="shared" si="50"/>
        <v>0</v>
      </c>
      <c r="K192" s="6">
        <f t="shared" si="51"/>
        <v>0</v>
      </c>
      <c r="M192" s="2">
        <f>'rockfish harvests'!O197</f>
        <v>22239.009039310491</v>
      </c>
      <c r="N192">
        <f>'rockfish harvests'!P197</f>
        <v>18423976.825865198</v>
      </c>
      <c r="Q192" s="13">
        <f t="shared" si="41"/>
        <v>0</v>
      </c>
      <c r="R192" s="14">
        <f t="shared" si="42"/>
        <v>0</v>
      </c>
      <c r="S192">
        <f t="shared" si="52"/>
        <v>0</v>
      </c>
      <c r="T192" s="6">
        <f t="shared" si="53"/>
        <v>0</v>
      </c>
      <c r="V192" s="13" t="e">
        <f t="shared" si="48"/>
        <v>#REF!</v>
      </c>
      <c r="W192">
        <f t="shared" si="49"/>
        <v>0</v>
      </c>
      <c r="X192">
        <f t="shared" si="54"/>
        <v>0</v>
      </c>
      <c r="Y192" s="6">
        <f t="shared" si="55"/>
        <v>0</v>
      </c>
    </row>
    <row r="193" spans="1:25" hidden="1" x14ac:dyDescent="0.25">
      <c r="A193" t="str">
        <f>'rockfish harvests'!A198</f>
        <v>SC</v>
      </c>
      <c r="B193">
        <f>'rockfish harvests'!B198</f>
        <v>2019</v>
      </c>
      <c r="C193" t="str">
        <f>'rockfish harvests'!C198</f>
        <v>PWSI</v>
      </c>
      <c r="D193">
        <f>'rockfish harvests'!D198</f>
        <v>15083</v>
      </c>
      <c r="E193">
        <f>'YE harvest'!E199</f>
        <v>3663</v>
      </c>
      <c r="I193">
        <f t="shared" ref="I193:I194" si="60">(E193^2)*G193</f>
        <v>0</v>
      </c>
      <c r="J193">
        <f t="shared" ref="J193:J194" si="61">SQRT(I193)</f>
        <v>0</v>
      </c>
      <c r="K193" s="6">
        <f t="shared" ref="K193:K194" si="62">(1.96*J193)</f>
        <v>0</v>
      </c>
      <c r="M193" s="2">
        <f>'rockfish harvests'!O198</f>
        <v>32001.722103820983</v>
      </c>
      <c r="N193">
        <f>'rockfish harvests'!P198</f>
        <v>26016565.548853625</v>
      </c>
      <c r="R193" s="14"/>
      <c r="S193"/>
      <c r="T193" s="6"/>
      <c r="Y193" s="6"/>
    </row>
    <row r="194" spans="1:25" hidden="1" x14ac:dyDescent="0.25">
      <c r="A194" t="str">
        <f>'rockfish harvests'!A199</f>
        <v>SC</v>
      </c>
      <c r="B194">
        <f>'rockfish harvests'!B199</f>
        <v>2020</v>
      </c>
      <c r="C194" t="str">
        <f>'rockfish harvests'!C199</f>
        <v>PWSI</v>
      </c>
      <c r="D194">
        <f>'rockfish harvests'!D199</f>
        <v>9001</v>
      </c>
      <c r="E194">
        <f>'YE harvest'!E200</f>
        <v>2287</v>
      </c>
      <c r="I194">
        <f t="shared" si="60"/>
        <v>0</v>
      </c>
      <c r="J194">
        <f t="shared" si="61"/>
        <v>0</v>
      </c>
      <c r="K194" s="6">
        <f t="shared" si="62"/>
        <v>0</v>
      </c>
      <c r="M194" s="2">
        <f>'rockfish harvests'!O199</f>
        <v>18605.884326200114</v>
      </c>
      <c r="N194">
        <f>'rockfish harvests'!P199</f>
        <v>9865637.9851696268</v>
      </c>
      <c r="R194" s="14"/>
      <c r="S194"/>
      <c r="T194" s="6"/>
      <c r="Y194" s="6"/>
    </row>
    <row r="195" spans="1:25" hidden="1" x14ac:dyDescent="0.25">
      <c r="A195" t="str">
        <f>'rockfish harvests'!A200</f>
        <v>SC</v>
      </c>
      <c r="B195">
        <f>'rockfish harvests'!B200</f>
        <v>2021</v>
      </c>
      <c r="C195" t="str">
        <f>'rockfish harvests'!C200</f>
        <v>PWSI</v>
      </c>
      <c r="D195">
        <f>'rockfish harvests'!D200</f>
        <v>16848</v>
      </c>
      <c r="E195">
        <f>'YE harvest'!E201</f>
        <v>3647</v>
      </c>
      <c r="K195" s="6"/>
      <c r="M195" s="2">
        <f>'rockfish harvests'!O200</f>
        <v>26712.114727976325</v>
      </c>
      <c r="N195">
        <f>'rockfish harvests'!P200</f>
        <v>21799295.268585149</v>
      </c>
      <c r="R195" s="14"/>
      <c r="S195"/>
      <c r="T195" s="6"/>
      <c r="Y195" s="6"/>
    </row>
    <row r="196" spans="1:25" hidden="1" x14ac:dyDescent="0.25">
      <c r="A196" t="str">
        <f>'rockfish harvests'!A202</f>
        <v>SC</v>
      </c>
      <c r="B196">
        <f>'rockfish harvests'!B202</f>
        <v>1998</v>
      </c>
      <c r="C196" t="str">
        <f>'rockfish harvests'!C202</f>
        <v>PWSO</v>
      </c>
      <c r="D196">
        <f>'rockfish harvests'!D202</f>
        <v>7091</v>
      </c>
      <c r="E196">
        <f>'YE harvest'!E203</f>
        <v>1652</v>
      </c>
      <c r="H196" s="13">
        <f t="shared" ref="H196:H203" si="63">E196*F196</f>
        <v>0</v>
      </c>
      <c r="I196">
        <f t="shared" si="47"/>
        <v>0</v>
      </c>
      <c r="J196">
        <f t="shared" si="50"/>
        <v>0</v>
      </c>
      <c r="K196" s="6">
        <f t="shared" si="51"/>
        <v>0</v>
      </c>
      <c r="M196" s="2">
        <f>'rockfish harvests'!O202</f>
        <v>1471.2039985303945</v>
      </c>
      <c r="N196">
        <f>'rockfish harvests'!P202</f>
        <v>494154.9077878145</v>
      </c>
      <c r="O196" s="32"/>
      <c r="P196" s="32"/>
      <c r="Q196" s="13">
        <f t="shared" si="41"/>
        <v>0</v>
      </c>
      <c r="R196" s="14">
        <f t="shared" si="42"/>
        <v>0</v>
      </c>
      <c r="S196">
        <f t="shared" si="52"/>
        <v>0</v>
      </c>
      <c r="T196" s="6">
        <f t="shared" si="53"/>
        <v>0</v>
      </c>
      <c r="V196" s="13">
        <f t="shared" si="48"/>
        <v>0</v>
      </c>
      <c r="W196">
        <f t="shared" si="49"/>
        <v>0</v>
      </c>
      <c r="X196">
        <f t="shared" si="54"/>
        <v>0</v>
      </c>
      <c r="Y196" s="6">
        <f t="shared" si="55"/>
        <v>0</v>
      </c>
    </row>
    <row r="197" spans="1:25" hidden="1" x14ac:dyDescent="0.25">
      <c r="A197" t="str">
        <f>'rockfish harvests'!A203</f>
        <v>SC</v>
      </c>
      <c r="B197">
        <f>'rockfish harvests'!B203</f>
        <v>1999</v>
      </c>
      <c r="C197" t="str">
        <f>'rockfish harvests'!C203</f>
        <v>PWSO</v>
      </c>
      <c r="D197">
        <f>'rockfish harvests'!D203</f>
        <v>4594</v>
      </c>
      <c r="E197">
        <f>'YE harvest'!E204</f>
        <v>1341</v>
      </c>
      <c r="H197" s="13">
        <f t="shared" si="63"/>
        <v>0</v>
      </c>
      <c r="I197">
        <f t="shared" si="47"/>
        <v>0</v>
      </c>
      <c r="J197">
        <f t="shared" si="50"/>
        <v>0</v>
      </c>
      <c r="K197" s="6">
        <f t="shared" si="51"/>
        <v>0</v>
      </c>
      <c r="M197" s="2">
        <f>'rockfish harvests'!O203</f>
        <v>953.13935541512274</v>
      </c>
      <c r="N197">
        <f>'rockfish harvests'!P203</f>
        <v>207410.20653889881</v>
      </c>
      <c r="O197" s="32"/>
      <c r="P197" s="32"/>
      <c r="Q197" s="13">
        <f t="shared" ref="Q197:Q271" si="64">M197*O197</f>
        <v>0</v>
      </c>
      <c r="R197" s="14">
        <f t="shared" ref="R197:R271" si="65">(M197^2)*P197+(O197^2)*N197-(P197*N197)</f>
        <v>0</v>
      </c>
      <c r="S197">
        <f t="shared" si="52"/>
        <v>0</v>
      </c>
      <c r="T197" s="6">
        <f t="shared" si="53"/>
        <v>0</v>
      </c>
      <c r="V197" s="13">
        <f t="shared" si="48"/>
        <v>0</v>
      </c>
      <c r="W197">
        <f t="shared" si="49"/>
        <v>0</v>
      </c>
      <c r="X197">
        <f t="shared" si="54"/>
        <v>0</v>
      </c>
      <c r="Y197" s="6">
        <f t="shared" si="55"/>
        <v>0</v>
      </c>
    </row>
    <row r="198" spans="1:25" hidden="1" x14ac:dyDescent="0.25">
      <c r="A198" t="str">
        <f>'rockfish harvests'!A204</f>
        <v>SC</v>
      </c>
      <c r="B198">
        <f>'rockfish harvests'!B204</f>
        <v>2000</v>
      </c>
      <c r="C198" t="str">
        <f>'rockfish harvests'!C204</f>
        <v>PWSO</v>
      </c>
      <c r="D198">
        <f>'rockfish harvests'!D204</f>
        <v>9244</v>
      </c>
      <c r="E198">
        <f>'YE harvest'!E205</f>
        <v>2206</v>
      </c>
      <c r="H198" s="13">
        <f t="shared" si="63"/>
        <v>0</v>
      </c>
      <c r="I198">
        <f t="shared" si="47"/>
        <v>0</v>
      </c>
      <c r="J198">
        <f t="shared" si="50"/>
        <v>0</v>
      </c>
      <c r="K198" s="6">
        <f t="shared" si="51"/>
        <v>0</v>
      </c>
      <c r="M198" s="2">
        <f>'rockfish harvests'!O204</f>
        <v>1917.897301144405</v>
      </c>
      <c r="N198">
        <f>'rockfish harvests'!P204</f>
        <v>839784.81191828009</v>
      </c>
      <c r="O198" s="32"/>
      <c r="P198" s="32"/>
      <c r="Q198" s="13">
        <f t="shared" si="64"/>
        <v>0</v>
      </c>
      <c r="R198" s="14">
        <f t="shared" si="65"/>
        <v>0</v>
      </c>
      <c r="S198">
        <f t="shared" si="52"/>
        <v>0</v>
      </c>
      <c r="T198" s="6">
        <f t="shared" si="53"/>
        <v>0</v>
      </c>
      <c r="V198" s="13">
        <f t="shared" si="48"/>
        <v>0</v>
      </c>
      <c r="W198">
        <f t="shared" si="49"/>
        <v>0</v>
      </c>
      <c r="X198">
        <f t="shared" si="54"/>
        <v>0</v>
      </c>
      <c r="Y198" s="6">
        <f t="shared" si="55"/>
        <v>0</v>
      </c>
    </row>
    <row r="199" spans="1:25" hidden="1" x14ac:dyDescent="0.25">
      <c r="A199" t="str">
        <f>'rockfish harvests'!A205</f>
        <v>SC</v>
      </c>
      <c r="B199">
        <f>'rockfish harvests'!B205</f>
        <v>2001</v>
      </c>
      <c r="C199" t="str">
        <f>'rockfish harvests'!C205</f>
        <v>PWSO</v>
      </c>
      <c r="D199">
        <f>'rockfish harvests'!D205</f>
        <v>11235</v>
      </c>
      <c r="E199">
        <f>'YE harvest'!E206</f>
        <v>3024</v>
      </c>
      <c r="H199" s="13">
        <f t="shared" si="63"/>
        <v>0</v>
      </c>
      <c r="I199">
        <f t="shared" si="47"/>
        <v>0</v>
      </c>
      <c r="J199">
        <f t="shared" si="50"/>
        <v>0</v>
      </c>
      <c r="K199" s="6">
        <f t="shared" si="51"/>
        <v>0</v>
      </c>
      <c r="M199" s="2">
        <f>'rockfish harvests'!O205</f>
        <v>2330.979681778168</v>
      </c>
      <c r="N199">
        <f>'rockfish harvests'!P205</f>
        <v>1240492.9366742759</v>
      </c>
      <c r="Q199" s="13">
        <f t="shared" si="64"/>
        <v>0</v>
      </c>
      <c r="R199" s="14">
        <f t="shared" si="65"/>
        <v>0</v>
      </c>
      <c r="S199">
        <f t="shared" si="52"/>
        <v>0</v>
      </c>
      <c r="T199" s="6">
        <f t="shared" si="53"/>
        <v>0</v>
      </c>
      <c r="V199" s="13">
        <f t="shared" si="48"/>
        <v>0</v>
      </c>
      <c r="W199">
        <f t="shared" si="49"/>
        <v>0</v>
      </c>
      <c r="X199">
        <f t="shared" si="54"/>
        <v>0</v>
      </c>
      <c r="Y199" s="6">
        <f t="shared" si="55"/>
        <v>0</v>
      </c>
    </row>
    <row r="200" spans="1:25" hidden="1" x14ac:dyDescent="0.25">
      <c r="A200" t="str">
        <f>'rockfish harvests'!A206</f>
        <v>SC</v>
      </c>
      <c r="B200">
        <f>'rockfish harvests'!B206</f>
        <v>2002</v>
      </c>
      <c r="C200" t="str">
        <f>'rockfish harvests'!C206</f>
        <v>PWSO</v>
      </c>
      <c r="D200">
        <f>'rockfish harvests'!D206</f>
        <v>9018</v>
      </c>
      <c r="E200">
        <f>'YE harvest'!E207</f>
        <v>2386</v>
      </c>
      <c r="H200" s="13">
        <f t="shared" si="63"/>
        <v>0</v>
      </c>
      <c r="I200">
        <f t="shared" si="47"/>
        <v>0</v>
      </c>
      <c r="J200">
        <f t="shared" si="50"/>
        <v>0</v>
      </c>
      <c r="K200" s="6">
        <f t="shared" si="51"/>
        <v>0</v>
      </c>
      <c r="M200" s="2">
        <f>'rockfish harvests'!O206</f>
        <v>1871.0079902336911</v>
      </c>
      <c r="N200">
        <f>'rockfish harvests'!P206</f>
        <v>799224.16063675296</v>
      </c>
      <c r="O200" s="32"/>
      <c r="P200" s="32"/>
      <c r="Q200" s="13">
        <f t="shared" si="64"/>
        <v>0</v>
      </c>
      <c r="R200" s="14">
        <f t="shared" si="65"/>
        <v>0</v>
      </c>
      <c r="S200">
        <f t="shared" si="52"/>
        <v>0</v>
      </c>
      <c r="T200" s="6">
        <f t="shared" si="53"/>
        <v>0</v>
      </c>
      <c r="V200" s="13">
        <f t="shared" si="48"/>
        <v>0</v>
      </c>
      <c r="W200">
        <f t="shared" si="49"/>
        <v>0</v>
      </c>
      <c r="X200">
        <f t="shared" si="54"/>
        <v>0</v>
      </c>
      <c r="Y200" s="6">
        <f t="shared" si="55"/>
        <v>0</v>
      </c>
    </row>
    <row r="201" spans="1:25" hidden="1" x14ac:dyDescent="0.25">
      <c r="A201" t="str">
        <f>'rockfish harvests'!A207</f>
        <v>SC</v>
      </c>
      <c r="B201">
        <f>'rockfish harvests'!B207</f>
        <v>2003</v>
      </c>
      <c r="C201" t="str">
        <f>'rockfish harvests'!C207</f>
        <v>PWSO</v>
      </c>
      <c r="D201">
        <f>'rockfish harvests'!D207</f>
        <v>9696</v>
      </c>
      <c r="E201">
        <f>'YE harvest'!E208</f>
        <v>2448</v>
      </c>
      <c r="H201" s="13">
        <f t="shared" si="63"/>
        <v>0</v>
      </c>
      <c r="I201">
        <f t="shared" si="47"/>
        <v>0</v>
      </c>
      <c r="J201">
        <f t="shared" si="50"/>
        <v>0</v>
      </c>
      <c r="K201" s="6">
        <f t="shared" si="51"/>
        <v>0</v>
      </c>
      <c r="M201" s="2">
        <f>'rockfish harvests'!O207</f>
        <v>2011.675922965831</v>
      </c>
      <c r="N201">
        <f>'rockfish harvests'!P207</f>
        <v>923917.84611739591</v>
      </c>
      <c r="Q201" s="13">
        <f t="shared" si="64"/>
        <v>0</v>
      </c>
      <c r="R201" s="14">
        <f t="shared" si="65"/>
        <v>0</v>
      </c>
      <c r="S201">
        <f t="shared" si="52"/>
        <v>0</v>
      </c>
      <c r="T201" s="6">
        <f t="shared" si="53"/>
        <v>0</v>
      </c>
      <c r="V201" s="13">
        <f t="shared" si="48"/>
        <v>0</v>
      </c>
      <c r="W201">
        <f t="shared" si="49"/>
        <v>0</v>
      </c>
      <c r="X201">
        <f t="shared" si="54"/>
        <v>0</v>
      </c>
      <c r="Y201" s="6">
        <f t="shared" si="55"/>
        <v>0</v>
      </c>
    </row>
    <row r="202" spans="1:25" hidden="1" x14ac:dyDescent="0.25">
      <c r="A202" t="str">
        <f>'rockfish harvests'!A208</f>
        <v>SC</v>
      </c>
      <c r="B202">
        <f>'rockfish harvests'!B208</f>
        <v>2004</v>
      </c>
      <c r="C202" t="str">
        <f>'rockfish harvests'!C208</f>
        <v>PWSO</v>
      </c>
      <c r="D202">
        <f>'rockfish harvests'!D208</f>
        <v>12216</v>
      </c>
      <c r="E202">
        <f>'YE harvest'!E209</f>
        <v>2976</v>
      </c>
      <c r="H202" s="13">
        <f t="shared" si="63"/>
        <v>0</v>
      </c>
      <c r="I202">
        <f t="shared" si="47"/>
        <v>0</v>
      </c>
      <c r="J202">
        <f t="shared" si="50"/>
        <v>0</v>
      </c>
      <c r="K202" s="6">
        <f t="shared" si="51"/>
        <v>0</v>
      </c>
      <c r="M202" s="2">
        <f>'rockfish harvests'!O208</f>
        <v>2534.5124871029911</v>
      </c>
      <c r="N202">
        <f>'rockfish harvests'!P208</f>
        <v>1466581.4594766509</v>
      </c>
      <c r="Q202" s="13">
        <f t="shared" si="64"/>
        <v>0</v>
      </c>
      <c r="R202" s="14">
        <f t="shared" si="65"/>
        <v>0</v>
      </c>
      <c r="S202">
        <f t="shared" si="52"/>
        <v>0</v>
      </c>
      <c r="T202" s="6">
        <f t="shared" si="53"/>
        <v>0</v>
      </c>
      <c r="V202" s="13">
        <f t="shared" si="48"/>
        <v>0</v>
      </c>
      <c r="W202">
        <f t="shared" si="49"/>
        <v>0</v>
      </c>
      <c r="X202">
        <f t="shared" si="54"/>
        <v>0</v>
      </c>
      <c r="Y202" s="6">
        <f t="shared" si="55"/>
        <v>0</v>
      </c>
    </row>
    <row r="203" spans="1:25" hidden="1" x14ac:dyDescent="0.25">
      <c r="A203" t="str">
        <f>'rockfish harvests'!A209</f>
        <v>SC</v>
      </c>
      <c r="B203">
        <f>'rockfish harvests'!B209</f>
        <v>2005</v>
      </c>
      <c r="C203" t="str">
        <f>'rockfish harvests'!C209</f>
        <v>PWSO</v>
      </c>
      <c r="D203">
        <f>'rockfish harvests'!D209</f>
        <v>9664</v>
      </c>
      <c r="E203">
        <f>'YE harvest'!E210</f>
        <v>2177</v>
      </c>
      <c r="H203" s="13">
        <f t="shared" si="63"/>
        <v>0</v>
      </c>
      <c r="I203">
        <f t="shared" si="47"/>
        <v>0</v>
      </c>
      <c r="J203">
        <f t="shared" si="50"/>
        <v>0</v>
      </c>
      <c r="K203" s="6">
        <f t="shared" si="51"/>
        <v>0</v>
      </c>
      <c r="M203" s="2">
        <f>'rockfish harvests'!O209</f>
        <v>2005.0367285005977</v>
      </c>
      <c r="N203">
        <f>'rockfish harvests'!P209</f>
        <v>917829.44196419709</v>
      </c>
      <c r="Q203" s="13">
        <f t="shared" si="64"/>
        <v>0</v>
      </c>
      <c r="R203" s="14">
        <f t="shared" si="65"/>
        <v>0</v>
      </c>
      <c r="S203">
        <f t="shared" si="52"/>
        <v>0</v>
      </c>
      <c r="T203" s="6">
        <f t="shared" si="53"/>
        <v>0</v>
      </c>
      <c r="V203" s="13">
        <f t="shared" si="48"/>
        <v>0</v>
      </c>
      <c r="W203">
        <f t="shared" si="49"/>
        <v>0</v>
      </c>
      <c r="X203">
        <f t="shared" si="54"/>
        <v>0</v>
      </c>
      <c r="Y203" s="6">
        <f t="shared" si="55"/>
        <v>0</v>
      </c>
    </row>
    <row r="204" spans="1:25" hidden="1" x14ac:dyDescent="0.25">
      <c r="A204" t="str">
        <f>'rockfish harvests'!A210</f>
        <v>SC</v>
      </c>
      <c r="B204">
        <f>'rockfish harvests'!B210</f>
        <v>2006</v>
      </c>
      <c r="C204" t="str">
        <f>'rockfish harvests'!C210</f>
        <v>PWSO</v>
      </c>
      <c r="D204">
        <f>'rockfish harvests'!D210</f>
        <v>9129</v>
      </c>
      <c r="E204">
        <f>'YE harvest'!E211</f>
        <v>2934</v>
      </c>
      <c r="H204" s="13" t="e">
        <f>#REF!</f>
        <v>#REF!</v>
      </c>
      <c r="I204">
        <f t="shared" si="47"/>
        <v>0</v>
      </c>
      <c r="J204">
        <f t="shared" si="50"/>
        <v>0</v>
      </c>
      <c r="K204" s="6">
        <f t="shared" si="51"/>
        <v>0</v>
      </c>
      <c r="M204" s="2">
        <f>'rockfish harvests'!O210</f>
        <v>1894.0376960349713</v>
      </c>
      <c r="N204">
        <f>'rockfish harvests'!P210</f>
        <v>819020.09295315738</v>
      </c>
      <c r="O204" s="32"/>
      <c r="P204" s="32"/>
      <c r="Q204" s="13">
        <f t="shared" si="64"/>
        <v>0</v>
      </c>
      <c r="R204" s="14">
        <f t="shared" si="65"/>
        <v>0</v>
      </c>
      <c r="S204">
        <f t="shared" si="52"/>
        <v>0</v>
      </c>
      <c r="T204" s="6">
        <f t="shared" si="53"/>
        <v>0</v>
      </c>
      <c r="V204" s="13" t="e">
        <f t="shared" si="48"/>
        <v>#REF!</v>
      </c>
      <c r="W204">
        <f t="shared" si="49"/>
        <v>0</v>
      </c>
      <c r="X204">
        <f t="shared" si="54"/>
        <v>0</v>
      </c>
      <c r="Y204" s="6">
        <f t="shared" si="55"/>
        <v>0</v>
      </c>
    </row>
    <row r="205" spans="1:25" hidden="1" x14ac:dyDescent="0.25">
      <c r="A205" t="str">
        <f>'rockfish harvests'!A211</f>
        <v>SC</v>
      </c>
      <c r="B205">
        <f>'rockfish harvests'!B211</f>
        <v>2007</v>
      </c>
      <c r="C205" t="str">
        <f>'rockfish harvests'!C211</f>
        <v>PWSO</v>
      </c>
      <c r="D205">
        <f>'rockfish harvests'!D211</f>
        <v>12198</v>
      </c>
      <c r="E205">
        <f>'YE harvest'!E212</f>
        <v>3859</v>
      </c>
      <c r="H205" s="13" t="e">
        <f>#REF!</f>
        <v>#REF!</v>
      </c>
      <c r="I205">
        <f t="shared" si="47"/>
        <v>0</v>
      </c>
      <c r="J205">
        <f t="shared" si="50"/>
        <v>0</v>
      </c>
      <c r="K205" s="6">
        <f t="shared" si="51"/>
        <v>0</v>
      </c>
      <c r="M205" s="2">
        <f>'rockfish harvests'!O211</f>
        <v>2530.7779402162978</v>
      </c>
      <c r="N205">
        <f>'rockfish harvests'!P211</f>
        <v>1462262.6943327789</v>
      </c>
      <c r="O205" s="32"/>
      <c r="P205" s="32"/>
      <c r="Q205" s="13">
        <f t="shared" si="64"/>
        <v>0</v>
      </c>
      <c r="R205" s="14">
        <f t="shared" si="65"/>
        <v>0</v>
      </c>
      <c r="S205">
        <f t="shared" si="52"/>
        <v>0</v>
      </c>
      <c r="T205" s="6">
        <f t="shared" si="53"/>
        <v>0</v>
      </c>
      <c r="V205" s="13" t="e">
        <f t="shared" si="48"/>
        <v>#REF!</v>
      </c>
      <c r="W205">
        <f t="shared" si="49"/>
        <v>0</v>
      </c>
      <c r="X205">
        <f t="shared" si="54"/>
        <v>0</v>
      </c>
      <c r="Y205" s="6">
        <f t="shared" si="55"/>
        <v>0</v>
      </c>
    </row>
    <row r="206" spans="1:25" hidden="1" x14ac:dyDescent="0.25">
      <c r="A206" t="str">
        <f>'rockfish harvests'!A212</f>
        <v>SC</v>
      </c>
      <c r="B206">
        <f>'rockfish harvests'!B212</f>
        <v>2008</v>
      </c>
      <c r="C206" t="str">
        <f>'rockfish harvests'!C212</f>
        <v>PWSO</v>
      </c>
      <c r="D206">
        <f>'rockfish harvests'!D212</f>
        <v>13387</v>
      </c>
      <c r="E206">
        <f>'YE harvest'!E213</f>
        <v>3569</v>
      </c>
      <c r="H206" s="13" t="e">
        <f>#REF!</f>
        <v>#REF!</v>
      </c>
      <c r="I206">
        <f t="shared" si="47"/>
        <v>0</v>
      </c>
      <c r="J206">
        <f t="shared" si="50"/>
        <v>0</v>
      </c>
      <c r="K206" s="6">
        <f t="shared" si="51"/>
        <v>0</v>
      </c>
      <c r="M206" s="2">
        <f>'rockfish harvests'!O212</f>
        <v>2777.4655095651397</v>
      </c>
      <c r="N206">
        <f>'rockfish harvests'!P212</f>
        <v>1761224.3005580062</v>
      </c>
      <c r="O206" s="32"/>
      <c r="P206" s="32"/>
      <c r="Q206" s="13">
        <f t="shared" si="64"/>
        <v>0</v>
      </c>
      <c r="R206" s="14">
        <f t="shared" si="65"/>
        <v>0</v>
      </c>
      <c r="S206">
        <f t="shared" si="52"/>
        <v>0</v>
      </c>
      <c r="T206" s="6">
        <f t="shared" si="53"/>
        <v>0</v>
      </c>
      <c r="V206" s="13" t="e">
        <f t="shared" si="48"/>
        <v>#REF!</v>
      </c>
      <c r="W206">
        <f t="shared" si="49"/>
        <v>0</v>
      </c>
      <c r="X206">
        <f t="shared" si="54"/>
        <v>0</v>
      </c>
      <c r="Y206" s="6">
        <f t="shared" si="55"/>
        <v>0</v>
      </c>
    </row>
    <row r="207" spans="1:25" hidden="1" x14ac:dyDescent="0.25">
      <c r="A207" t="str">
        <f>'rockfish harvests'!A213</f>
        <v>SC</v>
      </c>
      <c r="B207">
        <f>'rockfish harvests'!B213</f>
        <v>2009</v>
      </c>
      <c r="C207" t="str">
        <f>'rockfish harvests'!C213</f>
        <v>PWSO</v>
      </c>
      <c r="D207">
        <f>'rockfish harvests'!D213</f>
        <v>13724</v>
      </c>
      <c r="E207">
        <f>'YE harvest'!E214</f>
        <v>3376</v>
      </c>
      <c r="H207" s="13" t="e">
        <f>#REF!</f>
        <v>#REF!</v>
      </c>
      <c r="I207">
        <f t="shared" si="47"/>
        <v>0</v>
      </c>
      <c r="J207">
        <f t="shared" si="50"/>
        <v>0</v>
      </c>
      <c r="K207" s="6">
        <f t="shared" si="51"/>
        <v>0</v>
      </c>
      <c r="M207" s="2">
        <f>'rockfish harvests'!O213</f>
        <v>2847.384526277132</v>
      </c>
      <c r="N207">
        <f>'rockfish harvests'!P213</f>
        <v>1851013.392635928</v>
      </c>
      <c r="Q207" s="13">
        <f t="shared" si="64"/>
        <v>0</v>
      </c>
      <c r="R207" s="14">
        <f t="shared" si="65"/>
        <v>0</v>
      </c>
      <c r="S207">
        <f t="shared" si="52"/>
        <v>0</v>
      </c>
      <c r="T207" s="6">
        <f t="shared" si="53"/>
        <v>0</v>
      </c>
      <c r="V207" s="13" t="e">
        <f t="shared" si="48"/>
        <v>#REF!</v>
      </c>
      <c r="W207">
        <f t="shared" si="49"/>
        <v>0</v>
      </c>
      <c r="X207">
        <f t="shared" si="54"/>
        <v>0</v>
      </c>
      <c r="Y207" s="6">
        <f t="shared" si="55"/>
        <v>0</v>
      </c>
    </row>
    <row r="208" spans="1:25" hidden="1" x14ac:dyDescent="0.25">
      <c r="A208" t="str">
        <f>'rockfish harvests'!A214</f>
        <v>SC</v>
      </c>
      <c r="B208">
        <f>'rockfish harvests'!B214</f>
        <v>2010</v>
      </c>
      <c r="C208" t="str">
        <f>'rockfish harvests'!C214</f>
        <v>PWSO</v>
      </c>
      <c r="D208">
        <f>'rockfish harvests'!D214</f>
        <v>13038</v>
      </c>
      <c r="E208">
        <f>'YE harvest'!E215</f>
        <v>4523</v>
      </c>
      <c r="H208" s="13" t="e">
        <f>#REF!</f>
        <v>#REF!</v>
      </c>
      <c r="I208">
        <f t="shared" si="47"/>
        <v>0</v>
      </c>
      <c r="J208">
        <f t="shared" si="50"/>
        <v>0</v>
      </c>
      <c r="K208" s="6">
        <f t="shared" si="51"/>
        <v>0</v>
      </c>
      <c r="M208" s="2">
        <f>'rockfish harvests'!O214</f>
        <v>2705.0567949286833</v>
      </c>
      <c r="N208">
        <f>'rockfish harvests'!P214</f>
        <v>1670590.8394394808</v>
      </c>
      <c r="Q208" s="13">
        <f t="shared" si="64"/>
        <v>0</v>
      </c>
      <c r="R208" s="14">
        <f t="shared" si="65"/>
        <v>0</v>
      </c>
      <c r="S208">
        <f t="shared" si="52"/>
        <v>0</v>
      </c>
      <c r="T208" s="6">
        <f t="shared" si="53"/>
        <v>0</v>
      </c>
      <c r="V208" s="13" t="e">
        <f t="shared" si="48"/>
        <v>#REF!</v>
      </c>
      <c r="W208">
        <f t="shared" si="49"/>
        <v>0</v>
      </c>
      <c r="X208">
        <f t="shared" si="54"/>
        <v>0</v>
      </c>
      <c r="Y208" s="6">
        <f t="shared" si="55"/>
        <v>0</v>
      </c>
    </row>
    <row r="209" spans="1:26" hidden="1" x14ac:dyDescent="0.25">
      <c r="A209" t="str">
        <f>'rockfish harvests'!A215</f>
        <v>SC</v>
      </c>
      <c r="B209">
        <f>'rockfish harvests'!B215</f>
        <v>2011</v>
      </c>
      <c r="C209" t="str">
        <f>'rockfish harvests'!C215</f>
        <v>PWSO</v>
      </c>
      <c r="D209">
        <f>'rockfish harvests'!D215</f>
        <v>15590</v>
      </c>
      <c r="E209">
        <f>'YE harvest'!E216</f>
        <v>4260</v>
      </c>
      <c r="H209" s="13" t="e">
        <f>#REF!</f>
        <v>#REF!</v>
      </c>
      <c r="I209">
        <f t="shared" si="47"/>
        <v>0</v>
      </c>
      <c r="J209">
        <f t="shared" si="50"/>
        <v>0</v>
      </c>
      <c r="K209" s="6">
        <f t="shared" si="51"/>
        <v>0</v>
      </c>
      <c r="M209" s="2">
        <f>'rockfish harvests'!O215</f>
        <v>3693.2731282159002</v>
      </c>
      <c r="N209">
        <f>'rockfish harvests'!P215</f>
        <v>1342172.6209808656</v>
      </c>
      <c r="Q209" s="13">
        <f t="shared" si="64"/>
        <v>0</v>
      </c>
      <c r="R209" s="14">
        <f t="shared" si="65"/>
        <v>0</v>
      </c>
      <c r="S209">
        <f t="shared" si="52"/>
        <v>0</v>
      </c>
      <c r="T209" s="6">
        <f t="shared" si="53"/>
        <v>0</v>
      </c>
      <c r="V209" s="13" t="e">
        <f t="shared" si="48"/>
        <v>#REF!</v>
      </c>
      <c r="W209">
        <f t="shared" si="49"/>
        <v>0</v>
      </c>
      <c r="X209">
        <f t="shared" si="54"/>
        <v>0</v>
      </c>
      <c r="Y209" s="6">
        <f t="shared" si="55"/>
        <v>0</v>
      </c>
    </row>
    <row r="210" spans="1:26" hidden="1" x14ac:dyDescent="0.25">
      <c r="A210" t="str">
        <f>'rockfish harvests'!A216</f>
        <v>SC</v>
      </c>
      <c r="B210">
        <f>'rockfish harvests'!B216</f>
        <v>2012</v>
      </c>
      <c r="C210" t="str">
        <f>'rockfish harvests'!C216</f>
        <v>PWSO</v>
      </c>
      <c r="D210">
        <f>'rockfish harvests'!D216</f>
        <v>16566</v>
      </c>
      <c r="E210">
        <f>'YE harvest'!E217</f>
        <v>5165</v>
      </c>
      <c r="H210" s="13" t="e">
        <f>#REF!</f>
        <v>#REF!</v>
      </c>
      <c r="I210">
        <f t="shared" si="47"/>
        <v>0</v>
      </c>
      <c r="J210">
        <f t="shared" si="50"/>
        <v>0</v>
      </c>
      <c r="K210" s="6">
        <f t="shared" si="51"/>
        <v>0</v>
      </c>
      <c r="M210" s="2">
        <f>'rockfish harvests'!O216</f>
        <v>2004.0431802604508</v>
      </c>
      <c r="N210">
        <f>'rockfish harvests'!P216</f>
        <v>375586.44375818601</v>
      </c>
      <c r="Q210" s="13">
        <f t="shared" si="64"/>
        <v>0</v>
      </c>
      <c r="R210" s="14">
        <f t="shared" si="65"/>
        <v>0</v>
      </c>
      <c r="S210">
        <f t="shared" si="52"/>
        <v>0</v>
      </c>
      <c r="T210" s="6">
        <f t="shared" si="53"/>
        <v>0</v>
      </c>
      <c r="V210" s="13" t="e">
        <f t="shared" si="48"/>
        <v>#REF!</v>
      </c>
      <c r="W210">
        <f t="shared" si="49"/>
        <v>0</v>
      </c>
      <c r="X210">
        <f t="shared" si="54"/>
        <v>0</v>
      </c>
      <c r="Y210" s="6">
        <f t="shared" si="55"/>
        <v>0</v>
      </c>
    </row>
    <row r="211" spans="1:26" hidden="1" x14ac:dyDescent="0.25">
      <c r="A211" t="str">
        <f>'rockfish harvests'!A217</f>
        <v>SC</v>
      </c>
      <c r="B211">
        <f>'rockfish harvests'!B217</f>
        <v>2013</v>
      </c>
      <c r="C211" t="str">
        <f>'rockfish harvests'!C217</f>
        <v>PWSO</v>
      </c>
      <c r="D211">
        <f>'rockfish harvests'!D217</f>
        <v>19818</v>
      </c>
      <c r="E211">
        <f>'YE harvest'!E218</f>
        <v>5595</v>
      </c>
      <c r="H211" s="13" t="e">
        <f>#REF!</f>
        <v>#REF!</v>
      </c>
      <c r="I211">
        <f t="shared" si="47"/>
        <v>0</v>
      </c>
      <c r="J211">
        <f t="shared" si="50"/>
        <v>0</v>
      </c>
      <c r="K211" s="6">
        <f t="shared" si="51"/>
        <v>0</v>
      </c>
      <c r="M211" s="2">
        <f>'rockfish harvests'!O217</f>
        <v>6885.7645042839649</v>
      </c>
      <c r="N211">
        <f>'rockfish harvests'!P217</f>
        <v>4343369.567205376</v>
      </c>
      <c r="Q211" s="13">
        <f t="shared" si="64"/>
        <v>0</v>
      </c>
      <c r="R211" s="14">
        <f t="shared" si="65"/>
        <v>0</v>
      </c>
      <c r="S211">
        <f t="shared" si="52"/>
        <v>0</v>
      </c>
      <c r="T211" s="6">
        <f t="shared" si="53"/>
        <v>0</v>
      </c>
      <c r="V211" s="13" t="e">
        <f t="shared" si="48"/>
        <v>#REF!</v>
      </c>
      <c r="W211">
        <f t="shared" si="49"/>
        <v>0</v>
      </c>
      <c r="X211">
        <f t="shared" si="54"/>
        <v>0</v>
      </c>
      <c r="Y211" s="6">
        <f t="shared" si="55"/>
        <v>0</v>
      </c>
    </row>
    <row r="212" spans="1:26" hidden="1" x14ac:dyDescent="0.25">
      <c r="A212" t="str">
        <f>'rockfish harvests'!A218</f>
        <v>SC</v>
      </c>
      <c r="B212">
        <f>'rockfish harvests'!B218</f>
        <v>2014</v>
      </c>
      <c r="C212" t="str">
        <f>'rockfish harvests'!C218</f>
        <v>PWSO</v>
      </c>
      <c r="D212">
        <f>'rockfish harvests'!D218</f>
        <v>21309</v>
      </c>
      <c r="E212">
        <f>'YE harvest'!E219</f>
        <v>5557</v>
      </c>
      <c r="H212" s="13" t="e">
        <f>#REF!</f>
        <v>#REF!</v>
      </c>
      <c r="I212">
        <f t="shared" si="47"/>
        <v>0</v>
      </c>
      <c r="J212">
        <f t="shared" si="50"/>
        <v>0</v>
      </c>
      <c r="K212" s="6">
        <f t="shared" si="51"/>
        <v>0</v>
      </c>
      <c r="M212" s="2">
        <f>'rockfish harvests'!O218</f>
        <v>7356.7256448320622</v>
      </c>
      <c r="N212">
        <f>'rockfish harvests'!P218</f>
        <v>3862984.9469756186</v>
      </c>
      <c r="Q212" s="13">
        <f t="shared" si="64"/>
        <v>0</v>
      </c>
      <c r="R212" s="14">
        <f t="shared" si="65"/>
        <v>0</v>
      </c>
      <c r="S212">
        <f t="shared" si="52"/>
        <v>0</v>
      </c>
      <c r="T212" s="6">
        <f t="shared" si="53"/>
        <v>0</v>
      </c>
      <c r="V212" s="13" t="e">
        <f t="shared" si="48"/>
        <v>#REF!</v>
      </c>
      <c r="W212">
        <f t="shared" si="49"/>
        <v>0</v>
      </c>
      <c r="X212">
        <f t="shared" si="54"/>
        <v>0</v>
      </c>
      <c r="Y212" s="6">
        <f t="shared" si="55"/>
        <v>0</v>
      </c>
    </row>
    <row r="213" spans="1:26" hidden="1" x14ac:dyDescent="0.25">
      <c r="A213" t="str">
        <f>'rockfish harvests'!A219</f>
        <v>SC</v>
      </c>
      <c r="B213">
        <f>'rockfish harvests'!B219</f>
        <v>2015</v>
      </c>
      <c r="C213" t="str">
        <f>'rockfish harvests'!C219</f>
        <v>PWSO</v>
      </c>
      <c r="D213">
        <f>'rockfish harvests'!D219</f>
        <v>24516</v>
      </c>
      <c r="E213">
        <f>'YE harvest'!E220</f>
        <v>6130</v>
      </c>
      <c r="H213" s="13" t="e">
        <f>#REF!</f>
        <v>#REF!</v>
      </c>
      <c r="I213">
        <f t="shared" si="47"/>
        <v>0</v>
      </c>
      <c r="J213">
        <f t="shared" si="50"/>
        <v>0</v>
      </c>
      <c r="K213" s="6">
        <f t="shared" si="51"/>
        <v>0</v>
      </c>
      <c r="M213" s="2">
        <f>'rockfish harvests'!O219</f>
        <v>2612.963774691143</v>
      </c>
      <c r="N213">
        <f>'rockfish harvests'!P219</f>
        <v>501421.42786728247</v>
      </c>
      <c r="Q213" s="13">
        <f t="shared" si="64"/>
        <v>0</v>
      </c>
      <c r="R213" s="14">
        <f t="shared" si="65"/>
        <v>0</v>
      </c>
      <c r="S213">
        <f t="shared" si="52"/>
        <v>0</v>
      </c>
      <c r="T213" s="6">
        <f t="shared" si="53"/>
        <v>0</v>
      </c>
      <c r="V213" s="13" t="e">
        <f t="shared" si="48"/>
        <v>#REF!</v>
      </c>
      <c r="W213">
        <f t="shared" si="49"/>
        <v>0</v>
      </c>
      <c r="X213">
        <f t="shared" si="54"/>
        <v>0</v>
      </c>
      <c r="Y213" s="6">
        <f t="shared" si="55"/>
        <v>0</v>
      </c>
    </row>
    <row r="214" spans="1:26" hidden="1" x14ac:dyDescent="0.25">
      <c r="A214" t="str">
        <f>'rockfish harvests'!A220</f>
        <v>SC</v>
      </c>
      <c r="B214">
        <f>'rockfish harvests'!B220</f>
        <v>2016</v>
      </c>
      <c r="C214" t="str">
        <f>'rockfish harvests'!C220</f>
        <v>PWSO</v>
      </c>
      <c r="D214">
        <f>'rockfish harvests'!D220</f>
        <v>29349</v>
      </c>
      <c r="E214">
        <f>'YE harvest'!E221</f>
        <v>7689</v>
      </c>
      <c r="H214" s="13" t="e">
        <f>#REF!</f>
        <v>#REF!</v>
      </c>
      <c r="I214">
        <f t="shared" si="47"/>
        <v>0</v>
      </c>
      <c r="J214">
        <f t="shared" si="50"/>
        <v>0</v>
      </c>
      <c r="K214" s="6">
        <f t="shared" si="51"/>
        <v>0</v>
      </c>
      <c r="M214" s="2">
        <f>'rockfish harvests'!O220</f>
        <v>3728.736072598942</v>
      </c>
      <c r="N214">
        <f>'rockfish harvests'!P220</f>
        <v>690520.60458105023</v>
      </c>
      <c r="Q214" s="13">
        <f t="shared" si="64"/>
        <v>0</v>
      </c>
      <c r="R214" s="14">
        <f t="shared" si="65"/>
        <v>0</v>
      </c>
      <c r="S214">
        <f t="shared" si="52"/>
        <v>0</v>
      </c>
      <c r="T214" s="6">
        <f t="shared" si="53"/>
        <v>0</v>
      </c>
      <c r="V214" s="13" t="e">
        <f t="shared" si="48"/>
        <v>#REF!</v>
      </c>
      <c r="W214">
        <f t="shared" si="49"/>
        <v>0</v>
      </c>
      <c r="X214">
        <f t="shared" si="54"/>
        <v>0</v>
      </c>
      <c r="Y214" s="6">
        <f t="shared" si="55"/>
        <v>0</v>
      </c>
    </row>
    <row r="215" spans="1:26" hidden="1" x14ac:dyDescent="0.25">
      <c r="A215" t="str">
        <f>'rockfish harvests'!A221</f>
        <v>SC</v>
      </c>
      <c r="B215">
        <f>'rockfish harvests'!B221</f>
        <v>2017</v>
      </c>
      <c r="C215" t="str">
        <f>'rockfish harvests'!C221</f>
        <v>PWSO</v>
      </c>
      <c r="D215">
        <f>'rockfish harvests'!D221</f>
        <v>28647</v>
      </c>
      <c r="E215">
        <f>'YE harvest'!E222</f>
        <v>7729</v>
      </c>
      <c r="H215" s="13" t="e">
        <f>#REF!</f>
        <v>#REF!</v>
      </c>
      <c r="I215">
        <f t="shared" si="47"/>
        <v>0</v>
      </c>
      <c r="J215">
        <f t="shared" si="50"/>
        <v>0</v>
      </c>
      <c r="K215" s="6">
        <f t="shared" si="51"/>
        <v>0</v>
      </c>
      <c r="M215" s="2">
        <f>'rockfish harvests'!O221</f>
        <v>7308.8621616433084</v>
      </c>
      <c r="N215">
        <f>'rockfish harvests'!P221</f>
        <v>5936209.9806912215</v>
      </c>
      <c r="Q215" s="13">
        <f t="shared" si="64"/>
        <v>0</v>
      </c>
      <c r="R215" s="14">
        <f t="shared" si="65"/>
        <v>0</v>
      </c>
      <c r="S215">
        <f t="shared" si="52"/>
        <v>0</v>
      </c>
      <c r="T215" s="6">
        <f t="shared" si="53"/>
        <v>0</v>
      </c>
      <c r="V215" s="13" t="e">
        <f t="shared" si="48"/>
        <v>#REF!</v>
      </c>
      <c r="W215">
        <f t="shared" si="49"/>
        <v>0</v>
      </c>
      <c r="X215">
        <f t="shared" si="54"/>
        <v>0</v>
      </c>
      <c r="Y215" s="6">
        <f t="shared" si="55"/>
        <v>0</v>
      </c>
    </row>
    <row r="216" spans="1:26" hidden="1" x14ac:dyDescent="0.25">
      <c r="A216" t="str">
        <f>'rockfish harvests'!A222</f>
        <v>SC</v>
      </c>
      <c r="B216">
        <f>'rockfish harvests'!B222</f>
        <v>2018</v>
      </c>
      <c r="C216" t="str">
        <f>'rockfish harvests'!C222</f>
        <v>PWSO</v>
      </c>
      <c r="D216">
        <f>'rockfish harvests'!D222</f>
        <v>27142</v>
      </c>
      <c r="E216">
        <f>'YE harvest'!E223</f>
        <v>5333</v>
      </c>
      <c r="H216" s="13" t="e">
        <f>#REF!</f>
        <v>#REF!</v>
      </c>
      <c r="I216">
        <f t="shared" si="47"/>
        <v>0</v>
      </c>
      <c r="J216">
        <f t="shared" si="50"/>
        <v>0</v>
      </c>
      <c r="K216" s="6">
        <f t="shared" si="51"/>
        <v>0</v>
      </c>
      <c r="M216" s="2">
        <f>'rockfish harvests'!O222</f>
        <v>4727.7448574203227</v>
      </c>
      <c r="N216">
        <f>'rockfish harvests'!P222</f>
        <v>2237274.0611776323</v>
      </c>
      <c r="Q216" s="13">
        <f t="shared" si="64"/>
        <v>0</v>
      </c>
      <c r="R216" s="14">
        <f t="shared" si="65"/>
        <v>0</v>
      </c>
      <c r="S216">
        <f t="shared" si="52"/>
        <v>0</v>
      </c>
      <c r="T216" s="6">
        <f t="shared" si="53"/>
        <v>0</v>
      </c>
      <c r="V216" s="13" t="e">
        <f t="shared" si="48"/>
        <v>#REF!</v>
      </c>
      <c r="W216">
        <f t="shared" si="49"/>
        <v>0</v>
      </c>
      <c r="X216">
        <f t="shared" si="54"/>
        <v>0</v>
      </c>
      <c r="Y216" s="6">
        <f t="shared" si="55"/>
        <v>0</v>
      </c>
    </row>
    <row r="217" spans="1:26" hidden="1" x14ac:dyDescent="0.25">
      <c r="A217" t="str">
        <f>'rockfish harvests'!A223</f>
        <v>SC</v>
      </c>
      <c r="B217">
        <f>'rockfish harvests'!B223</f>
        <v>2019</v>
      </c>
      <c r="C217" t="str">
        <f>'rockfish harvests'!C223</f>
        <v>PWSO</v>
      </c>
      <c r="D217">
        <f>'rockfish harvests'!D223</f>
        <v>33682</v>
      </c>
      <c r="E217">
        <f>'YE harvest'!E224</f>
        <v>7623</v>
      </c>
      <c r="I217">
        <f t="shared" ref="I217:I218" si="66">(E217^2)*G217</f>
        <v>0</v>
      </c>
      <c r="J217">
        <f t="shared" ref="J217:J218" si="67">SQRT(I217)</f>
        <v>0</v>
      </c>
      <c r="K217" s="6">
        <f t="shared" ref="K217:K218" si="68">(1.96*J217)</f>
        <v>0</v>
      </c>
      <c r="M217" s="2">
        <f>'rockfish harvests'!O223</f>
        <v>6995.3520303194382</v>
      </c>
      <c r="N217">
        <f>'rockfish harvests'!P223</f>
        <v>5326815.9562128652</v>
      </c>
      <c r="R217" s="14"/>
      <c r="S217"/>
      <c r="T217" s="6"/>
      <c r="Y217" s="6"/>
    </row>
    <row r="218" spans="1:26" hidden="1" x14ac:dyDescent="0.25">
      <c r="A218" t="str">
        <f>'rockfish harvests'!A224</f>
        <v>SC</v>
      </c>
      <c r="B218">
        <f>'rockfish harvests'!B224</f>
        <v>2020</v>
      </c>
      <c r="C218" t="str">
        <f>'rockfish harvests'!C224</f>
        <v>PWSO</v>
      </c>
      <c r="D218">
        <f>'rockfish harvests'!D224</f>
        <v>29279</v>
      </c>
      <c r="E218">
        <f>'YE harvest'!E225</f>
        <v>5450</v>
      </c>
      <c r="I218">
        <f t="shared" si="66"/>
        <v>0</v>
      </c>
      <c r="J218">
        <f t="shared" si="67"/>
        <v>0</v>
      </c>
      <c r="K218" s="6">
        <f t="shared" si="68"/>
        <v>0</v>
      </c>
      <c r="M218" s="2">
        <f>'rockfish harvests'!O224</f>
        <v>6546.1019423978578</v>
      </c>
      <c r="N218">
        <f>'rockfish harvests'!P224</f>
        <v>3018032.5104616564</v>
      </c>
      <c r="R218" s="14"/>
      <c r="S218"/>
      <c r="T218" s="6"/>
      <c r="Y218" s="6"/>
    </row>
    <row r="219" spans="1:26" hidden="1" x14ac:dyDescent="0.25">
      <c r="A219" t="str">
        <f>'rockfish harvests'!A225</f>
        <v>SC</v>
      </c>
      <c r="B219">
        <f>'rockfish harvests'!B225</f>
        <v>2021</v>
      </c>
      <c r="C219" t="str">
        <f>'rockfish harvests'!C225</f>
        <v>PWSO</v>
      </c>
      <c r="D219">
        <f>'rockfish harvests'!D225</f>
        <v>38638</v>
      </c>
      <c r="E219">
        <f>'YE harvest'!E226</f>
        <v>5963</v>
      </c>
      <c r="K219" s="6"/>
      <c r="M219" s="2">
        <f>'rockfish harvests'!O225</f>
        <v>8140.8816955045913</v>
      </c>
      <c r="N219">
        <f>'rockfish harvests'!P225</f>
        <v>4846611.7748930994</v>
      </c>
      <c r="R219" s="14"/>
      <c r="S219"/>
      <c r="T219" s="6"/>
      <c r="Y219" s="6"/>
    </row>
    <row r="220" spans="1:26" hidden="1" x14ac:dyDescent="0.25">
      <c r="A220" t="str">
        <f>'rockfish harvests'!A227</f>
        <v>SE</v>
      </c>
      <c r="B220">
        <f>'rockfish harvests'!B227</f>
        <v>1998</v>
      </c>
      <c r="C220" t="str">
        <f>'rockfish harvests'!C227</f>
        <v>CSEO</v>
      </c>
      <c r="D220">
        <f>'rockfish harvests'!D227</f>
        <v>9366</v>
      </c>
      <c r="E220">
        <f>'YE harvest'!E228</f>
        <v>4902</v>
      </c>
      <c r="F220" s="32">
        <v>0.87966501699999999</v>
      </c>
      <c r="G220" s="48">
        <v>4.2596819999999999E-3</v>
      </c>
      <c r="H220" s="13">
        <f>E220*F220</f>
        <v>4312.1179133340001</v>
      </c>
      <c r="I220">
        <f t="shared" si="47"/>
        <v>102358.471625928</v>
      </c>
      <c r="J220">
        <f t="shared" si="50"/>
        <v>319.9351053353289</v>
      </c>
      <c r="K220" s="6">
        <f t="shared" si="51"/>
        <v>627.07280645724461</v>
      </c>
      <c r="M220" s="2">
        <f>'rockfish harvests'!O227</f>
        <v>1419.5566561478372</v>
      </c>
      <c r="N220">
        <f>'rockfish harvests'!P227</f>
        <v>224247.08472663842</v>
      </c>
      <c r="O220" s="32">
        <v>0.35462844799999999</v>
      </c>
      <c r="P220" s="32">
        <v>1.1414210000000001E-3</v>
      </c>
      <c r="Q220" s="13">
        <f t="shared" si="64"/>
        <v>503.41517381777714</v>
      </c>
      <c r="R220" s="14">
        <f t="shared" si="65"/>
        <v>30245.777036501542</v>
      </c>
      <c r="S220">
        <f t="shared" si="52"/>
        <v>173.91313071905049</v>
      </c>
      <c r="T220" s="6">
        <f t="shared" si="53"/>
        <v>340.86973620933895</v>
      </c>
      <c r="V220" s="13">
        <f t="shared" si="48"/>
        <v>4815.5330871517772</v>
      </c>
      <c r="W220">
        <f t="shared" si="49"/>
        <v>132604.24866242954</v>
      </c>
      <c r="X220">
        <f t="shared" si="54"/>
        <v>364.148662859593</v>
      </c>
      <c r="Y220" s="6">
        <f t="shared" si="55"/>
        <v>713.73137920480224</v>
      </c>
      <c r="Z220" s="14">
        <f t="shared" ref="Z220:Z289" si="69">X220/V220</f>
        <v>7.561959522844322E-2</v>
      </c>
    </row>
    <row r="221" spans="1:26" hidden="1" x14ac:dyDescent="0.25">
      <c r="A221" t="str">
        <f>'rockfish harvests'!A228</f>
        <v>SE</v>
      </c>
      <c r="B221">
        <f>'rockfish harvests'!B228</f>
        <v>1999</v>
      </c>
      <c r="C221" t="str">
        <f>'rockfish harvests'!C228</f>
        <v>CSEO</v>
      </c>
      <c r="D221">
        <f>'rockfish harvests'!D228</f>
        <v>9636</v>
      </c>
      <c r="E221">
        <f>'YE harvest'!E229</f>
        <v>5800</v>
      </c>
      <c r="F221" s="32">
        <v>0.87966501699999999</v>
      </c>
      <c r="G221" s="48">
        <v>4.2596819999999999E-3</v>
      </c>
      <c r="H221" s="13">
        <f t="shared" ref="H221:H227" si="70">E221*F221</f>
        <v>5102.0570986000002</v>
      </c>
      <c r="I221">
        <f t="shared" si="47"/>
        <v>143295.70248000001</v>
      </c>
      <c r="J221">
        <f t="shared" si="50"/>
        <v>378.54418827925491</v>
      </c>
      <c r="K221" s="6">
        <f t="shared" si="51"/>
        <v>741.9466090273396</v>
      </c>
      <c r="M221" s="2">
        <f>'rockfish harvests'!O228</f>
        <v>1460.4791734615155</v>
      </c>
      <c r="N221">
        <f>'rockfish harvests'!P228</f>
        <v>237362.48582500662</v>
      </c>
      <c r="O221" s="32">
        <v>0.35462844799999999</v>
      </c>
      <c r="P221" s="32">
        <v>1.1414210000000001E-3</v>
      </c>
      <c r="Q221" s="13">
        <f t="shared" si="64"/>
        <v>517.92746262098001</v>
      </c>
      <c r="R221" s="14">
        <f t="shared" si="65"/>
        <v>32014.743165310301</v>
      </c>
      <c r="S221">
        <f t="shared" si="52"/>
        <v>178.92664185444912</v>
      </c>
      <c r="T221" s="6">
        <f t="shared" si="53"/>
        <v>350.69621803472029</v>
      </c>
      <c r="V221" s="13">
        <f t="shared" si="48"/>
        <v>5619.9845612209801</v>
      </c>
      <c r="W221">
        <f t="shared" si="49"/>
        <v>175310.4456453103</v>
      </c>
      <c r="X221">
        <f t="shared" si="54"/>
        <v>418.70090236983049</v>
      </c>
      <c r="Y221" s="6">
        <f t="shared" si="55"/>
        <v>820.6537686448678</v>
      </c>
      <c r="Z221" s="14">
        <f t="shared" si="69"/>
        <v>7.4502144589319808E-2</v>
      </c>
    </row>
    <row r="222" spans="1:26" hidden="1" x14ac:dyDescent="0.25">
      <c r="A222" t="str">
        <f>'rockfish harvests'!A229</f>
        <v>SE</v>
      </c>
      <c r="B222">
        <f>'rockfish harvests'!B229</f>
        <v>2000</v>
      </c>
      <c r="C222" t="str">
        <f>'rockfish harvests'!C229</f>
        <v>CSEO</v>
      </c>
      <c r="D222">
        <f>'rockfish harvests'!D229</f>
        <v>16855</v>
      </c>
      <c r="E222">
        <f>'YE harvest'!E230</f>
        <v>11078</v>
      </c>
      <c r="F222" s="32">
        <v>0.87966501699999999</v>
      </c>
      <c r="G222" s="48">
        <v>4.2596819999999999E-3</v>
      </c>
      <c r="H222" s="13">
        <f t="shared" si="70"/>
        <v>9744.9290583260008</v>
      </c>
      <c r="I222">
        <f t="shared" si="47"/>
        <v>522757.052217288</v>
      </c>
      <c r="J222">
        <f t="shared" si="50"/>
        <v>723.01939961337689</v>
      </c>
      <c r="K222" s="6">
        <f t="shared" si="51"/>
        <v>1417.1180232422187</v>
      </c>
      <c r="M222" s="2">
        <f>'rockfish harvests'!O229</f>
        <v>2554.6260345261362</v>
      </c>
      <c r="N222">
        <f>'rockfish harvests'!P229</f>
        <v>726233.05564746587</v>
      </c>
      <c r="O222" s="32">
        <v>0.35462844799999999</v>
      </c>
      <c r="P222" s="32">
        <v>1.1414210000000001E-3</v>
      </c>
      <c r="Q222" s="13">
        <f t="shared" si="64"/>
        <v>905.94306584439801</v>
      </c>
      <c r="R222" s="14">
        <f t="shared" si="65"/>
        <v>97952.145529235408</v>
      </c>
      <c r="S222">
        <f t="shared" si="52"/>
        <v>312.97307476720005</v>
      </c>
      <c r="T222" s="6">
        <f t="shared" si="53"/>
        <v>613.4272265437121</v>
      </c>
      <c r="V222" s="13">
        <f t="shared" si="48"/>
        <v>10650.872124170399</v>
      </c>
      <c r="W222">
        <f t="shared" si="49"/>
        <v>620709.19774652342</v>
      </c>
      <c r="X222">
        <f t="shared" si="54"/>
        <v>787.85099971157194</v>
      </c>
      <c r="Y222" s="6">
        <f t="shared" si="55"/>
        <v>1544.187959434681</v>
      </c>
      <c r="Z222" s="14">
        <f t="shared" si="69"/>
        <v>7.3970562271954615E-2</v>
      </c>
    </row>
    <row r="223" spans="1:26" hidden="1" x14ac:dyDescent="0.25">
      <c r="A223" t="str">
        <f>'rockfish harvests'!A230</f>
        <v>SE</v>
      </c>
      <c r="B223">
        <f>'rockfish harvests'!B230</f>
        <v>2001</v>
      </c>
      <c r="C223" t="str">
        <f>'rockfish harvests'!C230</f>
        <v>CSEO</v>
      </c>
      <c r="D223">
        <f>'rockfish harvests'!D230</f>
        <v>15083</v>
      </c>
      <c r="E223">
        <f>'YE harvest'!E231</f>
        <v>11046</v>
      </c>
      <c r="F223" s="32">
        <v>0.87966501699999999</v>
      </c>
      <c r="G223" s="48">
        <v>4.2596819999999999E-3</v>
      </c>
      <c r="H223" s="13">
        <f t="shared" si="70"/>
        <v>9716.7797777819997</v>
      </c>
      <c r="I223">
        <f t="shared" ref="I223:I298" si="71">(E223^2)*G223</f>
        <v>519741.33367111196</v>
      </c>
      <c r="J223">
        <f t="shared" si="50"/>
        <v>720.93087995390511</v>
      </c>
      <c r="K223" s="6">
        <f t="shared" si="51"/>
        <v>1413.0245247096541</v>
      </c>
      <c r="M223" s="2">
        <f>'rockfish harvests'!O230</f>
        <v>2286.0530690452506</v>
      </c>
      <c r="N223">
        <f>'rockfish harvests'!P230</f>
        <v>581559.24091147329</v>
      </c>
      <c r="O223" s="32">
        <v>0.35462844799999999</v>
      </c>
      <c r="P223" s="32">
        <v>1.1414210000000001E-3</v>
      </c>
      <c r="Q223" s="13">
        <f t="shared" si="64"/>
        <v>810.69945192115404</v>
      </c>
      <c r="R223" s="14">
        <f t="shared" si="65"/>
        <v>78438.973490191434</v>
      </c>
      <c r="S223">
        <f t="shared" si="52"/>
        <v>280.0695868711764</v>
      </c>
      <c r="T223" s="6">
        <f t="shared" si="53"/>
        <v>548.93639026750577</v>
      </c>
      <c r="V223" s="13">
        <f t="shared" ref="V223:V298" si="72">Q223+H223</f>
        <v>10527.479229703154</v>
      </c>
      <c r="W223">
        <f t="shared" ref="W223:W298" si="73">R223+I223</f>
        <v>598180.30716130335</v>
      </c>
      <c r="X223">
        <f t="shared" si="54"/>
        <v>773.42117061876661</v>
      </c>
      <c r="Y223" s="6">
        <f t="shared" si="55"/>
        <v>1515.9054944127824</v>
      </c>
      <c r="Z223" s="14">
        <f t="shared" si="69"/>
        <v>7.3466891146796873E-2</v>
      </c>
    </row>
    <row r="224" spans="1:26" hidden="1" x14ac:dyDescent="0.25">
      <c r="A224" t="str">
        <f>'rockfish harvests'!A231</f>
        <v>SE</v>
      </c>
      <c r="B224">
        <f>'rockfish harvests'!B231</f>
        <v>2002</v>
      </c>
      <c r="C224" t="str">
        <f>'rockfish harvests'!C231</f>
        <v>CSEO</v>
      </c>
      <c r="D224">
        <f>'rockfish harvests'!D231</f>
        <v>14004</v>
      </c>
      <c r="E224">
        <f>'YE harvest'!E232</f>
        <v>8798</v>
      </c>
      <c r="F224" s="32">
        <v>0.87966501699999999</v>
      </c>
      <c r="G224" s="48">
        <v>4.2596819999999999E-3</v>
      </c>
      <c r="H224" s="13">
        <f t="shared" si="70"/>
        <v>7739.2928195659997</v>
      </c>
      <c r="I224">
        <f t="shared" si="71"/>
        <v>329719.85031232797</v>
      </c>
      <c r="J224">
        <f t="shared" ref="J224:J299" si="74">SQRT(I224)</f>
        <v>574.21237387601457</v>
      </c>
      <c r="K224" s="6">
        <f t="shared" ref="K224:K299" si="75">(1.96*J224)</f>
        <v>1125.4562527969886</v>
      </c>
      <c r="M224" s="2">
        <f>'rockfish harvests'!O231</f>
        <v>2122.5145646694764</v>
      </c>
      <c r="N224">
        <f>'rockfish harvests'!P231</f>
        <v>501328.85623143055</v>
      </c>
      <c r="O224" s="32">
        <v>0.35462844799999999</v>
      </c>
      <c r="P224" s="32">
        <v>1.1414210000000001E-3</v>
      </c>
      <c r="Q224" s="13">
        <f t="shared" si="64"/>
        <v>752.70404592613204</v>
      </c>
      <c r="R224" s="14">
        <f t="shared" si="65"/>
        <v>67617.738826010944</v>
      </c>
      <c r="S224">
        <f t="shared" ref="S224:S299" si="76">SQRT(R224)</f>
        <v>260.03411088934263</v>
      </c>
      <c r="T224" s="6">
        <f t="shared" ref="T224:T299" si="77">(1.96*S224)</f>
        <v>509.66685734311153</v>
      </c>
      <c r="V224" s="13">
        <f t="shared" si="72"/>
        <v>8491.9968654921322</v>
      </c>
      <c r="W224">
        <f t="shared" si="73"/>
        <v>397337.58913833892</v>
      </c>
      <c r="X224">
        <f t="shared" ref="X224:X299" si="78">SQRT(W224)</f>
        <v>630.34719729553717</v>
      </c>
      <c r="Y224" s="6">
        <f t="shared" ref="Y224:Y299" si="79">(1.96*X224)</f>
        <v>1235.4805066992528</v>
      </c>
      <c r="Z224" s="14">
        <f t="shared" si="69"/>
        <v>7.4228383180050428E-2</v>
      </c>
    </row>
    <row r="225" spans="1:26" hidden="1" x14ac:dyDescent="0.25">
      <c r="A225" t="str">
        <f>'rockfish harvests'!A232</f>
        <v>SE</v>
      </c>
      <c r="B225">
        <f>'rockfish harvests'!B232</f>
        <v>2003</v>
      </c>
      <c r="C225" t="str">
        <f>'rockfish harvests'!C232</f>
        <v>CSEO</v>
      </c>
      <c r="D225">
        <f>'rockfish harvests'!D232</f>
        <v>15272</v>
      </c>
      <c r="E225">
        <f>'YE harvest'!E233</f>
        <v>8561</v>
      </c>
      <c r="F225" s="32">
        <v>0.87966501699999999</v>
      </c>
      <c r="G225" s="48">
        <v>4.2596819999999999E-3</v>
      </c>
      <c r="H225" s="13">
        <f t="shared" si="70"/>
        <v>7530.8122105370003</v>
      </c>
      <c r="I225">
        <f t="shared" si="71"/>
        <v>312195.165010722</v>
      </c>
      <c r="J225">
        <f t="shared" si="74"/>
        <v>558.744275148052</v>
      </c>
      <c r="K225" s="6">
        <f t="shared" si="75"/>
        <v>1095.1387792901819</v>
      </c>
      <c r="M225" s="2">
        <f>'rockfish harvests'!O232</f>
        <v>2314.6988311648274</v>
      </c>
      <c r="N225">
        <f>'rockfish harvests'!P232</f>
        <v>596225.20240177307</v>
      </c>
      <c r="O225" s="32">
        <v>0.35462844799999999</v>
      </c>
      <c r="P225" s="32">
        <v>1.1414210000000001E-3</v>
      </c>
      <c r="Q225" s="13">
        <f t="shared" si="64"/>
        <v>820.85805408339672</v>
      </c>
      <c r="R225" s="14">
        <f t="shared" si="65"/>
        <v>80417.074573655977</v>
      </c>
      <c r="S225">
        <f t="shared" si="76"/>
        <v>283.57904466595551</v>
      </c>
      <c r="T225" s="6">
        <f t="shared" si="77"/>
        <v>555.81492754527278</v>
      </c>
      <c r="V225" s="13">
        <f t="shared" si="72"/>
        <v>8351.6702646203976</v>
      </c>
      <c r="W225">
        <f t="shared" si="73"/>
        <v>392612.23958437797</v>
      </c>
      <c r="X225">
        <f t="shared" si="78"/>
        <v>626.58777484433733</v>
      </c>
      <c r="Y225" s="6">
        <f t="shared" si="79"/>
        <v>1228.1120386949012</v>
      </c>
      <c r="Z225" s="14">
        <f t="shared" si="69"/>
        <v>7.5025444610607742E-2</v>
      </c>
    </row>
    <row r="226" spans="1:26" hidden="1" x14ac:dyDescent="0.25">
      <c r="A226" t="str">
        <f>'rockfish harvests'!A233</f>
        <v>SE</v>
      </c>
      <c r="B226">
        <f>'rockfish harvests'!B233</f>
        <v>2004</v>
      </c>
      <c r="C226" t="str">
        <f>'rockfish harvests'!C233</f>
        <v>CSEO</v>
      </c>
      <c r="D226">
        <f>'rockfish harvests'!D233</f>
        <v>21796</v>
      </c>
      <c r="E226">
        <f>'YE harvest'!E234</f>
        <v>12007</v>
      </c>
      <c r="F226" s="32">
        <v>0.87966501699999999</v>
      </c>
      <c r="G226" s="48">
        <v>4.2596819999999999E-3</v>
      </c>
      <c r="H226" s="13">
        <f t="shared" si="70"/>
        <v>10562.137859119</v>
      </c>
      <c r="I226">
        <f t="shared" si="71"/>
        <v>614110.04330041795</v>
      </c>
      <c r="J226">
        <f t="shared" si="74"/>
        <v>783.65173597741614</v>
      </c>
      <c r="K226" s="6">
        <f t="shared" si="75"/>
        <v>1535.9574025157356</v>
      </c>
      <c r="M226" s="2">
        <f>'rockfish harvests'!O233</f>
        <v>3303.5081013664603</v>
      </c>
      <c r="N226">
        <f>'rockfish harvests'!P233</f>
        <v>1214428.9103843591</v>
      </c>
      <c r="O226" s="32">
        <v>0.35462844799999999</v>
      </c>
      <c r="P226" s="32">
        <v>1.1414210000000001E-3</v>
      </c>
      <c r="Q226" s="13">
        <f t="shared" si="64"/>
        <v>1171.5179509430145</v>
      </c>
      <c r="R226" s="14">
        <f t="shared" si="65"/>
        <v>163798.54433756886</v>
      </c>
      <c r="S226">
        <f t="shared" si="76"/>
        <v>404.7203285449952</v>
      </c>
      <c r="T226" s="6">
        <f t="shared" si="77"/>
        <v>793.25184394819053</v>
      </c>
      <c r="V226" s="13">
        <f t="shared" si="72"/>
        <v>11733.655810062015</v>
      </c>
      <c r="W226">
        <f t="shared" si="73"/>
        <v>777908.58763798675</v>
      </c>
      <c r="X226">
        <f t="shared" si="78"/>
        <v>881.99126279004986</v>
      </c>
      <c r="Y226" s="6">
        <f t="shared" si="79"/>
        <v>1728.7028750684976</v>
      </c>
      <c r="Z226" s="14">
        <f t="shared" si="69"/>
        <v>7.5167644003475198E-2</v>
      </c>
    </row>
    <row r="227" spans="1:26" hidden="1" x14ac:dyDescent="0.25">
      <c r="A227" t="str">
        <f>'rockfish harvests'!A234</f>
        <v>SE</v>
      </c>
      <c r="B227">
        <f>'rockfish harvests'!B234</f>
        <v>2005</v>
      </c>
      <c r="C227" t="str">
        <f>'rockfish harvests'!C234</f>
        <v>CSEO</v>
      </c>
      <c r="D227">
        <f>'rockfish harvests'!D234</f>
        <v>27304</v>
      </c>
      <c r="E227">
        <f>'YE harvest'!E235</f>
        <v>14418</v>
      </c>
      <c r="F227" s="32">
        <v>0.87966501699999999</v>
      </c>
      <c r="G227" s="48">
        <v>4.2596819999999999E-3</v>
      </c>
      <c r="H227" s="13">
        <f t="shared" si="70"/>
        <v>12683.010215106</v>
      </c>
      <c r="I227">
        <f t="shared" si="71"/>
        <v>885497.25880576798</v>
      </c>
      <c r="J227">
        <f t="shared" si="74"/>
        <v>941.00863907074097</v>
      </c>
      <c r="K227" s="6">
        <f t="shared" si="75"/>
        <v>1844.3769325786523</v>
      </c>
      <c r="M227" s="2">
        <f>'rockfish harvests'!O234</f>
        <v>4138.3274545655077</v>
      </c>
      <c r="N227">
        <f>'rockfish harvests'!P234</f>
        <v>1905772.4719131205</v>
      </c>
      <c r="O227" s="32">
        <v>0.35462844799999999</v>
      </c>
      <c r="P227" s="32">
        <v>1.1414210000000001E-3</v>
      </c>
      <c r="Q227" s="13">
        <f t="shared" si="64"/>
        <v>1467.5686425283563</v>
      </c>
      <c r="R227" s="14">
        <f t="shared" si="65"/>
        <v>257044.89910338339</v>
      </c>
      <c r="S227">
        <f t="shared" si="76"/>
        <v>506.99595570712728</v>
      </c>
      <c r="T227" s="6">
        <f t="shared" si="77"/>
        <v>993.71207318596942</v>
      </c>
      <c r="V227" s="13">
        <f t="shared" si="72"/>
        <v>14150.578857634357</v>
      </c>
      <c r="W227">
        <f t="shared" si="73"/>
        <v>1142542.1579091514</v>
      </c>
      <c r="X227">
        <f t="shared" si="78"/>
        <v>1068.8976367777934</v>
      </c>
      <c r="Y227" s="6">
        <f t="shared" si="79"/>
        <v>2095.039368084475</v>
      </c>
      <c r="Z227" s="14">
        <f t="shared" si="69"/>
        <v>7.553737889677313E-2</v>
      </c>
    </row>
    <row r="228" spans="1:26" hidden="1" x14ac:dyDescent="0.25">
      <c r="A228" t="str">
        <f>'rockfish harvests'!A235</f>
        <v>SE</v>
      </c>
      <c r="B228">
        <f>'rockfish harvests'!B235</f>
        <v>2006</v>
      </c>
      <c r="C228" t="str">
        <f>'rockfish harvests'!C235</f>
        <v>CSEO</v>
      </c>
      <c r="D228">
        <f>'rockfish harvests'!D235</f>
        <v>33748</v>
      </c>
      <c r="E228">
        <f>'YE harvest'!E236</f>
        <v>13609</v>
      </c>
      <c r="F228">
        <f>IF([2]species_comp_Region1_forR!$H10&gt;49,[2]species_comp_Region1_forR!$AM10,[2]species_comp_Region1_forR!$AO10)</f>
        <v>0.96505125800000002</v>
      </c>
      <c r="G228" s="49">
        <f>IF([2]species_comp_Region1_forR!$H10&gt;49,[2]species_comp_Region1_forR!$AN10,[2]species_comp_Region1_forR!$AP10)</f>
        <v>1.57237E-5</v>
      </c>
      <c r="H228" s="13">
        <f t="shared" ref="H228:H239" si="80">E228*F228</f>
        <v>13133.382570122001</v>
      </c>
      <c r="I228">
        <f t="shared" si="71"/>
        <v>2912.1059873796999</v>
      </c>
      <c r="J228">
        <f t="shared" si="74"/>
        <v>53.96393228240229</v>
      </c>
      <c r="K228" s="6">
        <f t="shared" si="75"/>
        <v>105.76930727350849</v>
      </c>
      <c r="M228" s="2">
        <f>'rockfish harvests'!O235</f>
        <v>5115.01153445198</v>
      </c>
      <c r="N228">
        <f>'rockfish harvests'!P235</f>
        <v>2911485.1530098896</v>
      </c>
      <c r="O228">
        <f>IF([2]species_comp_Region1_forR!$D32&gt;49,[2]species_comp_Region1_forR!$AI32,[2]species_comp_Region1_forR!$AK32)</f>
        <v>0.405405405</v>
      </c>
      <c r="P228">
        <f>IF([2]species_comp_Region1_forR!$D32&gt;49,[2]species_comp_Region1_forR!$AJ32,[2]species_comp_Region1_forR!$AL32)</f>
        <v>4.6625099999999999E-4</v>
      </c>
      <c r="Q228" s="13">
        <f t="shared" si="64"/>
        <v>2073.6533227041764</v>
      </c>
      <c r="R228" s="14">
        <f t="shared" si="65"/>
        <v>489354.10052342608</v>
      </c>
      <c r="S228">
        <f t="shared" si="76"/>
        <v>699.538491094969</v>
      </c>
      <c r="T228" s="6">
        <f t="shared" si="77"/>
        <v>1371.0954425461391</v>
      </c>
      <c r="V228" s="13">
        <f t="shared" si="72"/>
        <v>15207.035892826178</v>
      </c>
      <c r="W228">
        <f t="shared" si="73"/>
        <v>492266.20651080576</v>
      </c>
      <c r="X228">
        <f t="shared" si="78"/>
        <v>701.61685164397647</v>
      </c>
      <c r="Y228" s="6">
        <f t="shared" si="79"/>
        <v>1375.1690292221938</v>
      </c>
      <c r="Z228" s="14">
        <f t="shared" si="69"/>
        <v>4.6137646849045692E-2</v>
      </c>
    </row>
    <row r="229" spans="1:26" hidden="1" x14ac:dyDescent="0.25">
      <c r="A229" t="str">
        <f>'rockfish harvests'!A236</f>
        <v>SE</v>
      </c>
      <c r="B229">
        <f>'rockfish harvests'!B236</f>
        <v>2007</v>
      </c>
      <c r="C229" t="str">
        <f>'rockfish harvests'!C236</f>
        <v>CSEO</v>
      </c>
      <c r="D229">
        <f>'rockfish harvests'!D236</f>
        <v>38443</v>
      </c>
      <c r="E229">
        <f>'YE harvest'!E237</f>
        <v>14388</v>
      </c>
      <c r="F229">
        <f>IF([2]species_comp_Region1_forR!$H11&gt;49,[2]species_comp_Region1_forR!$AM11,[2]species_comp_Region1_forR!$AO11)</f>
        <v>0.95686480799999996</v>
      </c>
      <c r="G229" s="49">
        <f>IF([2]species_comp_Region1_forR!$H11&gt;49,[2]species_comp_Region1_forR!$AN11,[2]species_comp_Region1_forR!$AP11)</f>
        <v>2.1723399999999999E-5</v>
      </c>
      <c r="H229" s="13">
        <f t="shared" si="80"/>
        <v>13767.370857504</v>
      </c>
      <c r="I229">
        <f t="shared" si="71"/>
        <v>4497.0597451295998</v>
      </c>
      <c r="J229">
        <f t="shared" si="74"/>
        <v>67.060120378132339</v>
      </c>
      <c r="K229" s="6">
        <f t="shared" si="75"/>
        <v>131.43783594113938</v>
      </c>
      <c r="M229" s="2">
        <f>'rockfish harvests'!O236</f>
        <v>5826.6086410731732</v>
      </c>
      <c r="N229">
        <f>'rockfish harvests'!P236</f>
        <v>3777922.4788372577</v>
      </c>
      <c r="O229">
        <f>IF([2]species_comp_Region1_forR!$D33&gt;49,[2]species_comp_Region1_forR!$AI33,[2]species_comp_Region1_forR!$AK33)</f>
        <v>0.35674157299999998</v>
      </c>
      <c r="P229">
        <f>IF([2]species_comp_Region1_forR!$D33&gt;49,[2]species_comp_Region1_forR!$AJ33,[2]species_comp_Region1_forR!$AL33)</f>
        <v>6.4641399999999999E-4</v>
      </c>
      <c r="Q229" s="13">
        <f t="shared" si="64"/>
        <v>2078.5935318718361</v>
      </c>
      <c r="R229" s="14">
        <f t="shared" si="65"/>
        <v>500298.8488016731</v>
      </c>
      <c r="S229">
        <f t="shared" si="76"/>
        <v>707.31806763412533</v>
      </c>
      <c r="T229" s="6">
        <f t="shared" si="77"/>
        <v>1386.3434125628855</v>
      </c>
      <c r="V229" s="13">
        <f t="shared" si="72"/>
        <v>15845.964389375837</v>
      </c>
      <c r="W229">
        <f t="shared" si="73"/>
        <v>504795.9085468027</v>
      </c>
      <c r="X229">
        <f t="shared" si="78"/>
        <v>710.48990742079002</v>
      </c>
      <c r="Y229" s="6">
        <f t="shared" si="79"/>
        <v>1392.5602185447485</v>
      </c>
      <c r="Z229" s="14">
        <f t="shared" si="69"/>
        <v>4.4837277805391797E-2</v>
      </c>
    </row>
    <row r="230" spans="1:26" hidden="1" x14ac:dyDescent="0.25">
      <c r="A230" t="str">
        <f>'rockfish harvests'!A237</f>
        <v>SE</v>
      </c>
      <c r="B230">
        <f>'rockfish harvests'!B237</f>
        <v>2008</v>
      </c>
      <c r="C230" t="str">
        <f>'rockfish harvests'!C237</f>
        <v>CSEO</v>
      </c>
      <c r="D230">
        <f>'rockfish harvests'!D237</f>
        <v>52901</v>
      </c>
      <c r="E230">
        <f>'YE harvest'!E238</f>
        <v>15276</v>
      </c>
      <c r="F230">
        <f>IF([2]species_comp_Region1_forR!$H12&gt;49,[2]species_comp_Region1_forR!$AM12,[2]species_comp_Region1_forR!$AO12)</f>
        <v>0.91935483900000003</v>
      </c>
      <c r="G230" s="49">
        <f>IF([2]species_comp_Region1_forR!$H12&gt;49,[2]species_comp_Region1_forR!$AN12,[2]species_comp_Region1_forR!$AP12)</f>
        <v>3.5188200000000003E-5</v>
      </c>
      <c r="H230" s="13">
        <f t="shared" si="80"/>
        <v>14044.064520564001</v>
      </c>
      <c r="I230">
        <f t="shared" si="71"/>
        <v>8211.3837923232004</v>
      </c>
      <c r="J230">
        <f t="shared" si="74"/>
        <v>90.616686059043232</v>
      </c>
      <c r="K230" s="6">
        <f t="shared" si="75"/>
        <v>177.60870467572474</v>
      </c>
      <c r="M230" s="2">
        <f>'rockfish harvests'!O237</f>
        <v>8017.9336607812002</v>
      </c>
      <c r="N230">
        <f>'rockfish harvests'!P237</f>
        <v>7153955.9598475369</v>
      </c>
      <c r="O230">
        <f>IF([2]species_comp_Region1_forR!$D34&gt;49,[2]species_comp_Region1_forR!$AI34,[2]species_comp_Region1_forR!$AK34)</f>
        <v>0.365019011</v>
      </c>
      <c r="P230">
        <f>IF([2]species_comp_Region1_forR!$D34&gt;49,[2]species_comp_Region1_forR!$AJ34,[2]species_comp_Region1_forR!$AL34)</f>
        <v>4.4148599999999999E-4</v>
      </c>
      <c r="Q230" s="13">
        <f t="shared" si="64"/>
        <v>2926.6982151219631</v>
      </c>
      <c r="R230" s="14">
        <f t="shared" si="65"/>
        <v>978408.62210246094</v>
      </c>
      <c r="S230">
        <f t="shared" si="76"/>
        <v>989.14539987934074</v>
      </c>
      <c r="T230" s="6">
        <f t="shared" si="77"/>
        <v>1938.7249837635079</v>
      </c>
      <c r="V230" s="13">
        <f t="shared" si="72"/>
        <v>16970.762735685963</v>
      </c>
      <c r="W230">
        <f t="shared" si="73"/>
        <v>986620.00589478412</v>
      </c>
      <c r="X230">
        <f t="shared" si="78"/>
        <v>993.28747394436834</v>
      </c>
      <c r="Y230" s="6">
        <f t="shared" si="79"/>
        <v>1946.8434489309618</v>
      </c>
      <c r="Z230" s="14">
        <f t="shared" si="69"/>
        <v>5.8529335977085616E-2</v>
      </c>
    </row>
    <row r="231" spans="1:26" hidden="1" x14ac:dyDescent="0.25">
      <c r="A231" t="str">
        <f>'rockfish harvests'!A238</f>
        <v>SE</v>
      </c>
      <c r="B231">
        <f>'rockfish harvests'!B238</f>
        <v>2009</v>
      </c>
      <c r="C231" t="str">
        <f>'rockfish harvests'!C238</f>
        <v>CSEO</v>
      </c>
      <c r="D231">
        <f>'rockfish harvests'!D238</f>
        <v>31717</v>
      </c>
      <c r="E231">
        <f>'YE harvest'!E239</f>
        <v>9427</v>
      </c>
      <c r="F231">
        <f>IF([2]species_comp_Region1_forR!$H13&gt;49,[2]species_comp_Region1_forR!$AM13,[2]species_comp_Region1_forR!$AO13)</f>
        <v>0.95909849700000005</v>
      </c>
      <c r="G231" s="49">
        <f>IF([2]species_comp_Region1_forR!$H13&gt;49,[2]species_comp_Region1_forR!$AN13,[2]species_comp_Region1_forR!$AP13)</f>
        <v>3.2772399999999998E-5</v>
      </c>
      <c r="H231" s="13">
        <f t="shared" si="80"/>
        <v>9041.4215312190008</v>
      </c>
      <c r="I231">
        <f t="shared" si="71"/>
        <v>2912.4284253195997</v>
      </c>
      <c r="J231">
        <f t="shared" si="74"/>
        <v>53.966919731624479</v>
      </c>
      <c r="K231" s="6">
        <f t="shared" si="75"/>
        <v>105.77516267398397</v>
      </c>
      <c r="M231" s="2">
        <f>'rockfish harvests'!O238</f>
        <v>4807.1832653257516</v>
      </c>
      <c r="N231">
        <f>'rockfish harvests'!P238</f>
        <v>2571595.7734261826</v>
      </c>
      <c r="O231">
        <f>IF([2]species_comp_Region1_forR!$D35&gt;49,[2]species_comp_Region1_forR!$AI35,[2]species_comp_Region1_forR!$AK35)</f>
        <v>0.38461538499999998</v>
      </c>
      <c r="P231">
        <f>IF([2]species_comp_Region1_forR!$D35&gt;49,[2]species_comp_Region1_forR!$AJ35,[2]species_comp_Region1_forR!$AL35)</f>
        <v>6.0844800000000004E-4</v>
      </c>
      <c r="Q231" s="13">
        <f t="shared" si="64"/>
        <v>1848.916642358821</v>
      </c>
      <c r="R231" s="14">
        <f t="shared" si="65"/>
        <v>392909.52589862846</v>
      </c>
      <c r="S231">
        <f t="shared" si="76"/>
        <v>626.82495634636985</v>
      </c>
      <c r="T231" s="6">
        <f t="shared" si="77"/>
        <v>1228.5769144388848</v>
      </c>
      <c r="V231" s="13">
        <f t="shared" si="72"/>
        <v>10890.338173577822</v>
      </c>
      <c r="W231">
        <f t="shared" si="73"/>
        <v>395821.95432394807</v>
      </c>
      <c r="X231">
        <f t="shared" si="78"/>
        <v>629.14382642123098</v>
      </c>
      <c r="Y231" s="6">
        <f t="shared" si="79"/>
        <v>1233.1218997856126</v>
      </c>
      <c r="Z231" s="14">
        <f t="shared" si="69"/>
        <v>5.7770825514643985E-2</v>
      </c>
    </row>
    <row r="232" spans="1:26" hidden="1" x14ac:dyDescent="0.25">
      <c r="A232" t="str">
        <f>'rockfish harvests'!A239</f>
        <v>SE</v>
      </c>
      <c r="B232">
        <f>'rockfish harvests'!B239</f>
        <v>2010</v>
      </c>
      <c r="C232" t="str">
        <f>'rockfish harvests'!C239</f>
        <v>CSEO</v>
      </c>
      <c r="D232">
        <f>'rockfish harvests'!D239</f>
        <v>43813</v>
      </c>
      <c r="E232">
        <f>'YE harvest'!E240</f>
        <v>13028</v>
      </c>
      <c r="F232">
        <f>IF([2]species_comp_Region1_forR!$H14&gt;49,[2]species_comp_Region1_forR!$AM14,[2]species_comp_Region1_forR!$AO14)</f>
        <v>0.91193306900000004</v>
      </c>
      <c r="G232" s="49">
        <f>IF([2]species_comp_Region1_forR!$H14&gt;49,[2]species_comp_Region1_forR!$AN14,[2]species_comp_Region1_forR!$AP14)</f>
        <v>3.5379400000000002E-5</v>
      </c>
      <c r="H232" s="13">
        <f t="shared" si="80"/>
        <v>11880.664022932</v>
      </c>
      <c r="I232">
        <f t="shared" si="71"/>
        <v>6004.9025406496003</v>
      </c>
      <c r="J232">
        <f t="shared" si="74"/>
        <v>77.491306226244504</v>
      </c>
      <c r="K232" s="6">
        <f t="shared" si="75"/>
        <v>151.88296020343921</v>
      </c>
      <c r="M232" s="2">
        <f>'rockfish harvests'!O239</f>
        <v>6640.5120409785595</v>
      </c>
      <c r="N232">
        <f>'rockfish harvests'!P239</f>
        <v>4907095.1826566225</v>
      </c>
      <c r="O232">
        <f>IF([2]species_comp_Region1_forR!$D36&gt;49,[2]species_comp_Region1_forR!$AI36,[2]species_comp_Region1_forR!$AK36)</f>
        <v>0.32013201299999999</v>
      </c>
      <c r="P232">
        <f>IF([2]species_comp_Region1_forR!$D36&gt;49,[2]species_comp_Region1_forR!$AJ36,[2]species_comp_Region1_forR!$AL36)</f>
        <v>2.397E-4</v>
      </c>
      <c r="Q232" s="13">
        <f t="shared" si="64"/>
        <v>2125.8404870292047</v>
      </c>
      <c r="R232" s="14">
        <f t="shared" si="65"/>
        <v>512294.90085476812</v>
      </c>
      <c r="S232">
        <f t="shared" si="76"/>
        <v>715.74779137260919</v>
      </c>
      <c r="T232" s="6">
        <f t="shared" si="77"/>
        <v>1402.865671090314</v>
      </c>
      <c r="V232" s="13">
        <f t="shared" si="72"/>
        <v>14006.504509961205</v>
      </c>
      <c r="W232">
        <f t="shared" si="73"/>
        <v>518299.80339541769</v>
      </c>
      <c r="X232">
        <f t="shared" si="78"/>
        <v>719.93041566210945</v>
      </c>
      <c r="Y232" s="6">
        <f t="shared" si="79"/>
        <v>1411.0636146977345</v>
      </c>
      <c r="Z232" s="14">
        <f t="shared" si="69"/>
        <v>5.139972040490947E-2</v>
      </c>
    </row>
    <row r="233" spans="1:26" hidden="1" x14ac:dyDescent="0.25">
      <c r="A233" t="str">
        <f>'rockfish harvests'!A240</f>
        <v>SE</v>
      </c>
      <c r="B233">
        <f>'rockfish harvests'!B240</f>
        <v>2011</v>
      </c>
      <c r="C233" t="str">
        <f>'rockfish harvests'!C240</f>
        <v>CSEO</v>
      </c>
      <c r="D233">
        <f>'rockfish harvests'!D240</f>
        <v>58843</v>
      </c>
      <c r="E233">
        <f>'YE harvest'!E241</f>
        <v>12339</v>
      </c>
      <c r="F233">
        <f>IF([2]species_comp_Region1_forR!$H15&gt;49,[2]species_comp_Region1_forR!$AM15,[2]species_comp_Region1_forR!$AO15)</f>
        <v>0.87506731299999996</v>
      </c>
      <c r="G233" s="49">
        <f>IF([2]species_comp_Region1_forR!$H15&gt;49,[2]species_comp_Region1_forR!$AN15,[2]species_comp_Region1_forR!$AP15)</f>
        <v>5.8903300000000002E-5</v>
      </c>
      <c r="H233" s="13">
        <f t="shared" si="80"/>
        <v>10797.455575107</v>
      </c>
      <c r="I233">
        <f t="shared" si="71"/>
        <v>8968.0816749392998</v>
      </c>
      <c r="J233">
        <f t="shared" si="74"/>
        <v>94.699956045075865</v>
      </c>
      <c r="K233" s="6">
        <f t="shared" si="75"/>
        <v>185.61191384834871</v>
      </c>
      <c r="M233" s="2">
        <f>'rockfish harvests'!O240</f>
        <v>9637.9680383923114</v>
      </c>
      <c r="N233">
        <f>'rockfish harvests'!P240</f>
        <v>7141508.8030922944</v>
      </c>
      <c r="O233">
        <f>IF([2]species_comp_Region1_forR!$D37&gt;49,[2]species_comp_Region1_forR!$AI37,[2]species_comp_Region1_forR!$AK37)</f>
        <v>0.38095238100000001</v>
      </c>
      <c r="P233">
        <f>IF([2]species_comp_Region1_forR!$D37&gt;49,[2]species_comp_Region1_forR!$AJ37,[2]species_comp_Region1_forR!$AL37)</f>
        <v>3.30754E-4</v>
      </c>
      <c r="Q233" s="13">
        <f t="shared" si="64"/>
        <v>3671.6068722274504</v>
      </c>
      <c r="R233" s="14">
        <f t="shared" si="65"/>
        <v>1064771.2390606615</v>
      </c>
      <c r="S233">
        <f t="shared" si="76"/>
        <v>1031.8775310377978</v>
      </c>
      <c r="T233" s="6">
        <f t="shared" si="77"/>
        <v>2022.4799608340836</v>
      </c>
      <c r="V233" s="13">
        <f t="shared" si="72"/>
        <v>14469.062447334451</v>
      </c>
      <c r="W233">
        <f t="shared" si="73"/>
        <v>1073739.3207356008</v>
      </c>
      <c r="X233">
        <f t="shared" si="78"/>
        <v>1036.2139357949211</v>
      </c>
      <c r="Y233" s="6">
        <f t="shared" si="79"/>
        <v>2030.9793141580453</v>
      </c>
      <c r="Z233" s="14">
        <f t="shared" si="69"/>
        <v>7.1615831334380389E-2</v>
      </c>
    </row>
    <row r="234" spans="1:26" hidden="1" x14ac:dyDescent="0.25">
      <c r="A234" t="str">
        <f>'rockfish harvests'!A241</f>
        <v>SE</v>
      </c>
      <c r="B234">
        <f>'rockfish harvests'!B241</f>
        <v>2012</v>
      </c>
      <c r="C234" t="str">
        <f>'rockfish harvests'!C241</f>
        <v>CSEO</v>
      </c>
      <c r="D234">
        <f>'rockfish harvests'!D241</f>
        <v>57675</v>
      </c>
      <c r="E234">
        <f>'YE harvest'!E242</f>
        <v>14295</v>
      </c>
      <c r="F234">
        <f>IF([2]species_comp_Region1_forR!$H16&gt;49,[2]species_comp_Region1_forR!$AM16,[2]species_comp_Region1_forR!$AO16)</f>
        <v>0.90166975900000002</v>
      </c>
      <c r="G234" s="49">
        <f>IF([2]species_comp_Region1_forR!$H16&gt;49,[2]species_comp_Region1_forR!$AN16,[2]species_comp_Region1_forR!$AP16)</f>
        <v>4.1142200000000001E-5</v>
      </c>
      <c r="H234" s="13">
        <f t="shared" si="80"/>
        <v>12889.369204905001</v>
      </c>
      <c r="I234">
        <f t="shared" si="71"/>
        <v>8407.2861719550001</v>
      </c>
      <c r="J234">
        <f t="shared" si="74"/>
        <v>91.691254609995383</v>
      </c>
      <c r="K234" s="6">
        <f t="shared" si="75"/>
        <v>179.71485903559093</v>
      </c>
      <c r="M234" s="2">
        <f>'rockfish harvests'!O241</f>
        <v>6152.5876396981548</v>
      </c>
      <c r="N234">
        <f>'rockfish harvests'!P241</f>
        <v>1027468.7062518544</v>
      </c>
      <c r="O234">
        <f>IF([2]species_comp_Region1_forR!$D38&gt;49,[2]species_comp_Region1_forR!$AI38,[2]species_comp_Region1_forR!$AK38)</f>
        <v>0.34678624800000002</v>
      </c>
      <c r="P234">
        <f>IF([2]species_comp_Region1_forR!$D38&gt;49,[2]species_comp_Region1_forR!$AJ38,[2]species_comp_Region1_forR!$AL38)</f>
        <v>3.3911E-4</v>
      </c>
      <c r="Q234" s="13">
        <f t="shared" si="64"/>
        <v>2133.632783062099</v>
      </c>
      <c r="R234" s="14">
        <f t="shared" si="65"/>
        <v>136052.46620834467</v>
      </c>
      <c r="S234">
        <f t="shared" si="76"/>
        <v>368.8529059236821</v>
      </c>
      <c r="T234" s="6">
        <f t="shared" si="77"/>
        <v>722.95169561041689</v>
      </c>
      <c r="V234" s="13">
        <f t="shared" si="72"/>
        <v>15023.0019879671</v>
      </c>
      <c r="W234">
        <f t="shared" si="73"/>
        <v>144459.75238029967</v>
      </c>
      <c r="X234">
        <f t="shared" si="78"/>
        <v>380.07861342135482</v>
      </c>
      <c r="Y234" s="6">
        <f t="shared" si="79"/>
        <v>744.95408230585542</v>
      </c>
      <c r="Z234" s="14">
        <f t="shared" si="69"/>
        <v>2.5299777882329011E-2</v>
      </c>
    </row>
    <row r="235" spans="1:26" hidden="1" x14ac:dyDescent="0.25">
      <c r="A235" t="str">
        <f>'rockfish harvests'!A242</f>
        <v>SE</v>
      </c>
      <c r="B235">
        <f>'rockfish harvests'!B242</f>
        <v>2013</v>
      </c>
      <c r="C235" t="str">
        <f>'rockfish harvests'!C242</f>
        <v>CSEO</v>
      </c>
      <c r="D235">
        <f>'rockfish harvests'!D242</f>
        <v>60735</v>
      </c>
      <c r="E235">
        <f>'YE harvest'!E243</f>
        <v>12452</v>
      </c>
      <c r="F235">
        <f>IF([2]species_comp_Region1_forR!$H17&gt;49,[2]species_comp_Region1_forR!$AM17,[2]species_comp_Region1_forR!$AO17)</f>
        <v>0.84113300499999999</v>
      </c>
      <c r="G235" s="49">
        <f>IF([2]species_comp_Region1_forR!$H17&gt;49,[2]species_comp_Region1_forR!$AN17,[2]species_comp_Region1_forR!$AP17)</f>
        <v>5.4878099999999999E-5</v>
      </c>
      <c r="H235" s="13">
        <f t="shared" si="80"/>
        <v>10473.78817826</v>
      </c>
      <c r="I235">
        <f t="shared" si="71"/>
        <v>8508.9758441424001</v>
      </c>
      <c r="J235">
        <f t="shared" si="74"/>
        <v>92.244110078326415</v>
      </c>
      <c r="K235" s="6">
        <f t="shared" si="75"/>
        <v>180.79845575351976</v>
      </c>
      <c r="M235" s="2">
        <f>'rockfish harvests'!O242</f>
        <v>9629.9871638141776</v>
      </c>
      <c r="N235">
        <f>'rockfish harvests'!P242</f>
        <v>3833914.1323344847</v>
      </c>
      <c r="O235">
        <f>IF([2]species_comp_Region1_forR!$D39&gt;49,[2]species_comp_Region1_forR!$AI39,[2]species_comp_Region1_forR!$AK39)</f>
        <v>0.31481481500000003</v>
      </c>
      <c r="P235">
        <f>IF([2]species_comp_Region1_forR!$D39&gt;49,[2]species_comp_Region1_forR!$AJ39,[2]species_comp_Region1_forR!$AL39)</f>
        <v>2.35231E-4</v>
      </c>
      <c r="Q235" s="13">
        <f t="shared" si="64"/>
        <v>3031.6626274285354</v>
      </c>
      <c r="R235" s="14">
        <f t="shared" si="65"/>
        <v>400885.65183805337</v>
      </c>
      <c r="S235">
        <f t="shared" si="76"/>
        <v>633.15531415131738</v>
      </c>
      <c r="T235" s="6">
        <f t="shared" si="77"/>
        <v>1240.9844157365822</v>
      </c>
      <c r="V235" s="13">
        <f t="shared" si="72"/>
        <v>13505.450805688535</v>
      </c>
      <c r="W235">
        <f t="shared" si="73"/>
        <v>409394.62768219574</v>
      </c>
      <c r="X235">
        <f t="shared" si="78"/>
        <v>639.83953275973477</v>
      </c>
      <c r="Y235" s="6">
        <f t="shared" si="79"/>
        <v>1254.0854842090801</v>
      </c>
      <c r="Z235" s="14">
        <f t="shared" si="69"/>
        <v>4.7376392092756542E-2</v>
      </c>
    </row>
    <row r="236" spans="1:26" hidden="1" x14ac:dyDescent="0.25">
      <c r="A236" t="str">
        <f>'rockfish harvests'!A243</f>
        <v>SE</v>
      </c>
      <c r="B236">
        <f>'rockfish harvests'!B243</f>
        <v>2014</v>
      </c>
      <c r="C236" t="str">
        <f>'rockfish harvests'!C243</f>
        <v>CSEO</v>
      </c>
      <c r="D236">
        <f>'rockfish harvests'!D243</f>
        <v>73709</v>
      </c>
      <c r="E236">
        <f>'YE harvest'!E244</f>
        <v>13508</v>
      </c>
      <c r="F236">
        <f>IF([2]species_comp_Region1_forR!$H18&gt;49,[2]species_comp_Region1_forR!$AM18,[2]species_comp_Region1_forR!$AO18)</f>
        <v>0.78010204100000002</v>
      </c>
      <c r="G236" s="49">
        <f>IF([2]species_comp_Region1_forR!$H18&gt;49,[2]species_comp_Region1_forR!$AN18,[2]species_comp_Region1_forR!$AP18)</f>
        <v>8.7566500000000003E-5</v>
      </c>
      <c r="H236" s="13">
        <f t="shared" si="80"/>
        <v>10537.618369828</v>
      </c>
      <c r="I236">
        <f t="shared" si="71"/>
        <v>15977.914593256</v>
      </c>
      <c r="J236">
        <f t="shared" si="74"/>
        <v>126.40377602451598</v>
      </c>
      <c r="K236" s="6">
        <f t="shared" si="75"/>
        <v>247.75140100805132</v>
      </c>
      <c r="M236" s="2">
        <f>'rockfish harvests'!O243</f>
        <v>12999.052896462119</v>
      </c>
      <c r="N236">
        <f>'rockfish harvests'!P243</f>
        <v>10006306.818414057</v>
      </c>
      <c r="O236">
        <f>IF([2]species_comp_Region1_forR!$D40&gt;49,[2]species_comp_Region1_forR!$AI40,[2]species_comp_Region1_forR!$AK40)</f>
        <v>0.29716981100000001</v>
      </c>
      <c r="P236">
        <f>IF([2]species_comp_Region1_forR!$D40&gt;49,[2]species_comp_Region1_forR!$AJ40,[2]species_comp_Region1_forR!$AL40)</f>
        <v>1.9722399999999999E-4</v>
      </c>
      <c r="Q236" s="13">
        <f t="shared" si="64"/>
        <v>3862.9260924206505</v>
      </c>
      <c r="R236" s="14">
        <f t="shared" si="65"/>
        <v>915008.435920291</v>
      </c>
      <c r="S236">
        <f t="shared" si="76"/>
        <v>956.56073300146033</v>
      </c>
      <c r="T236" s="6">
        <f t="shared" si="77"/>
        <v>1874.8590366828623</v>
      </c>
      <c r="V236" s="13">
        <f t="shared" si="72"/>
        <v>14400.54446224865</v>
      </c>
      <c r="W236">
        <f t="shared" si="73"/>
        <v>930986.35051354696</v>
      </c>
      <c r="X236">
        <f t="shared" si="78"/>
        <v>964.87633949307042</v>
      </c>
      <c r="Y236" s="6">
        <f t="shared" si="79"/>
        <v>1891.157625406418</v>
      </c>
      <c r="Z236" s="14">
        <f t="shared" si="69"/>
        <v>6.7002767987176831E-2</v>
      </c>
    </row>
    <row r="237" spans="1:26" hidden="1" x14ac:dyDescent="0.25">
      <c r="A237" t="str">
        <f>'rockfish harvests'!A244</f>
        <v>SE</v>
      </c>
      <c r="B237">
        <f>'rockfish harvests'!B244</f>
        <v>2015</v>
      </c>
      <c r="C237" t="str">
        <f>'rockfish harvests'!C244</f>
        <v>CSEO</v>
      </c>
      <c r="D237">
        <f>'rockfish harvests'!D244</f>
        <v>80105</v>
      </c>
      <c r="E237">
        <f>'YE harvest'!E245</f>
        <v>16888</v>
      </c>
      <c r="F237">
        <f>IF([2]species_comp_Region1_forR!$H19&gt;49,[2]species_comp_Region1_forR!$AM19,[2]species_comp_Region1_forR!$AO19)</f>
        <v>0.863247863</v>
      </c>
      <c r="G237" s="49">
        <f>IF([2]species_comp_Region1_forR!$H19&gt;49,[2]species_comp_Region1_forR!$AN19,[2]species_comp_Region1_forR!$AP19)</f>
        <v>4.3885099999999998E-5</v>
      </c>
      <c r="H237" s="13">
        <f t="shared" si="80"/>
        <v>14578.529910343999</v>
      </c>
      <c r="I237">
        <f t="shared" si="71"/>
        <v>12516.229933894399</v>
      </c>
      <c r="J237">
        <f t="shared" si="74"/>
        <v>111.87595780101459</v>
      </c>
      <c r="K237" s="6">
        <f t="shared" si="75"/>
        <v>219.27687728998859</v>
      </c>
      <c r="M237" s="2">
        <f>'rockfish harvests'!O244</f>
        <v>8154.5459903117735</v>
      </c>
      <c r="N237">
        <f>'rockfish harvests'!P244</f>
        <v>3137762.110543259</v>
      </c>
      <c r="O237">
        <f>IF([2]species_comp_Region1_forR!$D41&gt;49,[2]species_comp_Region1_forR!$AI41,[2]species_comp_Region1_forR!$AK41)</f>
        <v>0.34582942799999999</v>
      </c>
      <c r="P237">
        <f>IF([2]species_comp_Region1_forR!$D41&gt;49,[2]species_comp_Region1_forR!$AJ41,[2]species_comp_Region1_forR!$AL41)</f>
        <v>2.12225E-4</v>
      </c>
      <c r="Q237" s="13">
        <f t="shared" si="64"/>
        <v>2820.0819754292143</v>
      </c>
      <c r="R237" s="14">
        <f t="shared" si="65"/>
        <v>388716.38546312501</v>
      </c>
      <c r="S237">
        <f t="shared" si="76"/>
        <v>623.47123868156507</v>
      </c>
      <c r="T237" s="6">
        <f t="shared" si="77"/>
        <v>1222.0036278158675</v>
      </c>
      <c r="V237" s="13">
        <f t="shared" si="72"/>
        <v>17398.611885773214</v>
      </c>
      <c r="W237">
        <f t="shared" si="73"/>
        <v>401232.61539701943</v>
      </c>
      <c r="X237">
        <f t="shared" si="78"/>
        <v>633.42925050633664</v>
      </c>
      <c r="Y237" s="6">
        <f t="shared" si="79"/>
        <v>1241.5213309924197</v>
      </c>
      <c r="Z237" s="14">
        <f t="shared" si="69"/>
        <v>3.6406884334507721E-2</v>
      </c>
    </row>
    <row r="238" spans="1:26" hidden="1" x14ac:dyDescent="0.25">
      <c r="A238" t="str">
        <f>'rockfish harvests'!A245</f>
        <v>SE</v>
      </c>
      <c r="B238">
        <f>'rockfish harvests'!B245</f>
        <v>2016</v>
      </c>
      <c r="C238" t="str">
        <f>'rockfish harvests'!C245</f>
        <v>CSEO</v>
      </c>
      <c r="D238">
        <f>'rockfish harvests'!D245</f>
        <v>54908</v>
      </c>
      <c r="E238">
        <f>'YE harvest'!E246</f>
        <v>12620</v>
      </c>
      <c r="F238">
        <f>IF([2]species_comp_Region1_forR!$H20&gt;49,[2]species_comp_Region1_forR!$AM20,[2]species_comp_Region1_forR!$AO20)</f>
        <v>0.86723290099999994</v>
      </c>
      <c r="G238" s="49">
        <f>IF([2]species_comp_Region1_forR!$H20&gt;49,[2]species_comp_Region1_forR!$AN20,[2]species_comp_Region1_forR!$AP20)</f>
        <v>5.1493699999999998E-5</v>
      </c>
      <c r="H238" s="13">
        <f t="shared" si="80"/>
        <v>10944.479210619998</v>
      </c>
      <c r="I238">
        <f t="shared" si="71"/>
        <v>8201.1132342799992</v>
      </c>
      <c r="J238">
        <f t="shared" si="74"/>
        <v>90.559997980786193</v>
      </c>
      <c r="K238" s="6">
        <f t="shared" si="75"/>
        <v>177.49759604234094</v>
      </c>
      <c r="M238" s="2">
        <f>'rockfish harvests'!O245</f>
        <v>8439.7721422199611</v>
      </c>
      <c r="N238">
        <f>'rockfish harvests'!P245</f>
        <v>2423165.6191606135</v>
      </c>
      <c r="O238">
        <f>IF([2]species_comp_Region1_forR!$D42&gt;49,[2]species_comp_Region1_forR!$AI42,[2]species_comp_Region1_forR!$AK42)</f>
        <v>0.37969283300000001</v>
      </c>
      <c r="P238">
        <f>IF([2]species_comp_Region1_forR!$D42&gt;49,[2]species_comp_Region1_forR!$AJ42,[2]species_comp_Region1_forR!$AL42)</f>
        <v>2.0113299999999999E-4</v>
      </c>
      <c r="Q238" s="13">
        <f t="shared" si="64"/>
        <v>3204.5209945539759</v>
      </c>
      <c r="R238" s="14">
        <f t="shared" si="65"/>
        <v>363178.93898892973</v>
      </c>
      <c r="S238">
        <f t="shared" si="76"/>
        <v>602.6432933244422</v>
      </c>
      <c r="T238" s="6">
        <f t="shared" si="77"/>
        <v>1181.1808549159066</v>
      </c>
      <c r="V238" s="13">
        <f t="shared" si="72"/>
        <v>14149.000205173974</v>
      </c>
      <c r="W238">
        <f t="shared" si="73"/>
        <v>371380.05222320976</v>
      </c>
      <c r="X238">
        <f t="shared" si="78"/>
        <v>609.40959314996815</v>
      </c>
      <c r="Y238" s="6">
        <f t="shared" si="79"/>
        <v>1194.4428025739376</v>
      </c>
      <c r="Z238" s="14">
        <f t="shared" si="69"/>
        <v>4.3070859022754177E-2</v>
      </c>
    </row>
    <row r="239" spans="1:26" hidden="1" x14ac:dyDescent="0.25">
      <c r="A239" t="str">
        <f>'rockfish harvests'!A246</f>
        <v>SE</v>
      </c>
      <c r="B239">
        <f>'rockfish harvests'!B246</f>
        <v>2017</v>
      </c>
      <c r="C239" t="str">
        <f>'rockfish harvests'!C246</f>
        <v>CSEO</v>
      </c>
      <c r="D239">
        <f>'rockfish harvests'!D246</f>
        <v>57388</v>
      </c>
      <c r="E239">
        <f>'YE harvest'!E247</f>
        <v>11329</v>
      </c>
      <c r="F239">
        <f>IF([2]species_comp_Region1_forR!$H21&gt;49,[2]species_comp_Region1_forR!$AM21,[2]species_comp_Region1_forR!$AO21)</f>
        <v>0.79658385099999995</v>
      </c>
      <c r="G239" s="49">
        <f>IF([2]species_comp_Region1_forR!$H21&gt;49,[2]species_comp_Region1_forR!$AN21,[2]species_comp_Region1_forR!$AP21)</f>
        <v>8.3913999999999997E-5</v>
      </c>
      <c r="H239" s="13">
        <f t="shared" si="80"/>
        <v>9024.498447979</v>
      </c>
      <c r="I239">
        <f t="shared" si="71"/>
        <v>10770.046467274</v>
      </c>
      <c r="J239">
        <f t="shared" si="74"/>
        <v>103.77883438964807</v>
      </c>
      <c r="K239" s="6">
        <f t="shared" si="75"/>
        <v>203.40651540371022</v>
      </c>
      <c r="M239" s="2">
        <f>'rockfish harvests'!O246</f>
        <v>14552.082903438393</v>
      </c>
      <c r="N239">
        <f>'rockfish harvests'!P246</f>
        <v>13249322.287968032</v>
      </c>
      <c r="O239">
        <f>IF([2]species_comp_Region1_forR!$D43&gt;49,[2]species_comp_Region1_forR!$AI43,[2]species_comp_Region1_forR!$AK43)</f>
        <v>0.40052356</v>
      </c>
      <c r="P239">
        <f>IF([2]species_comp_Region1_forR!$D43&gt;49,[2]species_comp_Region1_forR!$AJ43,[2]species_comp_Region1_forR!$AL43)</f>
        <v>3.1468499999999999E-4</v>
      </c>
      <c r="Q239" s="13">
        <f t="shared" si="64"/>
        <v>5828.452049900282</v>
      </c>
      <c r="R239" s="14">
        <f t="shared" si="65"/>
        <v>2187913.9634905108</v>
      </c>
      <c r="S239">
        <f t="shared" si="76"/>
        <v>1479.1598843568299</v>
      </c>
      <c r="T239" s="6">
        <f t="shared" si="77"/>
        <v>2899.1533733393867</v>
      </c>
      <c r="V239" s="13">
        <f t="shared" si="72"/>
        <v>14852.950497879283</v>
      </c>
      <c r="W239">
        <f t="shared" si="73"/>
        <v>2198684.0099577848</v>
      </c>
      <c r="X239">
        <f t="shared" si="78"/>
        <v>1482.7960109056758</v>
      </c>
      <c r="Y239" s="6">
        <f t="shared" si="79"/>
        <v>2906.2801813751244</v>
      </c>
      <c r="Z239" s="14">
        <f t="shared" si="69"/>
        <v>9.9831747982826083E-2</v>
      </c>
    </row>
    <row r="240" spans="1:26" hidden="1" x14ac:dyDescent="0.25">
      <c r="A240" t="str">
        <f>'rockfish harvests'!A247</f>
        <v>SE</v>
      </c>
      <c r="B240">
        <f>'rockfish harvests'!B247</f>
        <v>2018</v>
      </c>
      <c r="C240" t="str">
        <f>'rockfish harvests'!C247</f>
        <v>CSEO</v>
      </c>
      <c r="D240">
        <f>'rockfish harvests'!D247</f>
        <v>55460</v>
      </c>
      <c r="E240">
        <f>'YE harvest'!E248</f>
        <v>10517</v>
      </c>
      <c r="F240">
        <f>IF([2]species_comp_Region1_forR!$H22&gt;49,[2]species_comp_Region1_forR!$AM22,[2]species_comp_Region1_forR!$AO22)</f>
        <v>0.76529160699999998</v>
      </c>
      <c r="G240" s="49">
        <f>IF([2]species_comp_Region1_forR!$H22&gt;49,[2]species_comp_Region1_forR!$AN22,[2]species_comp_Region1_forR!$AP22)</f>
        <v>8.5208899999999997E-5</v>
      </c>
      <c r="H240" s="13">
        <f>E240*F240</f>
        <v>8048.5718308189998</v>
      </c>
      <c r="I240">
        <f t="shared" si="71"/>
        <v>9424.7254276720996</v>
      </c>
      <c r="J240">
        <f t="shared" si="74"/>
        <v>97.081025065004852</v>
      </c>
      <c r="K240" s="6">
        <f t="shared" si="75"/>
        <v>190.27880912740952</v>
      </c>
      <c r="M240" s="2">
        <f>'rockfish harvests'!O247</f>
        <v>6239.0473207200412</v>
      </c>
      <c r="N240">
        <f>'rockfish harvests'!P247</f>
        <v>1305580.4963851175</v>
      </c>
      <c r="O240">
        <f>IF([2]species_comp_Region1_forR!$D44&gt;49,[2]species_comp_Region1_forR!$AI44,[2]species_comp_Region1_forR!$AK44)</f>
        <v>0.32442748100000002</v>
      </c>
      <c r="P240">
        <f>IF([2]species_comp_Region1_forR!$D44&gt;49,[2]species_comp_Region1_forR!$AJ44,[2]species_comp_Region1_forR!$AL44)</f>
        <v>2.79203E-4</v>
      </c>
      <c r="Q240" s="13">
        <f t="shared" si="64"/>
        <v>2024.1184061010022</v>
      </c>
      <c r="R240" s="14">
        <f t="shared" si="65"/>
        <v>147920.16603339012</v>
      </c>
      <c r="S240">
        <f t="shared" si="76"/>
        <v>384.60390797987236</v>
      </c>
      <c r="T240" s="6">
        <f t="shared" si="77"/>
        <v>753.82365964054986</v>
      </c>
      <c r="V240" s="13">
        <f t="shared" si="72"/>
        <v>10072.690236920002</v>
      </c>
      <c r="W240">
        <f t="shared" si="73"/>
        <v>157344.89146106222</v>
      </c>
      <c r="X240">
        <f t="shared" si="78"/>
        <v>396.66723013259138</v>
      </c>
      <c r="Y240" s="6">
        <f t="shared" si="79"/>
        <v>777.46777105987906</v>
      </c>
      <c r="Z240" s="14">
        <f t="shared" si="69"/>
        <v>3.9380465476706962E-2</v>
      </c>
    </row>
    <row r="241" spans="1:26" hidden="1" x14ac:dyDescent="0.25">
      <c r="A241" t="str">
        <f>'rockfish harvests'!A248</f>
        <v>SE</v>
      </c>
      <c r="B241">
        <f>'rockfish harvests'!B248</f>
        <v>2019</v>
      </c>
      <c r="C241" t="str">
        <f>'rockfish harvests'!C248</f>
        <v>CSEO</v>
      </c>
      <c r="D241">
        <f>'rockfish harvests'!D248</f>
        <v>59842</v>
      </c>
      <c r="E241">
        <f>'YE harvest'!E249</f>
        <v>8780</v>
      </c>
      <c r="F241">
        <v>0.90160427807486632</v>
      </c>
      <c r="G241" s="49">
        <v>9.4982873481761726E-5</v>
      </c>
      <c r="H241" s="13">
        <f>E241*F241</f>
        <v>7916.0855614973261</v>
      </c>
      <c r="I241">
        <f>(E241^2)*G241</f>
        <v>7322.0777441114406</v>
      </c>
      <c r="K241" s="6"/>
      <c r="M241" s="2">
        <f>'rockfish harvests'!O248</f>
        <v>9834.2503043694014</v>
      </c>
      <c r="N241">
        <f>'rockfish harvests'!P248</f>
        <v>3923387.5515685715</v>
      </c>
      <c r="O241">
        <v>0.32483221476510066</v>
      </c>
      <c r="P241">
        <v>2.9477990190309166E-4</v>
      </c>
      <c r="Q241" s="13">
        <f>M241*O241</f>
        <v>3194.481306922678</v>
      </c>
      <c r="R241" s="14">
        <f>(M241^2)*P241+(O241^2)*N241-(P241*N241)</f>
        <v>441332.3936482108</v>
      </c>
      <c r="S241"/>
      <c r="T241" s="6"/>
      <c r="V241" s="13">
        <f>Q241+H241</f>
        <v>11110.566868420005</v>
      </c>
      <c r="W241">
        <f>R241+I241</f>
        <v>448654.47139232222</v>
      </c>
      <c r="X241">
        <f t="shared" si="78"/>
        <v>669.81674463417392</v>
      </c>
      <c r="Y241" s="6">
        <f>(1.96*X241)</f>
        <v>1312.8408194829808</v>
      </c>
      <c r="Z241" s="14">
        <f t="shared" si="69"/>
        <v>6.0286459958944133E-2</v>
      </c>
    </row>
    <row r="242" spans="1:26" hidden="1" x14ac:dyDescent="0.25">
      <c r="A242" t="str">
        <f>'rockfish harvests'!A249</f>
        <v>SE</v>
      </c>
      <c r="B242">
        <f>'rockfish harvests'!B249</f>
        <v>2020</v>
      </c>
      <c r="C242" t="str">
        <f>'rockfish harvests'!C249</f>
        <v>CSEO</v>
      </c>
      <c r="D242">
        <f>'rockfish harvests'!D249</f>
        <v>24728</v>
      </c>
      <c r="E242">
        <f>'YE harvest'!E250</f>
        <v>824</v>
      </c>
      <c r="F242" t="s">
        <v>214</v>
      </c>
      <c r="G242" t="s">
        <v>215</v>
      </c>
      <c r="H242" s="13">
        <f t="shared" ref="H242:H243" si="81">E242*F242</f>
        <v>6.0588235294117663</v>
      </c>
      <c r="I242">
        <f t="shared" ref="I242:I243" si="82">(E242^2)*G242</f>
        <v>1.5510989814318419</v>
      </c>
      <c r="J242">
        <f t="shared" ref="J242" si="83">SQRT(I242)</f>
        <v>1.2454312431571009</v>
      </c>
      <c r="K242" s="6">
        <f t="shared" ref="K242" si="84">(1.96*J242)</f>
        <v>2.4410452365879176</v>
      </c>
      <c r="M242" s="2">
        <f>'rockfish harvests'!O249</f>
        <v>5579.5825129317564</v>
      </c>
      <c r="N242">
        <f>'rockfish harvests'!P249</f>
        <v>3148769.5238355137</v>
      </c>
      <c r="O242">
        <v>8.1081081081081086E-3</v>
      </c>
      <c r="P242">
        <v>2.17950316829684E-5</v>
      </c>
      <c r="Q242" s="13">
        <f t="shared" ref="Q242:Q243" si="85">M242*O242</f>
        <v>45.239858212960186</v>
      </c>
      <c r="R242" s="14">
        <f t="shared" ref="R242:R243" si="86">(M242^2)*P242+(O242^2)*N242-(P242*N242)</f>
        <v>816.89432090776381</v>
      </c>
      <c r="S242">
        <f t="shared" ref="S242:S243" si="87">SQRT(R242)</f>
        <v>28.581363174414264</v>
      </c>
      <c r="T242" s="6">
        <f t="shared" ref="T242:T243" si="88">(1.96*S242)</f>
        <v>56.019471821851958</v>
      </c>
      <c r="V242" s="13">
        <f t="shared" ref="V242:V243" si="89">Q242+H242</f>
        <v>51.298681742371954</v>
      </c>
      <c r="W242">
        <f t="shared" ref="W242:W243" si="90">R242+I242</f>
        <v>818.4454198891957</v>
      </c>
      <c r="X242">
        <f t="shared" ref="X242:X243" si="91">SQRT(W242)</f>
        <v>28.608485103010885</v>
      </c>
      <c r="Y242" s="6">
        <f t="shared" ref="Y242:Y243" si="92">(1.96*X242)</f>
        <v>56.072630801901333</v>
      </c>
      <c r="Z242" s="14">
        <f t="shared" ref="Z242:Z243" si="93">X242/V242</f>
        <v>0.55768460575041834</v>
      </c>
    </row>
    <row r="243" spans="1:26" hidden="1" x14ac:dyDescent="0.25">
      <c r="A243" t="str">
        <f>'rockfish harvests'!A250</f>
        <v>SE</v>
      </c>
      <c r="B243">
        <f>'rockfish harvests'!B250</f>
        <v>2021</v>
      </c>
      <c r="C243" t="str">
        <f>'rockfish harvests'!C250</f>
        <v>CSEO</v>
      </c>
      <c r="D243">
        <f>'rockfish harvests'!D250</f>
        <v>56521</v>
      </c>
      <c r="E243">
        <f>'YE harvest'!E251</f>
        <v>2821</v>
      </c>
      <c r="F243" t="s">
        <v>216</v>
      </c>
      <c r="G243" t="s">
        <v>217</v>
      </c>
      <c r="H243" s="13">
        <f t="shared" si="81"/>
        <v>44.078125</v>
      </c>
      <c r="I243">
        <f t="shared" si="82"/>
        <v>13.326239468860571</v>
      </c>
      <c r="K243" s="6"/>
      <c r="M243" s="2">
        <f>'rockfish harvests'!O250</f>
        <v>6300.3832456916716</v>
      </c>
      <c r="N243">
        <f>'rockfish harvests'!P250</f>
        <v>1468791.0672018982</v>
      </c>
      <c r="O243">
        <v>8.5106382978723406E-3</v>
      </c>
      <c r="P243">
        <v>1.7991913291332898E-5</v>
      </c>
      <c r="Q243" s="13">
        <f t="shared" si="85"/>
        <v>53.620282942056782</v>
      </c>
      <c r="R243" s="14">
        <f t="shared" si="86"/>
        <v>794.14551398485946</v>
      </c>
      <c r="S243">
        <f t="shared" si="87"/>
        <v>28.180587537964133</v>
      </c>
      <c r="T243" s="6">
        <f t="shared" si="88"/>
        <v>55.233951574409701</v>
      </c>
      <c r="V243" s="13">
        <f t="shared" si="89"/>
        <v>97.698407942056775</v>
      </c>
      <c r="W243">
        <f t="shared" si="90"/>
        <v>807.47175345372</v>
      </c>
      <c r="X243">
        <f t="shared" si="91"/>
        <v>28.416047463602673</v>
      </c>
      <c r="Y243" s="6">
        <f t="shared" si="92"/>
        <v>55.695453028661241</v>
      </c>
      <c r="Z243" s="14">
        <f t="shared" si="93"/>
        <v>0.29085476480287925</v>
      </c>
    </row>
    <row r="244" spans="1:26" hidden="1" x14ac:dyDescent="0.25">
      <c r="A244" t="s">
        <v>151</v>
      </c>
      <c r="B244">
        <v>2022</v>
      </c>
      <c r="C244" t="s">
        <v>42</v>
      </c>
      <c r="D244">
        <f>'rockfish harvests'!D251</f>
        <v>67729</v>
      </c>
      <c r="E244">
        <f>'YE harvest'!E252</f>
        <v>3398</v>
      </c>
      <c r="F244" t="s">
        <v>218</v>
      </c>
      <c r="G244" t="s">
        <v>219</v>
      </c>
      <c r="H244" s="13">
        <f t="shared" ref="H244" si="94">E244*F244</f>
        <v>191.82258064516125</v>
      </c>
      <c r="I244">
        <f t="shared" ref="I244" si="95">(E244^2)*G244</f>
        <v>64.111042070977632</v>
      </c>
      <c r="K244" s="6"/>
      <c r="M244" s="2">
        <f>'rockfish harvests'!O251</f>
        <v>11225.939425595861</v>
      </c>
      <c r="N244">
        <f>'rockfish harvests'!P251</f>
        <v>5307635.0491281012</v>
      </c>
      <c r="O244" t="s">
        <v>220</v>
      </c>
      <c r="P244" t="s">
        <v>221</v>
      </c>
      <c r="Q244" s="13">
        <f t="shared" ref="Q244" si="96">M244*O244</f>
        <v>292.85059371119604</v>
      </c>
      <c r="R244" s="14">
        <f t="shared" ref="R244" si="97">(M244^2)*P244+(O244^2)*N244-(P244*N244)</f>
        <v>8955.0560664682234</v>
      </c>
      <c r="S244"/>
      <c r="T244" s="6"/>
      <c r="V244" s="13">
        <f t="shared" ref="V244" si="98">Q244+H244</f>
        <v>484.67317435635732</v>
      </c>
      <c r="W244">
        <f t="shared" ref="W244" si="99">R244+I244</f>
        <v>9019.1671085392009</v>
      </c>
      <c r="X244">
        <f t="shared" ref="X244" si="100">SQRT(W244)</f>
        <v>94.969295609366299</v>
      </c>
      <c r="Y244" s="6">
        <f t="shared" ref="Y244" si="101">(1.96*X244)</f>
        <v>186.13981939435794</v>
      </c>
      <c r="Z244" s="14">
        <f t="shared" ref="Z244" si="102">X244/V244</f>
        <v>0.19594502158178009</v>
      </c>
    </row>
    <row r="245" spans="1:26" hidden="1" x14ac:dyDescent="0.25">
      <c r="A245" t="str">
        <f>'rockfish harvests'!A252</f>
        <v>SE</v>
      </c>
      <c r="B245">
        <f>'rockfish harvests'!B252</f>
        <v>1998</v>
      </c>
      <c r="C245" t="str">
        <f>'rockfish harvests'!C252</f>
        <v>EWYKT</v>
      </c>
      <c r="D245">
        <f>'rockfish harvests'!D252</f>
        <v>1305</v>
      </c>
      <c r="E245">
        <f>'YE harvest'!E253</f>
        <v>606</v>
      </c>
      <c r="F245" s="32">
        <v>0.98821147200000004</v>
      </c>
      <c r="G245" s="32">
        <v>5.1523900000000002E-4</v>
      </c>
      <c r="H245" s="13">
        <f t="shared" ref="H245:H252" si="103">E245*F245</f>
        <v>598.85615203200007</v>
      </c>
      <c r="I245">
        <f t="shared" si="71"/>
        <v>189.21430940400001</v>
      </c>
      <c r="J245">
        <f t="shared" si="74"/>
        <v>13.75551923425648</v>
      </c>
      <c r="K245" s="6">
        <f t="shared" si="75"/>
        <v>26.960817699142702</v>
      </c>
      <c r="M245" s="2">
        <f>'rockfish harvests'!O252</f>
        <v>340.03895326402039</v>
      </c>
      <c r="N245">
        <f>'rockfish harvests'!P252</f>
        <v>27091.93854220381</v>
      </c>
      <c r="O245" s="50">
        <f t="shared" ref="O245:P265" si="104">O295</f>
        <v>0.32828362700000002</v>
      </c>
      <c r="P245" s="50">
        <f t="shared" si="104"/>
        <v>2.2094531000000001E-2</v>
      </c>
      <c r="Q245" s="13">
        <f t="shared" si="64"/>
        <v>111.62922089879611</v>
      </c>
      <c r="R245" s="14">
        <f t="shared" si="65"/>
        <v>4875.8313889038163</v>
      </c>
      <c r="S245">
        <f t="shared" si="76"/>
        <v>69.827153664629748</v>
      </c>
      <c r="T245" s="6">
        <f t="shared" si="77"/>
        <v>136.86122118267431</v>
      </c>
      <c r="V245" s="13">
        <f t="shared" si="72"/>
        <v>710.48537293079619</v>
      </c>
      <c r="W245">
        <f t="shared" si="73"/>
        <v>5065.0456983078166</v>
      </c>
      <c r="X245">
        <f t="shared" si="78"/>
        <v>71.169134449618085</v>
      </c>
      <c r="Y245" s="6">
        <f t="shared" si="79"/>
        <v>139.49150352125145</v>
      </c>
      <c r="Z245" s="14">
        <f t="shared" si="69"/>
        <v>0.10016973911234935</v>
      </c>
    </row>
    <row r="246" spans="1:26" hidden="1" x14ac:dyDescent="0.25">
      <c r="A246" t="str">
        <f>'rockfish harvests'!A253</f>
        <v>SE</v>
      </c>
      <c r="B246">
        <f>'rockfish harvests'!B253</f>
        <v>1999</v>
      </c>
      <c r="C246" t="str">
        <f>'rockfish harvests'!C253</f>
        <v>EWYKT</v>
      </c>
      <c r="D246">
        <f>'rockfish harvests'!D253</f>
        <v>663</v>
      </c>
      <c r="E246">
        <f>'YE harvest'!E254</f>
        <v>116</v>
      </c>
      <c r="F246" s="32">
        <v>0.98821147200000004</v>
      </c>
      <c r="G246" s="32">
        <v>5.1523900000000002E-4</v>
      </c>
      <c r="H246" s="13">
        <f t="shared" si="103"/>
        <v>114.63253075200001</v>
      </c>
      <c r="I246">
        <f t="shared" si="71"/>
        <v>6.9330559840000001</v>
      </c>
      <c r="J246">
        <f t="shared" si="74"/>
        <v>2.6330696884055311</v>
      </c>
      <c r="K246" s="6">
        <f t="shared" si="75"/>
        <v>5.160816589274841</v>
      </c>
      <c r="M246" s="2">
        <f>'rockfish harvests'!O253</f>
        <v>172.7554222329851</v>
      </c>
      <c r="N246">
        <f>'rockfish harvests'!P253</f>
        <v>6992.7196212962144</v>
      </c>
      <c r="O246" s="50">
        <f t="shared" si="104"/>
        <v>0.32828362700000002</v>
      </c>
      <c r="P246" s="50">
        <f t="shared" si="104"/>
        <v>2.2094531000000001E-2</v>
      </c>
      <c r="Q246" s="13">
        <f t="shared" si="64"/>
        <v>56.712776594560793</v>
      </c>
      <c r="R246" s="14">
        <f t="shared" si="65"/>
        <v>1258.5043248273291</v>
      </c>
      <c r="S246">
        <f t="shared" si="76"/>
        <v>35.475404505478572</v>
      </c>
      <c r="T246" s="6">
        <f t="shared" si="77"/>
        <v>69.531792830737999</v>
      </c>
      <c r="V246" s="13">
        <f t="shared" si="72"/>
        <v>171.34530734656079</v>
      </c>
      <c r="W246">
        <f t="shared" si="73"/>
        <v>1265.4373808113291</v>
      </c>
      <c r="X246">
        <f t="shared" si="78"/>
        <v>35.572986672633057</v>
      </c>
      <c r="Y246" s="6">
        <f t="shared" si="79"/>
        <v>69.723053878360787</v>
      </c>
      <c r="Z246" s="14">
        <f t="shared" si="69"/>
        <v>0.20760992654840321</v>
      </c>
    </row>
    <row r="247" spans="1:26" hidden="1" x14ac:dyDescent="0.25">
      <c r="A247" t="str">
        <f>'rockfish harvests'!A254</f>
        <v>SE</v>
      </c>
      <c r="B247">
        <f>'rockfish harvests'!B254</f>
        <v>2000</v>
      </c>
      <c r="C247" t="str">
        <f>'rockfish harvests'!C254</f>
        <v>EWYKT</v>
      </c>
      <c r="D247">
        <f>'rockfish harvests'!D254</f>
        <v>1199</v>
      </c>
      <c r="E247">
        <f>'YE harvest'!E255</f>
        <v>142</v>
      </c>
      <c r="F247" s="32">
        <v>0.98821147200000004</v>
      </c>
      <c r="G247" s="32">
        <v>5.1523900000000002E-4</v>
      </c>
      <c r="H247" s="13">
        <f t="shared" si="103"/>
        <v>140.32602902400001</v>
      </c>
      <c r="I247">
        <f t="shared" si="71"/>
        <v>10.389279196</v>
      </c>
      <c r="J247">
        <f t="shared" si="74"/>
        <v>3.2232404806343569</v>
      </c>
      <c r="K247" s="6">
        <f t="shared" si="75"/>
        <v>6.3175513420433393</v>
      </c>
      <c r="M247" s="2">
        <f>'rockfish harvests'!O254</f>
        <v>312.41893100655966</v>
      </c>
      <c r="N247">
        <f>'rockfish harvests'!P254</f>
        <v>22869.539754384543</v>
      </c>
      <c r="O247" s="50">
        <f t="shared" si="104"/>
        <v>0.32828362700000002</v>
      </c>
      <c r="P247" s="50">
        <f t="shared" si="104"/>
        <v>2.2094531000000001E-2</v>
      </c>
      <c r="Q247" s="13">
        <f t="shared" si="64"/>
        <v>102.56201981429618</v>
      </c>
      <c r="R247" s="14">
        <f t="shared" si="65"/>
        <v>4115.9114402428113</v>
      </c>
      <c r="S247">
        <f t="shared" si="76"/>
        <v>64.155369535548715</v>
      </c>
      <c r="T247" s="6">
        <f t="shared" si="77"/>
        <v>125.74452428967548</v>
      </c>
      <c r="V247" s="13">
        <f t="shared" si="72"/>
        <v>242.88804883829619</v>
      </c>
      <c r="W247">
        <f t="shared" si="73"/>
        <v>4126.300719438811</v>
      </c>
      <c r="X247">
        <f t="shared" si="78"/>
        <v>64.236288182294672</v>
      </c>
      <c r="Y247" s="6">
        <f t="shared" si="79"/>
        <v>125.90312483729755</v>
      </c>
      <c r="Z247" s="14">
        <f t="shared" si="69"/>
        <v>0.26446870683645812</v>
      </c>
    </row>
    <row r="248" spans="1:26" hidden="1" x14ac:dyDescent="0.25">
      <c r="A248" t="str">
        <f>'rockfish harvests'!A255</f>
        <v>SE</v>
      </c>
      <c r="B248">
        <f>'rockfish harvests'!B255</f>
        <v>2001</v>
      </c>
      <c r="C248" t="str">
        <f>'rockfish harvests'!C255</f>
        <v>EWYKT</v>
      </c>
      <c r="D248">
        <f>'rockfish harvests'!D255</f>
        <v>1043</v>
      </c>
      <c r="E248">
        <f>'YE harvest'!E256</f>
        <v>152</v>
      </c>
      <c r="F248" s="32">
        <v>0.98821147200000004</v>
      </c>
      <c r="G248" s="32">
        <v>5.1523900000000002E-4</v>
      </c>
      <c r="H248" s="13">
        <f t="shared" si="103"/>
        <v>150.20814374400001</v>
      </c>
      <c r="I248">
        <f t="shared" si="71"/>
        <v>11.904081856000001</v>
      </c>
      <c r="J248">
        <f t="shared" si="74"/>
        <v>3.450229246876213</v>
      </c>
      <c r="K248" s="6">
        <f t="shared" si="75"/>
        <v>6.7624493238773775</v>
      </c>
      <c r="M248" s="2">
        <f>'rockfish harvests'!O255</f>
        <v>271.77059636350441</v>
      </c>
      <c r="N248">
        <f>'rockfish harvests'!P255</f>
        <v>17305.640405277591</v>
      </c>
      <c r="O248" s="50">
        <f t="shared" si="104"/>
        <v>0.32828362700000002</v>
      </c>
      <c r="P248" s="50">
        <f t="shared" si="104"/>
        <v>2.2094531000000001E-2</v>
      </c>
      <c r="Q248" s="13">
        <f t="shared" si="64"/>
        <v>89.217837086164238</v>
      </c>
      <c r="R248" s="14">
        <f t="shared" si="65"/>
        <v>3114.5569211183797</v>
      </c>
      <c r="S248">
        <f t="shared" si="76"/>
        <v>55.808215534259645</v>
      </c>
      <c r="T248" s="6">
        <f t="shared" si="77"/>
        <v>109.3841024471489</v>
      </c>
      <c r="V248" s="13">
        <f t="shared" si="72"/>
        <v>239.42598083016424</v>
      </c>
      <c r="W248">
        <f t="shared" si="73"/>
        <v>3126.4610029743799</v>
      </c>
      <c r="X248">
        <f t="shared" si="78"/>
        <v>55.914765518370729</v>
      </c>
      <c r="Y248" s="6">
        <f t="shared" si="79"/>
        <v>109.59294041600663</v>
      </c>
      <c r="Z248" s="14">
        <f t="shared" si="69"/>
        <v>0.23353675037477917</v>
      </c>
    </row>
    <row r="249" spans="1:26" hidden="1" x14ac:dyDescent="0.25">
      <c r="A249" t="str">
        <f>'rockfish harvests'!A256</f>
        <v>SE</v>
      </c>
      <c r="B249">
        <f>'rockfish harvests'!B256</f>
        <v>2002</v>
      </c>
      <c r="C249" t="str">
        <f>'rockfish harvests'!C256</f>
        <v>EWYKT</v>
      </c>
      <c r="D249">
        <f>'rockfish harvests'!D256</f>
        <v>893</v>
      </c>
      <c r="E249">
        <f>'YE harvest'!E257</f>
        <v>102</v>
      </c>
      <c r="F249" s="32">
        <v>0.98821147200000004</v>
      </c>
      <c r="G249" s="32">
        <v>5.1523900000000002E-4</v>
      </c>
      <c r="H249" s="13">
        <f t="shared" si="103"/>
        <v>100.79757014400001</v>
      </c>
      <c r="I249">
        <f t="shared" si="71"/>
        <v>5.3605465560000001</v>
      </c>
      <c r="J249">
        <f t="shared" si="74"/>
        <v>2.3152854156669322</v>
      </c>
      <c r="K249" s="6">
        <f t="shared" si="75"/>
        <v>4.5379594147071876</v>
      </c>
      <c r="M249" s="2">
        <f>'rockfish harvests'!O256</f>
        <v>232.6856592067204</v>
      </c>
      <c r="N249">
        <f>'rockfish harvests'!P256</f>
        <v>12685.920229322461</v>
      </c>
      <c r="O249" s="50">
        <f t="shared" si="104"/>
        <v>0.32828362700000002</v>
      </c>
      <c r="P249" s="50">
        <f t="shared" si="104"/>
        <v>2.2094531000000001E-2</v>
      </c>
      <c r="Q249" s="13">
        <f t="shared" si="64"/>
        <v>76.386892155268129</v>
      </c>
      <c r="R249" s="14">
        <f t="shared" si="65"/>
        <v>2283.1296459241398</v>
      </c>
      <c r="S249">
        <f t="shared" si="76"/>
        <v>47.782105917635526</v>
      </c>
      <c r="T249" s="6">
        <f t="shared" si="77"/>
        <v>93.652927598565626</v>
      </c>
      <c r="V249" s="13">
        <f t="shared" si="72"/>
        <v>177.18446229926815</v>
      </c>
      <c r="W249">
        <f t="shared" si="73"/>
        <v>2288.4901924801397</v>
      </c>
      <c r="X249">
        <f t="shared" si="78"/>
        <v>47.838166692298522</v>
      </c>
      <c r="Y249" s="6">
        <f t="shared" si="79"/>
        <v>93.762806716905104</v>
      </c>
      <c r="Z249" s="14">
        <f t="shared" si="69"/>
        <v>0.26999075467181138</v>
      </c>
    </row>
    <row r="250" spans="1:26" hidden="1" x14ac:dyDescent="0.25">
      <c r="A250" t="str">
        <f>'rockfish harvests'!A257</f>
        <v>SE</v>
      </c>
      <c r="B250">
        <f>'rockfish harvests'!B257</f>
        <v>2003</v>
      </c>
      <c r="C250" t="str">
        <f>'rockfish harvests'!C257</f>
        <v>EWYKT</v>
      </c>
      <c r="D250">
        <f>'rockfish harvests'!D257</f>
        <v>1627</v>
      </c>
      <c r="E250">
        <f>'YE harvest'!E258</f>
        <v>443</v>
      </c>
      <c r="F250" s="32">
        <v>0.98821147200000004</v>
      </c>
      <c r="G250" s="32">
        <v>5.1523900000000002E-4</v>
      </c>
      <c r="H250" s="13">
        <f t="shared" si="103"/>
        <v>437.77768209600004</v>
      </c>
      <c r="I250">
        <f t="shared" si="71"/>
        <v>101.115138511</v>
      </c>
      <c r="J250">
        <f t="shared" si="74"/>
        <v>10.055602344514226</v>
      </c>
      <c r="K250" s="6">
        <f t="shared" si="75"/>
        <v>19.708980595247883</v>
      </c>
      <c r="M250" s="2">
        <f>'rockfish harvests'!O257</f>
        <v>423.94128502725016</v>
      </c>
      <c r="N250">
        <f>'rockfish harvests'!P257</f>
        <v>42110.865184765593</v>
      </c>
      <c r="O250" s="50">
        <f t="shared" si="104"/>
        <v>0.32828362700000002</v>
      </c>
      <c r="P250" s="50">
        <f t="shared" si="104"/>
        <v>2.2094531000000001E-2</v>
      </c>
      <c r="Q250" s="13">
        <f t="shared" si="64"/>
        <v>139.17298268378647</v>
      </c>
      <c r="R250" s="14">
        <f t="shared" si="65"/>
        <v>7578.8403979257955</v>
      </c>
      <c r="S250">
        <f t="shared" si="76"/>
        <v>87.056535641649532</v>
      </c>
      <c r="T250" s="6">
        <f t="shared" si="77"/>
        <v>170.63080985763307</v>
      </c>
      <c r="V250" s="13">
        <f t="shared" si="72"/>
        <v>576.95066477978651</v>
      </c>
      <c r="W250">
        <f t="shared" si="73"/>
        <v>7679.9555364367952</v>
      </c>
      <c r="X250">
        <f t="shared" si="78"/>
        <v>87.635355516120285</v>
      </c>
      <c r="Y250" s="6">
        <f t="shared" si="79"/>
        <v>171.76529681159576</v>
      </c>
      <c r="Z250" s="14">
        <f t="shared" si="69"/>
        <v>0.15189401948183801</v>
      </c>
    </row>
    <row r="251" spans="1:26" hidden="1" x14ac:dyDescent="0.25">
      <c r="A251" t="str">
        <f>'rockfish harvests'!A258</f>
        <v>SE</v>
      </c>
      <c r="B251">
        <f>'rockfish harvests'!B258</f>
        <v>2004</v>
      </c>
      <c r="C251" t="str">
        <f>'rockfish harvests'!C258</f>
        <v>EWYKT</v>
      </c>
      <c r="D251">
        <f>'rockfish harvests'!D258</f>
        <v>1501</v>
      </c>
      <c r="E251">
        <f>'YE harvest'!E259</f>
        <v>378</v>
      </c>
      <c r="F251" s="32">
        <v>0.98821147200000004</v>
      </c>
      <c r="G251" s="32">
        <v>5.1523900000000002E-4</v>
      </c>
      <c r="H251" s="13">
        <f t="shared" si="103"/>
        <v>373.54393641600001</v>
      </c>
      <c r="I251">
        <f t="shared" si="71"/>
        <v>73.619409275999999</v>
      </c>
      <c r="J251">
        <f t="shared" si="74"/>
        <v>8.5801753639421605</v>
      </c>
      <c r="K251" s="6">
        <f t="shared" si="75"/>
        <v>16.817143713326633</v>
      </c>
      <c r="M251" s="2">
        <f>'rockfish harvests'!O258</f>
        <v>391.10993781555135</v>
      </c>
      <c r="N251">
        <f>'rockfish harvests'!P258</f>
        <v>35841.026777365994</v>
      </c>
      <c r="O251" s="50">
        <f t="shared" si="104"/>
        <v>0.32828362700000002</v>
      </c>
      <c r="P251" s="50">
        <f t="shared" si="104"/>
        <v>2.2094531000000001E-2</v>
      </c>
      <c r="Q251" s="13">
        <f t="shared" si="64"/>
        <v>128.39498894183367</v>
      </c>
      <c r="R251" s="14">
        <f t="shared" si="65"/>
        <v>6450.4355455919231</v>
      </c>
      <c r="S251">
        <f t="shared" si="76"/>
        <v>80.314603563685253</v>
      </c>
      <c r="T251" s="6">
        <f t="shared" si="77"/>
        <v>157.41662298482311</v>
      </c>
      <c r="V251" s="13">
        <f t="shared" si="72"/>
        <v>501.93892535783368</v>
      </c>
      <c r="W251">
        <f t="shared" si="73"/>
        <v>6524.0549548679228</v>
      </c>
      <c r="X251">
        <f t="shared" si="78"/>
        <v>80.771622212680128</v>
      </c>
      <c r="Y251" s="6">
        <f t="shared" si="79"/>
        <v>158.31237953685306</v>
      </c>
      <c r="Z251" s="14">
        <f t="shared" si="69"/>
        <v>0.16091922369857609</v>
      </c>
    </row>
    <row r="252" spans="1:26" hidden="1" x14ac:dyDescent="0.25">
      <c r="A252" t="str">
        <f>'rockfish harvests'!A259</f>
        <v>SE</v>
      </c>
      <c r="B252">
        <f>'rockfish harvests'!B259</f>
        <v>2005</v>
      </c>
      <c r="C252" t="str">
        <f>'rockfish harvests'!C259</f>
        <v>EWYKT</v>
      </c>
      <c r="D252">
        <f>'rockfish harvests'!D259</f>
        <v>1676</v>
      </c>
      <c r="E252">
        <f>'YE harvest'!E260</f>
        <v>284</v>
      </c>
      <c r="F252" s="32">
        <v>0.98821147200000004</v>
      </c>
      <c r="G252" s="32">
        <v>5.1523900000000002E-4</v>
      </c>
      <c r="H252" s="13">
        <f t="shared" si="103"/>
        <v>280.65205804800001</v>
      </c>
      <c r="I252">
        <f t="shared" si="71"/>
        <v>41.557116784000002</v>
      </c>
      <c r="J252">
        <f t="shared" si="74"/>
        <v>6.4464809612687137</v>
      </c>
      <c r="K252" s="6">
        <f t="shared" si="75"/>
        <v>12.635102684086679</v>
      </c>
      <c r="M252" s="2">
        <f>'rockfish harvests'!O259</f>
        <v>436.70903116513273</v>
      </c>
      <c r="N252">
        <f>'rockfish harvests'!P259</f>
        <v>44685.54786836687</v>
      </c>
      <c r="O252" s="50">
        <f t="shared" si="104"/>
        <v>0.32828362700000002</v>
      </c>
      <c r="P252" s="50">
        <f t="shared" si="104"/>
        <v>2.2094531000000001E-2</v>
      </c>
      <c r="Q252" s="13">
        <f t="shared" si="64"/>
        <v>143.36442469454582</v>
      </c>
      <c r="R252" s="14">
        <f t="shared" si="65"/>
        <v>8042.2150887259368</v>
      </c>
      <c r="S252">
        <f t="shared" si="76"/>
        <v>89.678398116413391</v>
      </c>
      <c r="T252" s="6">
        <f t="shared" si="77"/>
        <v>175.76966030817024</v>
      </c>
      <c r="V252" s="13">
        <f t="shared" si="72"/>
        <v>424.0164827425458</v>
      </c>
      <c r="W252">
        <f t="shared" si="73"/>
        <v>8083.7722055099366</v>
      </c>
      <c r="X252">
        <f t="shared" si="78"/>
        <v>89.909800386331284</v>
      </c>
      <c r="Y252" s="6">
        <f t="shared" si="79"/>
        <v>176.22320875720931</v>
      </c>
      <c r="Z252" s="14">
        <f t="shared" si="69"/>
        <v>0.21204317295590297</v>
      </c>
    </row>
    <row r="253" spans="1:26" hidden="1" x14ac:dyDescent="0.25">
      <c r="A253" t="str">
        <f>'rockfish harvests'!A260</f>
        <v>SE</v>
      </c>
      <c r="B253">
        <f>'rockfish harvests'!B260</f>
        <v>2006</v>
      </c>
      <c r="C253" t="str">
        <f>'rockfish harvests'!C260</f>
        <v>EWYKT</v>
      </c>
      <c r="D253">
        <f>'rockfish harvests'!D260</f>
        <v>2529</v>
      </c>
      <c r="E253">
        <f>'YE harvest'!E261</f>
        <v>440</v>
      </c>
      <c r="F253">
        <f>IF([2]species_comp_Region1_forR!$H318&gt;49,[2]species_comp_Region1_forR!$AM318,[2]species_comp_Region1_forR!$AO318)</f>
        <v>1</v>
      </c>
      <c r="G253">
        <f>IF([2]species_comp_Region1_forR!$H318&gt;49,[2]species_comp_Region1_forR!$AN318,[2]species_comp_Region1_forR!$AP318)</f>
        <v>0</v>
      </c>
      <c r="H253" s="13">
        <f t="shared" ref="H253:H265" si="105">E253*F253</f>
        <v>440</v>
      </c>
      <c r="I253">
        <f t="shared" si="71"/>
        <v>0</v>
      </c>
      <c r="J253">
        <f t="shared" si="74"/>
        <v>0</v>
      </c>
      <c r="K253" s="6">
        <f t="shared" si="75"/>
        <v>0</v>
      </c>
      <c r="M253" s="2">
        <f>'rockfish harvests'!O260</f>
        <v>658.97204046337765</v>
      </c>
      <c r="N253">
        <f>'rockfish harvests'!P260</f>
        <v>101745.85299552699</v>
      </c>
      <c r="O253" s="27">
        <f t="shared" si="104"/>
        <v>0.56060606099999999</v>
      </c>
      <c r="P253" s="27">
        <f t="shared" si="104"/>
        <v>3.7896449999999999E-3</v>
      </c>
      <c r="Q253" s="13">
        <f t="shared" si="64"/>
        <v>369.42371991330674</v>
      </c>
      <c r="R253" s="14">
        <f t="shared" si="65"/>
        <v>33236.651277459518</v>
      </c>
      <c r="S253">
        <f t="shared" si="76"/>
        <v>182.30921884934816</v>
      </c>
      <c r="T253" s="6">
        <f t="shared" si="77"/>
        <v>357.32606894472235</v>
      </c>
      <c r="V253" s="13">
        <f t="shared" si="72"/>
        <v>809.42371991330674</v>
      </c>
      <c r="W253">
        <f t="shared" si="73"/>
        <v>33236.651277459518</v>
      </c>
      <c r="X253">
        <f t="shared" si="78"/>
        <v>182.30921884934816</v>
      </c>
      <c r="Y253" s="6">
        <f t="shared" si="79"/>
        <v>357.32606894472235</v>
      </c>
      <c r="Z253" s="14">
        <f t="shared" si="69"/>
        <v>0.22523335351337909</v>
      </c>
    </row>
    <row r="254" spans="1:26" hidden="1" x14ac:dyDescent="0.25">
      <c r="A254" t="str">
        <f>'rockfish harvests'!A261</f>
        <v>SE</v>
      </c>
      <c r="B254">
        <f>'rockfish harvests'!B261</f>
        <v>2007</v>
      </c>
      <c r="C254" t="str">
        <f>'rockfish harvests'!C261</f>
        <v>EWYKT</v>
      </c>
      <c r="D254">
        <f>'rockfish harvests'!D261</f>
        <v>2290</v>
      </c>
      <c r="E254">
        <f>'YE harvest'!E262</f>
        <v>334</v>
      </c>
      <c r="F254">
        <f>IF([2]species_comp_Region1_forR!$H319&gt;49,[2]species_comp_Region1_forR!$AM319,[2]species_comp_Region1_forR!$AO319)</f>
        <v>1</v>
      </c>
      <c r="G254">
        <f>IF([2]species_comp_Region1_forR!$H319&gt;49,[2]species_comp_Region1_forR!$AN319,[2]species_comp_Region1_forR!$AP319)</f>
        <v>0</v>
      </c>
      <c r="H254" s="13">
        <f t="shared" si="105"/>
        <v>334</v>
      </c>
      <c r="I254">
        <f t="shared" si="71"/>
        <v>0</v>
      </c>
      <c r="J254">
        <f t="shared" si="74"/>
        <v>0</v>
      </c>
      <c r="K254" s="6">
        <f t="shared" si="75"/>
        <v>0</v>
      </c>
      <c r="M254" s="2">
        <f>'rockfish harvests'!O261</f>
        <v>596.69670726023514</v>
      </c>
      <c r="N254">
        <f>'rockfish harvests'!P261</f>
        <v>83423.810519029968</v>
      </c>
      <c r="O254" s="27">
        <f t="shared" si="104"/>
        <v>0.63934426200000005</v>
      </c>
      <c r="P254" s="27">
        <f t="shared" si="104"/>
        <v>3.8430529999999999E-3</v>
      </c>
      <c r="Q254" s="13">
        <f t="shared" si="64"/>
        <v>381.49461594112512</v>
      </c>
      <c r="R254" s="14">
        <f t="shared" si="65"/>
        <v>35148.112546217046</v>
      </c>
      <c r="S254">
        <f t="shared" si="76"/>
        <v>187.47829886740772</v>
      </c>
      <c r="T254" s="6">
        <f t="shared" si="77"/>
        <v>367.45746578011909</v>
      </c>
      <c r="V254" s="13">
        <f t="shared" si="72"/>
        <v>715.49461594112518</v>
      </c>
      <c r="W254">
        <f t="shared" si="73"/>
        <v>35148.112546217046</v>
      </c>
      <c r="X254">
        <f t="shared" si="78"/>
        <v>187.47829886740772</v>
      </c>
      <c r="Y254" s="6">
        <f t="shared" si="79"/>
        <v>367.45746578011909</v>
      </c>
      <c r="Z254" s="14">
        <f t="shared" si="69"/>
        <v>0.26202614903091664</v>
      </c>
    </row>
    <row r="255" spans="1:26" hidden="1" x14ac:dyDescent="0.25">
      <c r="A255" t="str">
        <f>'rockfish harvests'!A262</f>
        <v>SE</v>
      </c>
      <c r="B255">
        <f>'rockfish harvests'!B262</f>
        <v>2008</v>
      </c>
      <c r="C255" t="str">
        <f>'rockfish harvests'!C262</f>
        <v>EWYKT</v>
      </c>
      <c r="D255">
        <f>'rockfish harvests'!D262</f>
        <v>2857</v>
      </c>
      <c r="E255">
        <f>'YE harvest'!E263</f>
        <v>401</v>
      </c>
      <c r="F255">
        <f>IF([2]species_comp_Region1_forR!$H320&gt;49,[2]species_comp_Region1_forR!$AM320,[2]species_comp_Region1_forR!$AO320)</f>
        <v>1</v>
      </c>
      <c r="G255">
        <f>IF([2]species_comp_Region1_forR!$H320&gt;49,[2]species_comp_Region1_forR!$AN320,[2]species_comp_Region1_forR!$AP320)</f>
        <v>0</v>
      </c>
      <c r="H255" s="13">
        <f t="shared" si="105"/>
        <v>401</v>
      </c>
      <c r="I255">
        <f t="shared" si="71"/>
        <v>0</v>
      </c>
      <c r="J255">
        <f t="shared" si="74"/>
        <v>0</v>
      </c>
      <c r="K255" s="6">
        <f t="shared" si="75"/>
        <v>0</v>
      </c>
      <c r="M255" s="2">
        <f>'rockfish harvests'!O262</f>
        <v>744.43776971287843</v>
      </c>
      <c r="N255">
        <f>'rockfish harvests'!P262</f>
        <v>129849.277997606</v>
      </c>
      <c r="O255" s="27">
        <f t="shared" si="104"/>
        <v>0.27722772299999998</v>
      </c>
      <c r="P255" s="27">
        <f t="shared" si="104"/>
        <v>2.003725E-3</v>
      </c>
      <c r="Q255" s="13">
        <f t="shared" si="64"/>
        <v>206.37878781269964</v>
      </c>
      <c r="R255" s="14">
        <f t="shared" si="65"/>
        <v>10829.850870941797</v>
      </c>
      <c r="S255">
        <f t="shared" si="76"/>
        <v>104.0665694204522</v>
      </c>
      <c r="T255" s="6">
        <f t="shared" si="77"/>
        <v>203.97047606408631</v>
      </c>
      <c r="V255" s="13">
        <f t="shared" si="72"/>
        <v>607.37878781269967</v>
      </c>
      <c r="W255">
        <f t="shared" si="73"/>
        <v>10829.850870941797</v>
      </c>
      <c r="X255">
        <f t="shared" si="78"/>
        <v>104.0665694204522</v>
      </c>
      <c r="Y255" s="6">
        <f t="shared" si="79"/>
        <v>203.97047606408631</v>
      </c>
      <c r="Z255" s="14">
        <f t="shared" si="69"/>
        <v>0.17133718119333419</v>
      </c>
    </row>
    <row r="256" spans="1:26" hidden="1" x14ac:dyDescent="0.25">
      <c r="A256" t="str">
        <f>'rockfish harvests'!A263</f>
        <v>SE</v>
      </c>
      <c r="B256">
        <f>'rockfish harvests'!B263</f>
        <v>2009</v>
      </c>
      <c r="C256" t="str">
        <f>'rockfish harvests'!C263</f>
        <v>EWYKT</v>
      </c>
      <c r="D256">
        <f>'rockfish harvests'!D263</f>
        <v>2494</v>
      </c>
      <c r="E256">
        <f>'YE harvest'!E264</f>
        <v>301</v>
      </c>
      <c r="F256">
        <f>IF([2]species_comp_Region1_forR!$H321&gt;49,[2]species_comp_Region1_forR!$AM321,[2]species_comp_Region1_forR!$AO321)</f>
        <v>1</v>
      </c>
      <c r="G256">
        <f>IF([2]species_comp_Region1_forR!$H321&gt;49,[2]species_comp_Region1_forR!$AN321,[2]species_comp_Region1_forR!$AP321)</f>
        <v>0</v>
      </c>
      <c r="H256" s="13">
        <f t="shared" si="105"/>
        <v>301</v>
      </c>
      <c r="I256">
        <f t="shared" si="71"/>
        <v>0</v>
      </c>
      <c r="J256">
        <f t="shared" si="74"/>
        <v>0</v>
      </c>
      <c r="K256" s="6">
        <f t="shared" si="75"/>
        <v>0</v>
      </c>
      <c r="M256" s="2">
        <f>'rockfish harvests'!O263</f>
        <v>649.85222179346101</v>
      </c>
      <c r="N256">
        <f>'rockfish harvests'!P263</f>
        <v>98949.124670686113</v>
      </c>
      <c r="O256" s="27">
        <f t="shared" si="104"/>
        <v>0.448717949</v>
      </c>
      <c r="P256" s="27">
        <f t="shared" si="104"/>
        <v>3.212599E-3</v>
      </c>
      <c r="Q256" s="13">
        <f t="shared" si="64"/>
        <v>291.60035611625494</v>
      </c>
      <c r="R256" s="14">
        <f t="shared" si="65"/>
        <v>20962.010453140476</v>
      </c>
      <c r="S256">
        <f t="shared" si="76"/>
        <v>144.78263173854961</v>
      </c>
      <c r="T256" s="6">
        <f t="shared" si="77"/>
        <v>283.77395820755726</v>
      </c>
      <c r="V256" s="13">
        <f t="shared" si="72"/>
        <v>592.60035611625494</v>
      </c>
      <c r="W256">
        <f t="shared" si="73"/>
        <v>20962.010453140476</v>
      </c>
      <c r="X256">
        <f t="shared" si="78"/>
        <v>144.78263173854961</v>
      </c>
      <c r="Y256" s="6">
        <f t="shared" si="79"/>
        <v>283.77395820755726</v>
      </c>
      <c r="Z256" s="14">
        <f t="shared" si="69"/>
        <v>0.24431749026851157</v>
      </c>
    </row>
    <row r="257" spans="1:32" hidden="1" x14ac:dyDescent="0.25">
      <c r="A257" t="str">
        <f>'rockfish harvests'!A264</f>
        <v>SE</v>
      </c>
      <c r="B257">
        <f>'rockfish harvests'!B264</f>
        <v>2010</v>
      </c>
      <c r="C257" t="str">
        <f>'rockfish harvests'!C264</f>
        <v>EWYKT</v>
      </c>
      <c r="D257">
        <f>'rockfish harvests'!D264</f>
        <v>2435</v>
      </c>
      <c r="E257">
        <f>'YE harvest'!E265</f>
        <v>503</v>
      </c>
      <c r="F257">
        <f>IF([2]species_comp_Region1_forR!$H322&gt;49,[2]species_comp_Region1_forR!$AM322,[2]species_comp_Region1_forR!$AO322)</f>
        <v>1</v>
      </c>
      <c r="G257">
        <f>IF([2]species_comp_Region1_forR!$H322&gt;49,[2]species_comp_Region1_forR!$AN322,[2]species_comp_Region1_forR!$AP322)</f>
        <v>0</v>
      </c>
      <c r="H257" s="13">
        <f t="shared" si="105"/>
        <v>503</v>
      </c>
      <c r="I257">
        <f t="shared" si="71"/>
        <v>0</v>
      </c>
      <c r="J257">
        <f t="shared" si="74"/>
        <v>0</v>
      </c>
      <c r="K257" s="6">
        <f t="shared" si="75"/>
        <v>0</v>
      </c>
      <c r="M257" s="2">
        <f>'rockfish harvests'!O264</f>
        <v>634.4788131784594</v>
      </c>
      <c r="N257">
        <f>'rockfish harvests'!P264</f>
        <v>94322.866254399312</v>
      </c>
      <c r="O257" s="27">
        <f t="shared" si="104"/>
        <v>0.42592592600000001</v>
      </c>
      <c r="P257" s="27">
        <f t="shared" si="104"/>
        <v>1.518714E-3</v>
      </c>
      <c r="Q257" s="13">
        <f t="shared" si="64"/>
        <v>270.24097603041633</v>
      </c>
      <c r="R257" s="14">
        <f t="shared" si="65"/>
        <v>17579.513338847948</v>
      </c>
      <c r="S257">
        <f t="shared" si="76"/>
        <v>132.58775712277492</v>
      </c>
      <c r="T257" s="6">
        <f t="shared" si="77"/>
        <v>259.87200396063884</v>
      </c>
      <c r="V257" s="13">
        <f t="shared" si="72"/>
        <v>773.24097603041628</v>
      </c>
      <c r="W257">
        <f t="shared" si="73"/>
        <v>17579.513338847948</v>
      </c>
      <c r="X257">
        <f t="shared" si="78"/>
        <v>132.58775712277492</v>
      </c>
      <c r="Y257" s="6">
        <f t="shared" si="79"/>
        <v>259.87200396063884</v>
      </c>
      <c r="Z257" s="14">
        <f t="shared" si="69"/>
        <v>0.17147016419569497</v>
      </c>
    </row>
    <row r="258" spans="1:32" hidden="1" x14ac:dyDescent="0.25">
      <c r="A258" t="str">
        <f>'rockfish harvests'!A265</f>
        <v>SE</v>
      </c>
      <c r="B258">
        <f>'rockfish harvests'!B265</f>
        <v>2011</v>
      </c>
      <c r="C258" t="str">
        <f>'rockfish harvests'!C265</f>
        <v>EWYKT</v>
      </c>
      <c r="D258">
        <f>'rockfish harvests'!D265</f>
        <v>2848</v>
      </c>
      <c r="E258">
        <f>'YE harvest'!E266</f>
        <v>485</v>
      </c>
      <c r="F258">
        <f>IF([2]species_comp_Region1_forR!$H323&gt;49,[2]species_comp_Region1_forR!$AM323,[2]species_comp_Region1_forR!$AO323)</f>
        <v>0.97685185200000002</v>
      </c>
      <c r="G258">
        <f>IF([2]species_comp_Region1_forR!$H323&gt;49,[2]species_comp_Region1_forR!$AN323,[2]species_comp_Region1_forR!$AP323)</f>
        <v>1.0517400000000001E-4</v>
      </c>
      <c r="H258" s="13">
        <f t="shared" si="105"/>
        <v>473.77314822</v>
      </c>
      <c r="I258">
        <f t="shared" si="71"/>
        <v>24.73955415</v>
      </c>
      <c r="J258">
        <f t="shared" si="74"/>
        <v>4.9738872273102457</v>
      </c>
      <c r="K258" s="6">
        <f t="shared" si="75"/>
        <v>9.7488189655280806</v>
      </c>
      <c r="M258" s="2">
        <f>'rockfish harvests'!O265</f>
        <v>1436.4366812227072</v>
      </c>
      <c r="N258">
        <f>'rockfish harvests'!P265</f>
        <v>404683.38862902793</v>
      </c>
      <c r="O258" s="27">
        <f t="shared" si="104"/>
        <v>0.37575757599999998</v>
      </c>
      <c r="P258" s="27">
        <f t="shared" si="104"/>
        <v>1.430267E-3</v>
      </c>
      <c r="Q258" s="13">
        <f t="shared" si="64"/>
        <v>539.75196541372918</v>
      </c>
      <c r="R258" s="14">
        <f t="shared" si="65"/>
        <v>59511.104202868417</v>
      </c>
      <c r="S258">
        <f t="shared" si="76"/>
        <v>243.94897868789781</v>
      </c>
      <c r="T258" s="6">
        <f t="shared" si="77"/>
        <v>478.13999822827969</v>
      </c>
      <c r="V258" s="13">
        <f t="shared" si="72"/>
        <v>1013.5251136337292</v>
      </c>
      <c r="W258">
        <f t="shared" si="73"/>
        <v>59535.843757018418</v>
      </c>
      <c r="X258">
        <f t="shared" si="78"/>
        <v>243.9996798297457</v>
      </c>
      <c r="Y258" s="6">
        <f t="shared" si="79"/>
        <v>478.23937246630157</v>
      </c>
      <c r="Z258" s="14">
        <f t="shared" si="69"/>
        <v>0.24074359534609721</v>
      </c>
    </row>
    <row r="259" spans="1:32" hidden="1" x14ac:dyDescent="0.25">
      <c r="A259" t="str">
        <f>'rockfish harvests'!A266</f>
        <v>SE</v>
      </c>
      <c r="B259">
        <f>'rockfish harvests'!B266</f>
        <v>2012</v>
      </c>
      <c r="C259" t="str">
        <f>'rockfish harvests'!C266</f>
        <v>EWYKT</v>
      </c>
      <c r="D259">
        <f>'rockfish harvests'!D266</f>
        <v>3241</v>
      </c>
      <c r="E259">
        <f>'YE harvest'!E267</f>
        <v>514</v>
      </c>
      <c r="F259">
        <f>IF([2]species_comp_Region1_forR!$H324&gt;49,[2]species_comp_Region1_forR!$AM324,[2]species_comp_Region1_forR!$AO324)</f>
        <v>0.92682926799999998</v>
      </c>
      <c r="G259">
        <f>IF([2]species_comp_Region1_forR!$H324&gt;49,[2]species_comp_Region1_forR!$AN324,[2]species_comp_Region1_forR!$AP324)</f>
        <v>2.3712200000000001E-4</v>
      </c>
      <c r="H259" s="13">
        <f t="shared" si="105"/>
        <v>476.390243752</v>
      </c>
      <c r="I259">
        <f t="shared" si="71"/>
        <v>62.646683912</v>
      </c>
      <c r="J259">
        <f t="shared" si="74"/>
        <v>7.9149658187512095</v>
      </c>
      <c r="K259" s="6">
        <f t="shared" si="75"/>
        <v>15.51333300475237</v>
      </c>
      <c r="M259" s="2">
        <f>'rockfish harvests'!O266</f>
        <v>535.14427701186287</v>
      </c>
      <c r="N259">
        <f>'rockfish harvests'!P266</f>
        <v>48300.340637739224</v>
      </c>
      <c r="O259" s="27">
        <f t="shared" si="104"/>
        <v>0.28793774300000002</v>
      </c>
      <c r="P259" s="27">
        <f t="shared" si="104"/>
        <v>8.0089699999999996E-4</v>
      </c>
      <c r="Q259" s="13">
        <f t="shared" si="64"/>
        <v>154.08823530216259</v>
      </c>
      <c r="R259" s="14">
        <f t="shared" si="65"/>
        <v>4195.1683914830992</v>
      </c>
      <c r="S259">
        <f t="shared" si="76"/>
        <v>64.770119588303217</v>
      </c>
      <c r="T259" s="6">
        <f t="shared" si="77"/>
        <v>126.9494343930743</v>
      </c>
      <c r="V259" s="13">
        <f t="shared" si="72"/>
        <v>630.47847905416256</v>
      </c>
      <c r="W259">
        <f t="shared" si="73"/>
        <v>4257.8150753950995</v>
      </c>
      <c r="X259">
        <f t="shared" si="78"/>
        <v>65.251935414936924</v>
      </c>
      <c r="Y259" s="6">
        <f t="shared" si="79"/>
        <v>127.89379341327637</v>
      </c>
      <c r="Z259" s="14">
        <f t="shared" si="69"/>
        <v>0.10349589650201418</v>
      </c>
    </row>
    <row r="260" spans="1:32" hidden="1" x14ac:dyDescent="0.25">
      <c r="A260" t="str">
        <f>'rockfish harvests'!A267</f>
        <v>SE</v>
      </c>
      <c r="B260">
        <f>'rockfish harvests'!B267</f>
        <v>2013</v>
      </c>
      <c r="C260" t="str">
        <f>'rockfish harvests'!C267</f>
        <v>EWYKT</v>
      </c>
      <c r="D260">
        <f>'rockfish harvests'!D267</f>
        <v>3884</v>
      </c>
      <c r="E260">
        <f>'YE harvest'!E268</f>
        <v>452</v>
      </c>
      <c r="F260">
        <f>IF([2]species_comp_Region1_forR!$H325&gt;49,[2]species_comp_Region1_forR!$AM325,[2]species_comp_Region1_forR!$AO325)</f>
        <v>1</v>
      </c>
      <c r="G260">
        <f>IF([2]species_comp_Region1_forR!$H325&gt;49,[2]species_comp_Region1_forR!$AN325,[2]species_comp_Region1_forR!$AP325)</f>
        <v>0</v>
      </c>
      <c r="H260" s="13">
        <f t="shared" si="105"/>
        <v>452</v>
      </c>
      <c r="I260">
        <f t="shared" si="71"/>
        <v>0</v>
      </c>
      <c r="J260">
        <f t="shared" si="74"/>
        <v>0</v>
      </c>
      <c r="K260" s="6">
        <f t="shared" si="75"/>
        <v>0</v>
      </c>
      <c r="M260" s="2">
        <f>'rockfish harvests'!O267</f>
        <v>591.36648814078035</v>
      </c>
      <c r="N260">
        <f>'rockfish harvests'!P267</f>
        <v>87012.297802534755</v>
      </c>
      <c r="O260" s="27">
        <f t="shared" si="104"/>
        <v>0.27777777799999998</v>
      </c>
      <c r="P260" s="27">
        <f t="shared" si="104"/>
        <v>6.57762E-4</v>
      </c>
      <c r="Q260" s="13">
        <f t="shared" si="64"/>
        <v>164.26846905940931</v>
      </c>
      <c r="R260" s="14">
        <f t="shared" si="65"/>
        <v>6886.707287914398</v>
      </c>
      <c r="S260">
        <f t="shared" si="76"/>
        <v>82.986187332075914</v>
      </c>
      <c r="T260" s="6">
        <f t="shared" si="77"/>
        <v>162.65292717086879</v>
      </c>
      <c r="V260" s="13">
        <f t="shared" si="72"/>
        <v>616.26846905940931</v>
      </c>
      <c r="W260">
        <f t="shared" si="73"/>
        <v>6886.707287914398</v>
      </c>
      <c r="X260">
        <f t="shared" si="78"/>
        <v>82.986187332075914</v>
      </c>
      <c r="Y260" s="6">
        <f t="shared" si="79"/>
        <v>162.65292717086879</v>
      </c>
      <c r="Z260" s="14">
        <f t="shared" si="69"/>
        <v>0.13465914856675218</v>
      </c>
    </row>
    <row r="261" spans="1:32" hidden="1" x14ac:dyDescent="0.25">
      <c r="A261" t="str">
        <f>'rockfish harvests'!A268</f>
        <v>SE</v>
      </c>
      <c r="B261">
        <f>'rockfish harvests'!B268</f>
        <v>2014</v>
      </c>
      <c r="C261" t="str">
        <f>'rockfish harvests'!C268</f>
        <v>EWYKT</v>
      </c>
      <c r="D261">
        <f>'rockfish harvests'!D268</f>
        <v>4695</v>
      </c>
      <c r="E261">
        <f>'YE harvest'!E269</f>
        <v>675</v>
      </c>
      <c r="F261">
        <f>IF([2]species_comp_Region1_forR!$H326&gt;49,[2]species_comp_Region1_forR!$AM326,[2]species_comp_Region1_forR!$AO326)</f>
        <v>1</v>
      </c>
      <c r="G261">
        <f>IF([2]species_comp_Region1_forR!$H326&gt;49,[2]species_comp_Region1_forR!$AN326,[2]species_comp_Region1_forR!$AP326)</f>
        <v>0</v>
      </c>
      <c r="H261" s="13">
        <f t="shared" si="105"/>
        <v>675</v>
      </c>
      <c r="I261">
        <f t="shared" si="71"/>
        <v>0</v>
      </c>
      <c r="J261">
        <f t="shared" si="74"/>
        <v>0</v>
      </c>
      <c r="K261" s="6">
        <f t="shared" si="75"/>
        <v>0</v>
      </c>
      <c r="M261" s="2">
        <f>'rockfish harvests'!O268</f>
        <v>1023.1397849462364</v>
      </c>
      <c r="N261">
        <f>'rockfish harvests'!P268</f>
        <v>234030.60206548884</v>
      </c>
      <c r="O261" s="27">
        <f t="shared" si="104"/>
        <v>0.16745283</v>
      </c>
      <c r="P261" s="27">
        <f t="shared" si="104"/>
        <v>3.2958E-4</v>
      </c>
      <c r="Q261" s="13">
        <f t="shared" si="64"/>
        <v>171.32765247483869</v>
      </c>
      <c r="R261" s="14">
        <f t="shared" si="65"/>
        <v>6830.2009483589281</v>
      </c>
      <c r="S261">
        <f t="shared" si="76"/>
        <v>82.645029786182107</v>
      </c>
      <c r="T261" s="6">
        <f t="shared" si="77"/>
        <v>161.98425838091691</v>
      </c>
      <c r="V261" s="13">
        <f t="shared" si="72"/>
        <v>846.32765247483871</v>
      </c>
      <c r="W261">
        <f t="shared" si="73"/>
        <v>6830.2009483589281</v>
      </c>
      <c r="X261">
        <f t="shared" si="78"/>
        <v>82.645029786182107</v>
      </c>
      <c r="Y261" s="6">
        <f t="shared" si="79"/>
        <v>161.98425838091691</v>
      </c>
      <c r="Z261" s="14">
        <f t="shared" si="69"/>
        <v>9.7651340523390431E-2</v>
      </c>
    </row>
    <row r="262" spans="1:32" hidden="1" x14ac:dyDescent="0.25">
      <c r="A262" t="str">
        <f>'rockfish harvests'!A269</f>
        <v>SE</v>
      </c>
      <c r="B262">
        <f>'rockfish harvests'!B269</f>
        <v>2015</v>
      </c>
      <c r="C262" t="str">
        <f>'rockfish harvests'!C269</f>
        <v>EWYKT</v>
      </c>
      <c r="D262">
        <f>'rockfish harvests'!D269</f>
        <v>5729</v>
      </c>
      <c r="E262">
        <f>'YE harvest'!E270</f>
        <v>1014</v>
      </c>
      <c r="F262">
        <f>IF([2]species_comp_Region1_forR!$H327&gt;49,[2]species_comp_Region1_forR!$AM327,[2]species_comp_Region1_forR!$AO327)</f>
        <v>1</v>
      </c>
      <c r="G262">
        <f>IF([2]species_comp_Region1_forR!$H327&gt;49,[2]species_comp_Region1_forR!$AN327,[2]species_comp_Region1_forR!$AP327)</f>
        <v>0</v>
      </c>
      <c r="H262" s="13">
        <f t="shared" si="105"/>
        <v>1014</v>
      </c>
      <c r="I262">
        <f t="shared" si="71"/>
        <v>0</v>
      </c>
      <c r="J262">
        <f t="shared" si="74"/>
        <v>0</v>
      </c>
      <c r="K262" s="6">
        <f t="shared" si="75"/>
        <v>0</v>
      </c>
      <c r="M262" s="2">
        <f>'rockfish harvests'!O269</f>
        <v>2397.5678935972783</v>
      </c>
      <c r="N262">
        <f>'rockfish harvests'!P269</f>
        <v>1115072.9274274483</v>
      </c>
      <c r="O262" s="27">
        <f t="shared" si="104"/>
        <v>0.35143770000000002</v>
      </c>
      <c r="P262" s="27">
        <f t="shared" si="104"/>
        <v>7.3054200000000004E-4</v>
      </c>
      <c r="Q262" s="13">
        <f t="shared" si="64"/>
        <v>842.5957461196723</v>
      </c>
      <c r="R262" s="14">
        <f t="shared" si="65"/>
        <v>141105.7268946816</v>
      </c>
      <c r="S262">
        <f t="shared" si="76"/>
        <v>375.6404223385465</v>
      </c>
      <c r="T262" s="6">
        <f t="shared" si="77"/>
        <v>736.25522778355116</v>
      </c>
      <c r="V262" s="13">
        <f t="shared" si="72"/>
        <v>1856.5957461196722</v>
      </c>
      <c r="W262">
        <f t="shared" si="73"/>
        <v>141105.7268946816</v>
      </c>
      <c r="X262">
        <f t="shared" si="78"/>
        <v>375.6404223385465</v>
      </c>
      <c r="Y262" s="6">
        <f t="shared" si="79"/>
        <v>736.25522778355116</v>
      </c>
      <c r="Z262" s="14">
        <f t="shared" si="69"/>
        <v>0.2023275250541986</v>
      </c>
    </row>
    <row r="263" spans="1:32" hidden="1" x14ac:dyDescent="0.25">
      <c r="A263" t="str">
        <f>'rockfish harvests'!A270</f>
        <v>SE</v>
      </c>
      <c r="B263">
        <f>'rockfish harvests'!B270</f>
        <v>2016</v>
      </c>
      <c r="C263" t="str">
        <f>'rockfish harvests'!C270</f>
        <v>EWYKT</v>
      </c>
      <c r="D263">
        <f>'rockfish harvests'!D270</f>
        <v>7499</v>
      </c>
      <c r="E263">
        <f>'YE harvest'!E271</f>
        <v>1262</v>
      </c>
      <c r="F263">
        <f>IF([2]species_comp_Region1_forR!$H328&gt;49,[2]species_comp_Region1_forR!$AM328,[2]species_comp_Region1_forR!$AO328)</f>
        <v>1</v>
      </c>
      <c r="G263">
        <f>IF([2]species_comp_Region1_forR!$H328&gt;49,[2]species_comp_Region1_forR!$AN328,[2]species_comp_Region1_forR!$AP328)</f>
        <v>0</v>
      </c>
      <c r="H263" s="13">
        <f t="shared" si="105"/>
        <v>1262</v>
      </c>
      <c r="I263">
        <f t="shared" si="71"/>
        <v>0</v>
      </c>
      <c r="J263">
        <f t="shared" si="74"/>
        <v>0</v>
      </c>
      <c r="K263" s="6">
        <f t="shared" si="75"/>
        <v>0</v>
      </c>
      <c r="M263" s="2">
        <f>'rockfish harvests'!O270</f>
        <v>2107.8674308497375</v>
      </c>
      <c r="N263">
        <f>'rockfish harvests'!P270</f>
        <v>521828.91183042602</v>
      </c>
      <c r="O263" s="27">
        <f t="shared" si="104"/>
        <v>0.25896414299999998</v>
      </c>
      <c r="P263" s="27">
        <f t="shared" si="104"/>
        <v>3.8303700000000003E-4</v>
      </c>
      <c r="Q263" s="13">
        <f t="shared" si="64"/>
        <v>545.86208278761399</v>
      </c>
      <c r="R263" s="14">
        <f t="shared" si="65"/>
        <v>36497.107363432333</v>
      </c>
      <c r="S263">
        <f t="shared" si="76"/>
        <v>191.042161219539</v>
      </c>
      <c r="T263" s="6">
        <f t="shared" si="77"/>
        <v>374.44263599029642</v>
      </c>
      <c r="V263" s="13">
        <f t="shared" si="72"/>
        <v>1807.8620827876139</v>
      </c>
      <c r="W263">
        <f t="shared" si="73"/>
        <v>36497.107363432333</v>
      </c>
      <c r="X263">
        <f t="shared" si="78"/>
        <v>191.042161219539</v>
      </c>
      <c r="Y263" s="6">
        <f t="shared" si="79"/>
        <v>374.44263599029642</v>
      </c>
      <c r="Z263" s="14">
        <f t="shared" si="69"/>
        <v>0.105672973087064</v>
      </c>
    </row>
    <row r="264" spans="1:32" hidden="1" x14ac:dyDescent="0.25">
      <c r="A264" t="str">
        <f>'rockfish harvests'!A271</f>
        <v>SE</v>
      </c>
      <c r="B264">
        <f>'rockfish harvests'!B271</f>
        <v>2017</v>
      </c>
      <c r="C264" t="str">
        <f>'rockfish harvests'!C271</f>
        <v>EWYKT</v>
      </c>
      <c r="D264">
        <f>'rockfish harvests'!D271</f>
        <v>6324</v>
      </c>
      <c r="E264">
        <f>'YE harvest'!E272</f>
        <v>797</v>
      </c>
      <c r="F264">
        <f>IF([2]species_comp_Region1_forR!$H329&gt;49,[2]species_comp_Region1_forR!$AM329,[2]species_comp_Region1_forR!$AO329)</f>
        <v>0.988416988</v>
      </c>
      <c r="G264">
        <f>IF([2]species_comp_Region1_forR!$H329&gt;49,[2]species_comp_Region1_forR!$AN329,[2]species_comp_Region1_forR!$AP329)</f>
        <v>4.4375400000000002E-5</v>
      </c>
      <c r="H264" s="13">
        <f t="shared" si="105"/>
        <v>787.76833943600002</v>
      </c>
      <c r="I264">
        <f t="shared" si="71"/>
        <v>28.1876534586</v>
      </c>
      <c r="J264">
        <f t="shared" si="74"/>
        <v>5.3092045975456621</v>
      </c>
      <c r="K264" s="6">
        <f t="shared" si="75"/>
        <v>10.406041011189497</v>
      </c>
      <c r="M264" s="2">
        <f>'rockfish harvests'!O271</f>
        <v>1256.0488400488402</v>
      </c>
      <c r="N264">
        <f>'rockfish harvests'!P271</f>
        <v>191271.46761998921</v>
      </c>
      <c r="O264" s="27">
        <f t="shared" si="104"/>
        <v>0.16959064300000001</v>
      </c>
      <c r="P264" s="27">
        <f t="shared" si="104"/>
        <v>2.7505800000000001E-4</v>
      </c>
      <c r="Q264" s="13">
        <f t="shared" si="64"/>
        <v>213.01413042328699</v>
      </c>
      <c r="R264" s="14">
        <f t="shared" si="65"/>
        <v>5882.4929355877366</v>
      </c>
      <c r="S264">
        <f t="shared" si="76"/>
        <v>76.697411531209681</v>
      </c>
      <c r="T264" s="6">
        <f t="shared" si="77"/>
        <v>150.32692660117098</v>
      </c>
      <c r="V264" s="13">
        <f t="shared" si="72"/>
        <v>1000.7824698592869</v>
      </c>
      <c r="W264">
        <f t="shared" si="73"/>
        <v>5910.6805890463365</v>
      </c>
      <c r="X264">
        <f t="shared" si="78"/>
        <v>76.880950755348607</v>
      </c>
      <c r="Y264" s="6">
        <f t="shared" si="79"/>
        <v>150.68666348048328</v>
      </c>
      <c r="Z264" s="14">
        <f t="shared" si="69"/>
        <v>7.6820840762886561E-2</v>
      </c>
    </row>
    <row r="265" spans="1:32" hidden="1" x14ac:dyDescent="0.25">
      <c r="A265" t="str">
        <f>'rockfish harvests'!A272</f>
        <v>SE</v>
      </c>
      <c r="B265">
        <f>'rockfish harvests'!B272</f>
        <v>2018</v>
      </c>
      <c r="C265" t="str">
        <f>'rockfish harvests'!C272</f>
        <v>EWYKT</v>
      </c>
      <c r="D265">
        <f>'rockfish harvests'!D272</f>
        <v>8659</v>
      </c>
      <c r="E265">
        <f>'YE harvest'!E273</f>
        <v>977</v>
      </c>
      <c r="F265">
        <f>IF([2]species_comp_Region1_forR!$H330&gt;49,[2]species_comp_Region1_forR!$AM330,[2]species_comp_Region1_forR!$AO330)</f>
        <v>0.94980695000000004</v>
      </c>
      <c r="G265">
        <f>IF([2]species_comp_Region1_forR!$H330&gt;49,[2]species_comp_Region1_forR!$AN330,[2]species_comp_Region1_forR!$AP330)</f>
        <v>1.8478200000000001E-4</v>
      </c>
      <c r="H265" s="13">
        <f t="shared" si="105"/>
        <v>927.96139015000006</v>
      </c>
      <c r="I265">
        <f t="shared" si="71"/>
        <v>176.37977767800001</v>
      </c>
      <c r="J265">
        <f t="shared" si="74"/>
        <v>13.280804858064892</v>
      </c>
      <c r="K265" s="6">
        <f t="shared" si="75"/>
        <v>26.030377521807189</v>
      </c>
      <c r="M265" s="2">
        <f>'rockfish harvests'!O272</f>
        <v>1971.3795063043872</v>
      </c>
      <c r="N265">
        <f>'rockfish harvests'!P272</f>
        <v>502872.73387700756</v>
      </c>
      <c r="O265" s="27">
        <f>O315</f>
        <v>0.18895966</v>
      </c>
      <c r="P265" s="27">
        <f t="shared" si="104"/>
        <v>3.26072E-4</v>
      </c>
      <c r="Q265" s="13">
        <f t="shared" si="64"/>
        <v>372.51120124224485</v>
      </c>
      <c r="R265" s="14">
        <f t="shared" si="65"/>
        <v>19058.702691875758</v>
      </c>
      <c r="S265">
        <f t="shared" si="76"/>
        <v>138.05326034496889</v>
      </c>
      <c r="T265" s="6">
        <f t="shared" si="77"/>
        <v>270.584390276139</v>
      </c>
      <c r="V265" s="13">
        <f t="shared" si="72"/>
        <v>1300.4725913922448</v>
      </c>
      <c r="W265">
        <f t="shared" si="73"/>
        <v>19235.082469553759</v>
      </c>
      <c r="X265">
        <f t="shared" si="78"/>
        <v>138.69059978799487</v>
      </c>
      <c r="Y265" s="6">
        <f t="shared" si="79"/>
        <v>271.83357558446994</v>
      </c>
      <c r="Z265" s="14">
        <f t="shared" si="69"/>
        <v>0.10664630743160615</v>
      </c>
    </row>
    <row r="266" spans="1:32" hidden="1" x14ac:dyDescent="0.25">
      <c r="A266" t="str">
        <f>'rockfish harvests'!A273</f>
        <v>SE</v>
      </c>
      <c r="B266">
        <f>'rockfish harvests'!B273</f>
        <v>2019</v>
      </c>
      <c r="C266" t="str">
        <f>'rockfish harvests'!C273</f>
        <v>EWYKT</v>
      </c>
      <c r="D266">
        <f>'rockfish harvests'!D273</f>
        <v>7908</v>
      </c>
      <c r="E266">
        <f>'YE harvest'!E274</f>
        <v>739</v>
      </c>
      <c r="F266">
        <v>0.99315068493150682</v>
      </c>
      <c r="G266">
        <v>2.3375951723662165E-5</v>
      </c>
      <c r="H266" s="13">
        <f>E266*F266</f>
        <v>733.93835616438355</v>
      </c>
      <c r="I266">
        <f>(E266^2)*G266</f>
        <v>12.766098131278106</v>
      </c>
      <c r="K266" s="6"/>
      <c r="M266" s="2">
        <f>'rockfish harvests'!O273</f>
        <v>3002.4944735311237</v>
      </c>
      <c r="N266">
        <f>'rockfish harvests'!P273</f>
        <v>1226769.4446075337</v>
      </c>
      <c r="O266" s="43">
        <v>0.12582781456953643</v>
      </c>
      <c r="P266" s="43">
        <v>2.4335215851812122E-4</v>
      </c>
      <c r="Q266" s="13">
        <f>M266*O266</f>
        <v>377.79731786153212</v>
      </c>
      <c r="R266" s="14">
        <f>(M266^2)*P266+(O266^2)*N266-(P266*N266)</f>
        <v>21318.273815414075</v>
      </c>
      <c r="S266">
        <f>SQRT(R266)</f>
        <v>146.00778683143608</v>
      </c>
      <c r="T266" s="6">
        <f>(1.96*S266)</f>
        <v>286.17526218961473</v>
      </c>
      <c r="V266" s="13">
        <f>Q266+H266</f>
        <v>1111.7356740259156</v>
      </c>
      <c r="W266">
        <f>R266+I266</f>
        <v>21331.039913545352</v>
      </c>
      <c r="X266">
        <f>SQRT(W266)</f>
        <v>146.05149747108157</v>
      </c>
      <c r="Y266" s="6">
        <f>(1.96*X266)</f>
        <v>286.26093504331988</v>
      </c>
      <c r="Z266" s="14">
        <f t="shared" si="69"/>
        <v>0.13137250237026843</v>
      </c>
    </row>
    <row r="267" spans="1:32" hidden="1" x14ac:dyDescent="0.25">
      <c r="A267" t="str">
        <f>'rockfish harvests'!A274</f>
        <v>SE</v>
      </c>
      <c r="B267">
        <f>'rockfish harvests'!B274</f>
        <v>2020</v>
      </c>
      <c r="C267" t="str">
        <f>'rockfish harvests'!C274</f>
        <v>EWYKT</v>
      </c>
      <c r="D267">
        <f>'rockfish harvests'!D274</f>
        <v>4059</v>
      </c>
      <c r="E267">
        <f>'YE harvest'!E275</f>
        <v>76</v>
      </c>
      <c r="F267" s="108" t="str">
        <f>F317</f>
        <v>0.00735294117647059</v>
      </c>
      <c r="G267" s="108" t="str">
        <f>G317</f>
        <v>2.28446805399873e-06</v>
      </c>
      <c r="H267" s="13">
        <f t="shared" ref="H267:H269" si="106">E267*F267</f>
        <v>0.55882352941176483</v>
      </c>
      <c r="I267">
        <f t="shared" ref="I267:I269" si="107">(E267^2)*G267</f>
        <v>1.3195087479896665E-2</v>
      </c>
      <c r="J267">
        <f t="shared" ref="J267" si="108">SQRT(I267)</f>
        <v>0.11486987194167436</v>
      </c>
      <c r="K267" s="6">
        <f t="shared" ref="K267" si="109">(1.96*J267)</f>
        <v>0.22514494900568174</v>
      </c>
      <c r="M267" s="2">
        <f>'rockfish harvests'!O274</f>
        <v>914.63838771593146</v>
      </c>
      <c r="N267">
        <f>'rockfish harvests'!P274</f>
        <v>109543.02664472036</v>
      </c>
      <c r="O267" s="43">
        <v>1.1235955056179775E-2</v>
      </c>
      <c r="P267" s="43">
        <v>1.2624668602449185E-4</v>
      </c>
      <c r="Q267" s="13">
        <f t="shared" ref="Q267:Q268" si="110">M267*O267</f>
        <v>10.276835817032937</v>
      </c>
      <c r="R267" s="14">
        <f t="shared" ref="R267:R268" si="111">(M267^2)*P267+(O267^2)*N267-(P267*N267)</f>
        <v>105.61335441025105</v>
      </c>
      <c r="S267">
        <f t="shared" ref="S267:S268" si="112">SQRT(R267)</f>
        <v>10.276835817032937</v>
      </c>
      <c r="T267" s="6">
        <f t="shared" ref="T267:T268" si="113">(1.96*S267)</f>
        <v>20.142598201384558</v>
      </c>
      <c r="V267" s="13">
        <f t="shared" ref="V267:V268" si="114">Q267+H267</f>
        <v>10.835659346444702</v>
      </c>
      <c r="W267">
        <f t="shared" ref="W267:W268" si="115">R267+I267</f>
        <v>105.62654949773095</v>
      </c>
      <c r="X267">
        <f t="shared" ref="X267:X268" si="116">SQRT(W267)</f>
        <v>10.277477778994754</v>
      </c>
      <c r="Y267" s="6">
        <f t="shared" ref="Y267:Y268" si="117">(1.96*X267)</f>
        <v>20.143856446829719</v>
      </c>
      <c r="Z267" s="14">
        <f t="shared" ref="Z267:Z268" si="118">X267/V267</f>
        <v>0.94848660800386886</v>
      </c>
    </row>
    <row r="268" spans="1:32" hidden="1" x14ac:dyDescent="0.25">
      <c r="A268" t="str">
        <f>'rockfish harvests'!A275</f>
        <v>SE</v>
      </c>
      <c r="B268">
        <f>'rockfish harvests'!B275</f>
        <v>2021</v>
      </c>
      <c r="C268" t="str">
        <f>'rockfish harvests'!C275</f>
        <v>EWYKT</v>
      </c>
      <c r="D268">
        <f>'rockfish harvests'!D275</f>
        <v>7343</v>
      </c>
      <c r="E268">
        <f>'YE harvest'!E276</f>
        <v>118</v>
      </c>
      <c r="F268" s="108">
        <f t="shared" ref="F268:G268" si="119">F318</f>
        <v>1.4471780028943559E-2</v>
      </c>
      <c r="G268" s="108">
        <f t="shared" si="119"/>
        <v>2.0670069002518015E-5</v>
      </c>
      <c r="H268" s="13">
        <f t="shared" si="106"/>
        <v>1.70767004341534</v>
      </c>
      <c r="I268">
        <f t="shared" si="107"/>
        <v>0.28781004079106082</v>
      </c>
      <c r="K268" s="6"/>
      <c r="M268" s="2">
        <f>'rockfish harvests'!O275</f>
        <v>1513.750779741571</v>
      </c>
      <c r="N268">
        <f>'rockfish harvests'!P275</f>
        <v>303380.23971291271</v>
      </c>
      <c r="O268" t="s">
        <v>223</v>
      </c>
      <c r="P268" t="s">
        <v>224</v>
      </c>
      <c r="Q268" s="13">
        <f t="shared" si="110"/>
        <v>5.1313585753951614</v>
      </c>
      <c r="R268" s="14">
        <f t="shared" si="111"/>
        <v>26.330840829281399</v>
      </c>
      <c r="S268">
        <f t="shared" si="112"/>
        <v>5.1313585753951552</v>
      </c>
      <c r="T268" s="6">
        <f t="shared" si="113"/>
        <v>10.057462807774504</v>
      </c>
      <c r="V268" s="13">
        <f t="shared" si="114"/>
        <v>6.8390286188105014</v>
      </c>
      <c r="W268">
        <f t="shared" si="115"/>
        <v>26.618650870072461</v>
      </c>
      <c r="X268">
        <f t="shared" si="116"/>
        <v>5.1593265907550823</v>
      </c>
      <c r="Y268" s="6">
        <f t="shared" si="117"/>
        <v>10.11228011787996</v>
      </c>
      <c r="Z268" s="14">
        <f t="shared" si="118"/>
        <v>0.75439464846872273</v>
      </c>
    </row>
    <row r="269" spans="1:32" hidden="1" x14ac:dyDescent="0.25">
      <c r="A269" t="s">
        <v>151</v>
      </c>
      <c r="B269">
        <v>2022</v>
      </c>
      <c r="C269" t="s">
        <v>83</v>
      </c>
      <c r="D269">
        <f>'rockfish harvests'!D276</f>
        <v>6780</v>
      </c>
      <c r="E269">
        <f>'YE harvest'!E277</f>
        <v>191</v>
      </c>
      <c r="F269" s="108">
        <f t="shared" ref="F269:G269" si="120">F319</f>
        <v>0</v>
      </c>
      <c r="G269" s="108">
        <f t="shared" si="120"/>
        <v>0</v>
      </c>
      <c r="H269" s="13">
        <f t="shared" si="106"/>
        <v>0</v>
      </c>
      <c r="I269">
        <f t="shared" si="107"/>
        <v>0</v>
      </c>
      <c r="K269" s="6"/>
      <c r="M269" s="2">
        <f>'rockfish harvests'!O276</f>
        <v>2639.4706368899915</v>
      </c>
      <c r="N269">
        <f>'rockfish harvests'!P276</f>
        <v>966290.79621620791</v>
      </c>
      <c r="O269" t="s">
        <v>225</v>
      </c>
      <c r="P269" t="s">
        <v>181</v>
      </c>
      <c r="Q269" s="13">
        <f t="shared" ref="Q269" si="121">M269*O269</f>
        <v>46.923922433599905</v>
      </c>
      <c r="R269" s="14">
        <f t="shared" ref="R269" si="122">(M269^2)*P269+(O269^2)*N269-(P269*N269)</f>
        <v>538.75719875621837</v>
      </c>
      <c r="S269">
        <f t="shared" ref="S269" si="123">SQRT(R269)</f>
        <v>23.211143848509888</v>
      </c>
      <c r="T269" s="6"/>
      <c r="V269" s="13">
        <f t="shared" ref="V269" si="124">Q269+H269</f>
        <v>46.923922433599905</v>
      </c>
      <c r="W269">
        <f t="shared" ref="W269" si="125">R269+I269</f>
        <v>538.75719875621837</v>
      </c>
      <c r="X269">
        <f t="shared" ref="X269" si="126">SQRT(W269)</f>
        <v>23.211143848509888</v>
      </c>
      <c r="Y269" s="6">
        <f t="shared" ref="Y269" si="127">(1.96*X269)</f>
        <v>45.493841943079381</v>
      </c>
      <c r="Z269" s="14">
        <f t="shared" ref="Z269" si="128">X269/V269</f>
        <v>0.49465480813874874</v>
      </c>
      <c r="AF269" t="s">
        <v>222</v>
      </c>
    </row>
    <row r="270" spans="1:32" hidden="1" x14ac:dyDescent="0.25">
      <c r="A270" t="str">
        <f>'rockfish harvests'!A277</f>
        <v>SE</v>
      </c>
      <c r="B270">
        <f>'rockfish harvests'!B277</f>
        <v>1998</v>
      </c>
      <c r="C270" t="str">
        <f>'rockfish harvests'!C277</f>
        <v>NSEI</v>
      </c>
      <c r="D270">
        <f>'rockfish harvests'!D277</f>
        <v>5285</v>
      </c>
      <c r="E270">
        <f>'YE harvest'!E278</f>
        <v>2741</v>
      </c>
      <c r="F270" s="32">
        <v>0.82692465400000004</v>
      </c>
      <c r="G270" s="32">
        <v>1.161425E-2</v>
      </c>
      <c r="H270" s="13">
        <f t="shared" ref="H270:H277" si="129">E270*F270</f>
        <v>2266.6004766139999</v>
      </c>
      <c r="I270">
        <f t="shared" si="71"/>
        <v>87258.801004249995</v>
      </c>
      <c r="J270">
        <f t="shared" si="74"/>
        <v>295.39600708921233</v>
      </c>
      <c r="K270" s="6">
        <f t="shared" si="75"/>
        <v>578.97617389485617</v>
      </c>
      <c r="M270" s="2">
        <f>'rockfish harvests'!O277</f>
        <v>3144.4015142904627</v>
      </c>
      <c r="N270">
        <f>'rockfish harvests'!P277</f>
        <v>781648.06612226402</v>
      </c>
      <c r="O270" s="32">
        <v>0.37719102199999999</v>
      </c>
      <c r="P270" s="32">
        <v>1.2598580999999999E-2</v>
      </c>
      <c r="Q270" s="13">
        <f t="shared" si="64"/>
        <v>1186.0400207535672</v>
      </c>
      <c r="R270" s="14">
        <f t="shared" si="65"/>
        <v>225925.26837131771</v>
      </c>
      <c r="S270">
        <f t="shared" si="76"/>
        <v>475.31596688026133</v>
      </c>
      <c r="T270" s="6">
        <f t="shared" si="77"/>
        <v>931.61929508531216</v>
      </c>
      <c r="V270" s="13">
        <f t="shared" si="72"/>
        <v>3452.6404973675671</v>
      </c>
      <c r="W270">
        <f t="shared" si="73"/>
        <v>313184.06937556772</v>
      </c>
      <c r="X270">
        <f t="shared" si="78"/>
        <v>559.62851015255444</v>
      </c>
      <c r="Y270" s="6">
        <f t="shared" si="79"/>
        <v>1096.8718798990067</v>
      </c>
      <c r="Z270" s="14">
        <f t="shared" si="69"/>
        <v>0.16208710712257413</v>
      </c>
    </row>
    <row r="271" spans="1:32" hidden="1" x14ac:dyDescent="0.25">
      <c r="A271" t="str">
        <f>'rockfish harvests'!A278</f>
        <v>SE</v>
      </c>
      <c r="B271">
        <f>'rockfish harvests'!B278</f>
        <v>1999</v>
      </c>
      <c r="C271" t="str">
        <f>'rockfish harvests'!C278</f>
        <v>NSEI</v>
      </c>
      <c r="D271">
        <f>'rockfish harvests'!D278</f>
        <v>6363</v>
      </c>
      <c r="E271">
        <f>'YE harvest'!E279</f>
        <v>2506</v>
      </c>
      <c r="F271" s="32">
        <v>0.82692465400000004</v>
      </c>
      <c r="G271" s="32">
        <v>1.161425E-2</v>
      </c>
      <c r="H271" s="13">
        <f t="shared" si="129"/>
        <v>2072.2731829240001</v>
      </c>
      <c r="I271">
        <f t="shared" si="71"/>
        <v>72937.908112999998</v>
      </c>
      <c r="J271">
        <f t="shared" si="74"/>
        <v>270.07019108557688</v>
      </c>
      <c r="K271" s="6">
        <f t="shared" si="75"/>
        <v>529.33757452773068</v>
      </c>
      <c r="M271" s="2">
        <f>'rockfish harvests'!O278</f>
        <v>3785.7761278013659</v>
      </c>
      <c r="N271">
        <f>'rockfish harvests'!P278</f>
        <v>1133039.6837394333</v>
      </c>
      <c r="O271" s="32">
        <v>0.37719102199999999</v>
      </c>
      <c r="P271" s="32">
        <v>1.2598580999999999E-2</v>
      </c>
      <c r="Q271" s="13">
        <f t="shared" si="64"/>
        <v>1427.9607667085997</v>
      </c>
      <c r="R271" s="14">
        <f t="shared" si="65"/>
        <v>327490.47265492007</v>
      </c>
      <c r="S271">
        <f t="shared" si="76"/>
        <v>572.26783297239422</v>
      </c>
      <c r="T271" s="6">
        <f t="shared" si="77"/>
        <v>1121.6449526258928</v>
      </c>
      <c r="V271" s="13">
        <f t="shared" si="72"/>
        <v>3500.2339496325999</v>
      </c>
      <c r="W271">
        <f t="shared" si="73"/>
        <v>400428.38076792005</v>
      </c>
      <c r="X271">
        <f t="shared" si="78"/>
        <v>632.7941061418951</v>
      </c>
      <c r="Y271" s="6">
        <f t="shared" si="79"/>
        <v>1240.2764480381143</v>
      </c>
      <c r="Z271" s="14">
        <f t="shared" si="69"/>
        <v>0.18078623179125383</v>
      </c>
    </row>
    <row r="272" spans="1:32" hidden="1" x14ac:dyDescent="0.25">
      <c r="A272" t="str">
        <f>'rockfish harvests'!A279</f>
        <v>SE</v>
      </c>
      <c r="B272">
        <f>'rockfish harvests'!B279</f>
        <v>2000</v>
      </c>
      <c r="C272" t="str">
        <f>'rockfish harvests'!C279</f>
        <v>NSEI</v>
      </c>
      <c r="D272">
        <f>'rockfish harvests'!D279</f>
        <v>9746</v>
      </c>
      <c r="E272">
        <f>'YE harvest'!E280</f>
        <v>4164</v>
      </c>
      <c r="F272" s="32">
        <v>0.82692465400000004</v>
      </c>
      <c r="G272" s="32">
        <v>1.161425E-2</v>
      </c>
      <c r="H272" s="13">
        <f t="shared" si="129"/>
        <v>3443.3142592560002</v>
      </c>
      <c r="I272">
        <f t="shared" si="71"/>
        <v>201378.272868</v>
      </c>
      <c r="J272">
        <f t="shared" si="74"/>
        <v>448.75190569846052</v>
      </c>
      <c r="K272" s="6">
        <f t="shared" si="75"/>
        <v>879.5537351689826</v>
      </c>
      <c r="M272" s="2">
        <f>'rockfish harvests'!O279</f>
        <v>5798.550077251628</v>
      </c>
      <c r="N272">
        <f>'rockfish harvests'!P279</f>
        <v>2658116.9727772144</v>
      </c>
      <c r="O272" s="32">
        <v>0.37719102199999999</v>
      </c>
      <c r="P272" s="32">
        <v>1.2598580999999999E-2</v>
      </c>
      <c r="Q272" s="13">
        <f t="shared" ref="Q272:Q347" si="130">M272*O272</f>
        <v>2187.1610297567204</v>
      </c>
      <c r="R272" s="14">
        <f t="shared" ref="R272:R347" si="131">(M272^2)*P272+(O272^2)*N272-(P272*N272)</f>
        <v>768294.34686161194</v>
      </c>
      <c r="S272">
        <f t="shared" si="76"/>
        <v>876.52401385336384</v>
      </c>
      <c r="T272" s="6">
        <f t="shared" si="77"/>
        <v>1717.987067152593</v>
      </c>
      <c r="V272" s="13">
        <f t="shared" si="72"/>
        <v>5630.4752890127202</v>
      </c>
      <c r="W272">
        <f t="shared" si="73"/>
        <v>969672.61972961191</v>
      </c>
      <c r="X272">
        <f t="shared" si="78"/>
        <v>984.71956400267175</v>
      </c>
      <c r="Y272" s="6">
        <f t="shared" si="79"/>
        <v>1930.0503454452366</v>
      </c>
      <c r="Z272" s="14">
        <f t="shared" si="69"/>
        <v>0.17489101957773412</v>
      </c>
    </row>
    <row r="273" spans="1:26" hidden="1" x14ac:dyDescent="0.25">
      <c r="A273" t="str">
        <f>'rockfish harvests'!A280</f>
        <v>SE</v>
      </c>
      <c r="B273">
        <f>'rockfish harvests'!B280</f>
        <v>2001</v>
      </c>
      <c r="C273" t="str">
        <f>'rockfish harvests'!C280</f>
        <v>NSEI</v>
      </c>
      <c r="D273">
        <f>'rockfish harvests'!D280</f>
        <v>7242</v>
      </c>
      <c r="E273">
        <f>'YE harvest'!E281</f>
        <v>3333</v>
      </c>
      <c r="F273" s="32">
        <v>0.82692465400000004</v>
      </c>
      <c r="G273" s="32">
        <v>1.161425E-2</v>
      </c>
      <c r="H273" s="13">
        <f t="shared" si="129"/>
        <v>2756.1398717820002</v>
      </c>
      <c r="I273">
        <f t="shared" si="71"/>
        <v>129021.41406825</v>
      </c>
      <c r="J273">
        <f t="shared" si="74"/>
        <v>359.19550953241327</v>
      </c>
      <c r="K273" s="6">
        <f t="shared" si="75"/>
        <v>704.02319868353004</v>
      </c>
      <c r="M273" s="2">
        <f>'rockfish harvests'!O280</f>
        <v>4308.7522736975479</v>
      </c>
      <c r="N273">
        <f>'rockfish harvests'!P280</f>
        <v>1467703.4510787677</v>
      </c>
      <c r="O273" s="32">
        <v>0.37719102199999999</v>
      </c>
      <c r="P273" s="32">
        <v>1.2598580999999999E-2</v>
      </c>
      <c r="Q273" s="13">
        <f t="shared" si="130"/>
        <v>1625.2226736608018</v>
      </c>
      <c r="R273" s="14">
        <f t="shared" si="131"/>
        <v>424220.70807325834</v>
      </c>
      <c r="S273">
        <f t="shared" si="76"/>
        <v>651.32227665976416</v>
      </c>
      <c r="T273" s="6">
        <f t="shared" si="77"/>
        <v>1276.5916622531377</v>
      </c>
      <c r="V273" s="13">
        <f t="shared" si="72"/>
        <v>4381.362545442802</v>
      </c>
      <c r="W273">
        <f t="shared" si="73"/>
        <v>553242.12214150839</v>
      </c>
      <c r="X273">
        <f t="shared" si="78"/>
        <v>743.80247521872923</v>
      </c>
      <c r="Y273" s="6">
        <f t="shared" si="79"/>
        <v>1457.8528514287093</v>
      </c>
      <c r="Z273" s="14">
        <f t="shared" si="69"/>
        <v>0.16976510560450708</v>
      </c>
    </row>
    <row r="274" spans="1:26" hidden="1" x14ac:dyDescent="0.25">
      <c r="A274" t="str">
        <f>'rockfish harvests'!A281</f>
        <v>SE</v>
      </c>
      <c r="B274">
        <f>'rockfish harvests'!B281</f>
        <v>2002</v>
      </c>
      <c r="C274" t="str">
        <f>'rockfish harvests'!C281</f>
        <v>NSEI</v>
      </c>
      <c r="D274">
        <f>'rockfish harvests'!D281</f>
        <v>4958</v>
      </c>
      <c r="E274">
        <f>'YE harvest'!E282</f>
        <v>1838</v>
      </c>
      <c r="F274" s="32">
        <v>0.82692465400000004</v>
      </c>
      <c r="G274" s="32">
        <v>1.161425E-2</v>
      </c>
      <c r="H274" s="13">
        <f t="shared" si="129"/>
        <v>1519.8875140520001</v>
      </c>
      <c r="I274">
        <f t="shared" si="71"/>
        <v>39235.770377000001</v>
      </c>
      <c r="J274">
        <f t="shared" si="74"/>
        <v>198.08021197737042</v>
      </c>
      <c r="K274" s="6">
        <f t="shared" si="75"/>
        <v>388.23721547564605</v>
      </c>
      <c r="M274" s="2">
        <f>'rockfish harvests'!O281</f>
        <v>2949.8472484109971</v>
      </c>
      <c r="N274">
        <f>'rockfish harvests'!P281</f>
        <v>687914.27130295534</v>
      </c>
      <c r="O274" s="32">
        <v>0.37719102199999999</v>
      </c>
      <c r="P274" s="32">
        <v>1.2598580999999999E-2</v>
      </c>
      <c r="Q274" s="13">
        <f t="shared" si="130"/>
        <v>1112.6558983720317</v>
      </c>
      <c r="R274" s="14">
        <f t="shared" si="131"/>
        <v>198832.72676871132</v>
      </c>
      <c r="S274">
        <f t="shared" si="76"/>
        <v>445.90663458700783</v>
      </c>
      <c r="T274" s="6">
        <f t="shared" si="77"/>
        <v>873.97700379053538</v>
      </c>
      <c r="V274" s="13">
        <f t="shared" si="72"/>
        <v>2632.5434124240319</v>
      </c>
      <c r="W274">
        <f t="shared" si="73"/>
        <v>238068.49714571133</v>
      </c>
      <c r="X274">
        <f t="shared" si="78"/>
        <v>487.92263438552567</v>
      </c>
      <c r="Y274" s="6">
        <f t="shared" si="79"/>
        <v>956.32836339563028</v>
      </c>
      <c r="Z274" s="14">
        <f t="shared" si="69"/>
        <v>0.18534267358434522</v>
      </c>
    </row>
    <row r="275" spans="1:26" hidden="1" x14ac:dyDescent="0.25">
      <c r="A275" t="str">
        <f>'rockfish harvests'!A282</f>
        <v>SE</v>
      </c>
      <c r="B275">
        <f>'rockfish harvests'!B282</f>
        <v>2003</v>
      </c>
      <c r="C275" t="str">
        <f>'rockfish harvests'!C282</f>
        <v>NSEI</v>
      </c>
      <c r="D275">
        <f>'rockfish harvests'!D282</f>
        <v>6069</v>
      </c>
      <c r="E275">
        <f>'YE harvest'!E283</f>
        <v>2518</v>
      </c>
      <c r="F275" s="32">
        <v>0.82692465400000004</v>
      </c>
      <c r="G275" s="32">
        <v>1.161425E-2</v>
      </c>
      <c r="H275" s="13">
        <f t="shared" si="129"/>
        <v>2082.1962787719999</v>
      </c>
      <c r="I275">
        <f t="shared" si="71"/>
        <v>73638.108016999991</v>
      </c>
      <c r="J275">
        <f t="shared" si="74"/>
        <v>271.36342424320929</v>
      </c>
      <c r="K275" s="6">
        <f t="shared" si="75"/>
        <v>531.87231151669016</v>
      </c>
      <c r="M275" s="2">
        <f>'rockfish harvests'!O282</f>
        <v>3610.8557786620295</v>
      </c>
      <c r="N275">
        <f>'rockfish harvests'!P282</f>
        <v>1030755.2356043656</v>
      </c>
      <c r="O275" s="32">
        <v>0.37719102199999999</v>
      </c>
      <c r="P275" s="32">
        <v>1.2598580999999999E-2</v>
      </c>
      <c r="Q275" s="13">
        <f t="shared" si="130"/>
        <v>1361.9823814481367</v>
      </c>
      <c r="R275" s="14">
        <f t="shared" si="131"/>
        <v>297926.47525418625</v>
      </c>
      <c r="S275">
        <f t="shared" si="76"/>
        <v>545.82641494726715</v>
      </c>
      <c r="T275" s="6">
        <f t="shared" si="77"/>
        <v>1069.8197732966437</v>
      </c>
      <c r="V275" s="13">
        <f t="shared" si="72"/>
        <v>3444.1786602201364</v>
      </c>
      <c r="W275">
        <f t="shared" si="73"/>
        <v>371564.58327118622</v>
      </c>
      <c r="X275">
        <f t="shared" si="78"/>
        <v>609.56097584342308</v>
      </c>
      <c r="Y275" s="6">
        <f t="shared" si="79"/>
        <v>1194.7395126531092</v>
      </c>
      <c r="Z275" s="14">
        <f t="shared" si="69"/>
        <v>0.17698297213317693</v>
      </c>
    </row>
    <row r="276" spans="1:26" hidden="1" x14ac:dyDescent="0.25">
      <c r="A276" t="str">
        <f>'rockfish harvests'!A283</f>
        <v>SE</v>
      </c>
      <c r="B276">
        <f>'rockfish harvests'!B283</f>
        <v>2004</v>
      </c>
      <c r="C276" t="str">
        <f>'rockfish harvests'!C283</f>
        <v>NSEI</v>
      </c>
      <c r="D276">
        <f>'rockfish harvests'!D283</f>
        <v>6052</v>
      </c>
      <c r="E276">
        <f>'YE harvest'!E284</f>
        <v>2724</v>
      </c>
      <c r="F276" s="32">
        <v>0.82692465400000004</v>
      </c>
      <c r="G276" s="32">
        <v>1.161425E-2</v>
      </c>
      <c r="H276" s="13">
        <f t="shared" si="129"/>
        <v>2252.5427574959999</v>
      </c>
      <c r="I276">
        <f t="shared" si="71"/>
        <v>86179.779108000002</v>
      </c>
      <c r="J276">
        <f t="shared" si="74"/>
        <v>293.5639267825664</v>
      </c>
      <c r="K276" s="6">
        <f t="shared" si="75"/>
        <v>575.38529649383008</v>
      </c>
      <c r="M276" s="2">
        <f>'rockfish harvests'!O283</f>
        <v>3600.7413367049921</v>
      </c>
      <c r="N276">
        <f>'rockfish harvests'!P283</f>
        <v>1024988.7840591522</v>
      </c>
      <c r="O276" s="32">
        <v>0.37719102199999999</v>
      </c>
      <c r="P276" s="32">
        <v>1.2598580999999999E-2</v>
      </c>
      <c r="Q276" s="13">
        <f t="shared" si="130"/>
        <v>1358.1673047494021</v>
      </c>
      <c r="R276" s="14">
        <f t="shared" si="131"/>
        <v>296259.75698369188</v>
      </c>
      <c r="S276">
        <f t="shared" si="76"/>
        <v>544.29748941520199</v>
      </c>
      <c r="T276" s="6">
        <f t="shared" si="77"/>
        <v>1066.8230792537959</v>
      </c>
      <c r="V276" s="13">
        <f t="shared" si="72"/>
        <v>3610.7100622454018</v>
      </c>
      <c r="W276">
        <f t="shared" si="73"/>
        <v>382439.53609169187</v>
      </c>
      <c r="X276">
        <f t="shared" si="78"/>
        <v>618.41695973808146</v>
      </c>
      <c r="Y276" s="6">
        <f t="shared" si="79"/>
        <v>1212.0972410866395</v>
      </c>
      <c r="Z276" s="14">
        <f t="shared" si="69"/>
        <v>0.1712729488319826</v>
      </c>
    </row>
    <row r="277" spans="1:26" hidden="1" x14ac:dyDescent="0.25">
      <c r="A277" t="str">
        <f>'rockfish harvests'!A284</f>
        <v>SE</v>
      </c>
      <c r="B277">
        <f>'rockfish harvests'!B284</f>
        <v>2005</v>
      </c>
      <c r="C277" t="str">
        <f>'rockfish harvests'!C284</f>
        <v>NSEI</v>
      </c>
      <c r="D277">
        <f>'rockfish harvests'!D284</f>
        <v>7678</v>
      </c>
      <c r="E277">
        <f>'YE harvest'!E285</f>
        <v>3213</v>
      </c>
      <c r="F277" s="32">
        <v>0.82692465400000004</v>
      </c>
      <c r="G277" s="32">
        <v>1.161425E-2</v>
      </c>
      <c r="H277" s="13">
        <f t="shared" si="129"/>
        <v>2656.9089133020002</v>
      </c>
      <c r="I277">
        <f t="shared" si="71"/>
        <v>119898.18840824999</v>
      </c>
      <c r="J277">
        <f t="shared" si="74"/>
        <v>346.26317795608878</v>
      </c>
      <c r="K277" s="6">
        <f t="shared" si="75"/>
        <v>678.67582879393399</v>
      </c>
      <c r="M277" s="2">
        <f>'rockfish harvests'!O284</f>
        <v>4568.1579615368355</v>
      </c>
      <c r="N277">
        <f>'rockfish harvests'!P284</f>
        <v>1649747.5421593867</v>
      </c>
      <c r="O277" s="32">
        <v>0.37719102199999999</v>
      </c>
      <c r="P277" s="32">
        <v>1.2598580999999999E-2</v>
      </c>
      <c r="Q277" s="13">
        <f t="shared" si="130"/>
        <v>1723.0681701695157</v>
      </c>
      <c r="R277" s="14">
        <f t="shared" si="131"/>
        <v>476838.19913523737</v>
      </c>
      <c r="S277">
        <f t="shared" si="76"/>
        <v>690.53471971743568</v>
      </c>
      <c r="T277" s="6">
        <f t="shared" si="77"/>
        <v>1353.4480506461739</v>
      </c>
      <c r="V277" s="13">
        <f t="shared" si="72"/>
        <v>4379.9770834715164</v>
      </c>
      <c r="W277">
        <f t="shared" si="73"/>
        <v>596736.38754348736</v>
      </c>
      <c r="X277">
        <f t="shared" si="78"/>
        <v>772.48714393411581</v>
      </c>
      <c r="Y277" s="6">
        <f t="shared" si="79"/>
        <v>1514.074802110867</v>
      </c>
      <c r="Z277" s="14">
        <f t="shared" si="69"/>
        <v>0.17636785061027122</v>
      </c>
    </row>
    <row r="278" spans="1:26" hidden="1" x14ac:dyDescent="0.25">
      <c r="A278" t="str">
        <f>'rockfish harvests'!A285</f>
        <v>SE</v>
      </c>
      <c r="B278">
        <f>'rockfish harvests'!B285</f>
        <v>2006</v>
      </c>
      <c r="C278" t="str">
        <f>'rockfish harvests'!C285</f>
        <v>NSEI</v>
      </c>
      <c r="D278">
        <f>'rockfish harvests'!D285</f>
        <v>6437</v>
      </c>
      <c r="E278">
        <f>'YE harvest'!E286</f>
        <v>2961</v>
      </c>
      <c r="F278">
        <f>IF([2]species_comp_Region1_forR!$H142&gt;49,[2]species_comp_Region1_forR!$AM142,[2]species_comp_Region1_forR!$AO142)</f>
        <v>0.92877492900000003</v>
      </c>
      <c r="G278">
        <f>IF([2]species_comp_Region1_forR!$H142&gt;49,[2]species_comp_Region1_forR!$AN142,[2]species_comp_Region1_forR!$AP142)</f>
        <v>1.89006E-4</v>
      </c>
      <c r="H278" s="13">
        <f t="shared" ref="H278:H290" si="132">E278*F278</f>
        <v>2750.1025647689999</v>
      </c>
      <c r="I278">
        <f t="shared" si="71"/>
        <v>1657.1140741260001</v>
      </c>
      <c r="J278">
        <f t="shared" si="74"/>
        <v>40.707666036337677</v>
      </c>
      <c r="K278" s="6">
        <f t="shared" si="75"/>
        <v>79.787025431221849</v>
      </c>
      <c r="M278" s="2">
        <f>'rockfish harvests'!O285</f>
        <v>3829.8036986731713</v>
      </c>
      <c r="N278">
        <f>'rockfish harvests'!P285</f>
        <v>1159546.8293526676</v>
      </c>
      <c r="O278">
        <f>IF([2]species_comp_Region1_forR!$D164&gt;49,[2]species_comp_Region1_forR!$AI164,[2]species_comp_Region1_forR!$AK164)</f>
        <v>0.34210526299999999</v>
      </c>
      <c r="P278">
        <f>IF([2]species_comp_Region1_forR!$D164&gt;49,[2]species_comp_Region1_forR!$AJ164,[2]species_comp_Region1_forR!$AL164)</f>
        <v>1.190843E-3</v>
      </c>
      <c r="Q278" s="13">
        <f t="shared" si="130"/>
        <v>1310.196001572958</v>
      </c>
      <c r="R278" s="14">
        <f t="shared" si="131"/>
        <v>151794.46351398804</v>
      </c>
      <c r="S278">
        <f t="shared" si="76"/>
        <v>389.60808964135748</v>
      </c>
      <c r="T278" s="6">
        <f t="shared" si="77"/>
        <v>763.6318556970607</v>
      </c>
      <c r="V278" s="13">
        <f t="shared" si="72"/>
        <v>4060.2985663419577</v>
      </c>
      <c r="W278">
        <f t="shared" si="73"/>
        <v>153451.57758811404</v>
      </c>
      <c r="X278">
        <f t="shared" si="78"/>
        <v>391.72895934320968</v>
      </c>
      <c r="Y278" s="6">
        <f t="shared" si="79"/>
        <v>767.78876031269101</v>
      </c>
      <c r="Z278" s="14">
        <f t="shared" si="69"/>
        <v>9.6477870516829947E-2</v>
      </c>
    </row>
    <row r="279" spans="1:26" hidden="1" x14ac:dyDescent="0.25">
      <c r="A279" t="str">
        <f>'rockfish harvests'!A286</f>
        <v>SE</v>
      </c>
      <c r="B279">
        <f>'rockfish harvests'!B286</f>
        <v>2007</v>
      </c>
      <c r="C279" t="str">
        <f>'rockfish harvests'!C286</f>
        <v>NSEI</v>
      </c>
      <c r="D279">
        <f>'rockfish harvests'!D286</f>
        <v>7499</v>
      </c>
      <c r="E279">
        <f>'YE harvest'!E287</f>
        <v>3335</v>
      </c>
      <c r="F279">
        <f>IF([2]species_comp_Region1_forR!$H143&gt;49,[2]species_comp_Region1_forR!$AM143,[2]species_comp_Region1_forR!$AO143)</f>
        <v>0.96666666700000003</v>
      </c>
      <c r="G279">
        <f>IF([2]species_comp_Region1_forR!$H143&gt;49,[2]species_comp_Region1_forR!$AN143,[2]species_comp_Region1_forR!$AP143)</f>
        <v>8.9755500000000005E-5</v>
      </c>
      <c r="H279" s="13">
        <f t="shared" si="132"/>
        <v>3223.8333344450002</v>
      </c>
      <c r="I279">
        <f t="shared" si="71"/>
        <v>998.28086598750008</v>
      </c>
      <c r="J279">
        <f t="shared" si="74"/>
        <v>31.595583013888191</v>
      </c>
      <c r="K279" s="6">
        <f t="shared" si="75"/>
        <v>61.927342707220852</v>
      </c>
      <c r="M279" s="2">
        <f>'rockfish harvests'!O286</f>
        <v>4461.6588374009807</v>
      </c>
      <c r="N279">
        <f>'rockfish harvests'!P286</f>
        <v>1573721.8750711286</v>
      </c>
      <c r="O279">
        <f>IF([2]species_comp_Region1_forR!$D165&gt;49,[2]species_comp_Region1_forR!$AI165,[2]species_comp_Region1_forR!$AK165)</f>
        <v>0.43062201</v>
      </c>
      <c r="P279">
        <f>IF([2]species_comp_Region1_forR!$D165&gt;49,[2]species_comp_Region1_forR!$AJ165,[2]species_comp_Region1_forR!$AL165)</f>
        <v>1.178782E-3</v>
      </c>
      <c r="Q279" s="13">
        <f t="shared" si="130"/>
        <v>1921.2884964958735</v>
      </c>
      <c r="R279" s="14">
        <f t="shared" si="131"/>
        <v>313433.8428994366</v>
      </c>
      <c r="S279">
        <f t="shared" si="76"/>
        <v>559.85162578975917</v>
      </c>
      <c r="T279" s="6">
        <f t="shared" si="77"/>
        <v>1097.309186547928</v>
      </c>
      <c r="V279" s="13">
        <f t="shared" si="72"/>
        <v>5145.1218309408741</v>
      </c>
      <c r="W279">
        <f t="shared" si="73"/>
        <v>314432.12376542407</v>
      </c>
      <c r="X279">
        <f t="shared" si="78"/>
        <v>560.74247544253683</v>
      </c>
      <c r="Y279" s="6">
        <f t="shared" si="79"/>
        <v>1099.0552518673721</v>
      </c>
      <c r="Z279" s="14">
        <f t="shared" si="69"/>
        <v>0.10898526679590703</v>
      </c>
    </row>
    <row r="280" spans="1:26" hidden="1" x14ac:dyDescent="0.25">
      <c r="A280" t="str">
        <f>'rockfish harvests'!A287</f>
        <v>SE</v>
      </c>
      <c r="B280">
        <f>'rockfish harvests'!B287</f>
        <v>2008</v>
      </c>
      <c r="C280" t="str">
        <f>'rockfish harvests'!C287</f>
        <v>NSEI</v>
      </c>
      <c r="D280">
        <f>'rockfish harvests'!D287</f>
        <v>10923</v>
      </c>
      <c r="E280">
        <f>'YE harvest'!E288</f>
        <v>4095</v>
      </c>
      <c r="F280">
        <f>IF([2]species_comp_Region1_forR!$H144&gt;49,[2]species_comp_Region1_forR!$AM144,[2]species_comp_Region1_forR!$AO144)</f>
        <v>0.947265625</v>
      </c>
      <c r="G280">
        <f>IF([2]species_comp_Region1_forR!$H144&gt;49,[2]species_comp_Region1_forR!$AN144,[2]species_comp_Region1_forR!$AP144)</f>
        <v>9.7756299999999998E-5</v>
      </c>
      <c r="H280" s="13">
        <f t="shared" si="132"/>
        <v>3879.052734375</v>
      </c>
      <c r="I280">
        <f t="shared" si="71"/>
        <v>1639.2778386074999</v>
      </c>
      <c r="J280">
        <f t="shared" si="74"/>
        <v>40.487996228604594</v>
      </c>
      <c r="K280" s="6">
        <f t="shared" si="75"/>
        <v>79.356472608065005</v>
      </c>
      <c r="M280" s="2">
        <f>'rockfish harvests'!O287</f>
        <v>6498.8264409829208</v>
      </c>
      <c r="N280">
        <f>'rockfish harvests'!P287</f>
        <v>3338913.2975072474</v>
      </c>
      <c r="O280">
        <f>IF([2]species_comp_Region1_forR!$D166&gt;49,[2]species_comp_Region1_forR!$AI166,[2]species_comp_Region1_forR!$AK166)</f>
        <v>0.57558139500000005</v>
      </c>
      <c r="P280">
        <f>IF([2]species_comp_Region1_forR!$D166&gt;49,[2]species_comp_Region1_forR!$AJ166,[2]species_comp_Region1_forR!$AL166)</f>
        <v>1.4285820000000001E-3</v>
      </c>
      <c r="Q280" s="13">
        <f t="shared" si="130"/>
        <v>3740.603588763835</v>
      </c>
      <c r="R280" s="14">
        <f t="shared" si="131"/>
        <v>1161727.6344317703</v>
      </c>
      <c r="S280">
        <f t="shared" si="76"/>
        <v>1077.8346971738154</v>
      </c>
      <c r="T280" s="6">
        <f t="shared" si="77"/>
        <v>2112.556006460678</v>
      </c>
      <c r="V280" s="13">
        <f t="shared" si="72"/>
        <v>7619.6563231388354</v>
      </c>
      <c r="W280">
        <f t="shared" si="73"/>
        <v>1163366.9122703779</v>
      </c>
      <c r="X280">
        <f t="shared" si="78"/>
        <v>1078.5948786594427</v>
      </c>
      <c r="Y280" s="6">
        <f t="shared" si="79"/>
        <v>2114.0459621725076</v>
      </c>
      <c r="Z280" s="14">
        <f t="shared" si="69"/>
        <v>0.14155426871209947</v>
      </c>
    </row>
    <row r="281" spans="1:26" hidden="1" x14ac:dyDescent="0.25">
      <c r="A281" t="str">
        <f>'rockfish harvests'!A288</f>
        <v>SE</v>
      </c>
      <c r="B281">
        <f>'rockfish harvests'!B288</f>
        <v>2009</v>
      </c>
      <c r="C281" t="str">
        <f>'rockfish harvests'!C288</f>
        <v>NSEI</v>
      </c>
      <c r="D281">
        <f>'rockfish harvests'!D288</f>
        <v>9325</v>
      </c>
      <c r="E281">
        <f>'YE harvest'!E289</f>
        <v>3331</v>
      </c>
      <c r="F281">
        <f>IF([2]species_comp_Region1_forR!$H145&gt;49,[2]species_comp_Region1_forR!$AM145,[2]species_comp_Region1_forR!$AO145)</f>
        <v>0.87542087499999999</v>
      </c>
      <c r="G281">
        <f>IF([2]species_comp_Region1_forR!$H145&gt;49,[2]species_comp_Region1_forR!$AN145,[2]species_comp_Region1_forR!$AP145)</f>
        <v>3.6844299999999998E-4</v>
      </c>
      <c r="H281" s="13">
        <f t="shared" si="132"/>
        <v>2916.0269346249997</v>
      </c>
      <c r="I281">
        <f t="shared" si="71"/>
        <v>4088.0817815229998</v>
      </c>
      <c r="J281">
        <f t="shared" si="74"/>
        <v>63.93810899239201</v>
      </c>
      <c r="K281" s="6">
        <f t="shared" si="75"/>
        <v>125.31869362508834</v>
      </c>
      <c r="M281" s="2">
        <f>'rockfish harvests'!O288</f>
        <v>5548.0688970214906</v>
      </c>
      <c r="N281">
        <f>'rockfish harvests'!P288</f>
        <v>2433430.5466266801</v>
      </c>
      <c r="O281">
        <f>IF([2]species_comp_Region1_forR!$D167&gt;49,[2]species_comp_Region1_forR!$AI167,[2]species_comp_Region1_forR!$AK167)</f>
        <v>0.56108597299999996</v>
      </c>
      <c r="P281">
        <f>IF([2]species_comp_Region1_forR!$D167&gt;49,[2]species_comp_Region1_forR!$AJ167,[2]species_comp_Region1_forR!$AL167)</f>
        <v>1.119402E-3</v>
      </c>
      <c r="Q281" s="13">
        <f t="shared" si="130"/>
        <v>3112.9436353563397</v>
      </c>
      <c r="R281" s="14">
        <f t="shared" si="131"/>
        <v>797818.84851792792</v>
      </c>
      <c r="S281">
        <f t="shared" si="76"/>
        <v>893.20705803185854</v>
      </c>
      <c r="T281" s="6">
        <f t="shared" si="77"/>
        <v>1750.6858337424428</v>
      </c>
      <c r="V281" s="13">
        <f t="shared" si="72"/>
        <v>6028.9705699813394</v>
      </c>
      <c r="W281">
        <f t="shared" si="73"/>
        <v>801906.93029945088</v>
      </c>
      <c r="X281">
        <f t="shared" si="78"/>
        <v>895.49256295038595</v>
      </c>
      <c r="Y281" s="6">
        <f t="shared" si="79"/>
        <v>1755.1654233827564</v>
      </c>
      <c r="Z281" s="14">
        <f t="shared" si="69"/>
        <v>0.14853158637215866</v>
      </c>
    </row>
    <row r="282" spans="1:26" hidden="1" x14ac:dyDescent="0.25">
      <c r="A282" t="str">
        <f>'rockfish harvests'!A289</f>
        <v>SE</v>
      </c>
      <c r="B282">
        <f>'rockfish harvests'!B289</f>
        <v>2010</v>
      </c>
      <c r="C282" t="str">
        <f>'rockfish harvests'!C289</f>
        <v>NSEI</v>
      </c>
      <c r="D282">
        <f>'rockfish harvests'!D289</f>
        <v>11942</v>
      </c>
      <c r="E282">
        <f>'YE harvest'!E290</f>
        <v>4469</v>
      </c>
      <c r="F282">
        <f>IF([2]species_comp_Region1_forR!$H146&gt;49,[2]species_comp_Region1_forR!$AM146,[2]species_comp_Region1_forR!$AO146)</f>
        <v>0.91214470299999995</v>
      </c>
      <c r="G282">
        <f>IF([2]species_comp_Region1_forR!$H146&gt;49,[2]species_comp_Region1_forR!$AN146,[2]species_comp_Region1_forR!$AP146)</f>
        <v>2.07608E-4</v>
      </c>
      <c r="H282" s="13">
        <f t="shared" si="132"/>
        <v>4076.3746777069996</v>
      </c>
      <c r="I282">
        <f t="shared" si="71"/>
        <v>4146.3388792879996</v>
      </c>
      <c r="J282">
        <f t="shared" si="74"/>
        <v>64.392071556116278</v>
      </c>
      <c r="K282" s="6">
        <f t="shared" si="75"/>
        <v>126.20846024998791</v>
      </c>
      <c r="M282" s="2">
        <f>'rockfish harvests'!O289</f>
        <v>7105.0979912311668</v>
      </c>
      <c r="N282">
        <f>'rockfish harvests'!P289</f>
        <v>3990941.9253061144</v>
      </c>
      <c r="O282">
        <f>IF([2]species_comp_Region1_forR!$D168&gt;49,[2]species_comp_Region1_forR!$AI168,[2]species_comp_Region1_forR!$AK168)</f>
        <v>0.540342298</v>
      </c>
      <c r="P282">
        <f>IF([2]species_comp_Region1_forR!$D168&gt;49,[2]species_comp_Region1_forR!$AJ168,[2]species_comp_Region1_forR!$AL168)</f>
        <v>6.0875600000000001E-4</v>
      </c>
      <c r="Q282" s="13">
        <f t="shared" si="130"/>
        <v>3839.1849760970326</v>
      </c>
      <c r="R282" s="14">
        <f t="shared" si="131"/>
        <v>1193536.4764675507</v>
      </c>
      <c r="S282">
        <f t="shared" si="76"/>
        <v>1092.490950290917</v>
      </c>
      <c r="T282" s="6">
        <f t="shared" si="77"/>
        <v>2141.2822625701974</v>
      </c>
      <c r="V282" s="13">
        <f t="shared" si="72"/>
        <v>7915.5596538040318</v>
      </c>
      <c r="W282">
        <f t="shared" si="73"/>
        <v>1197682.8153468387</v>
      </c>
      <c r="X282">
        <f t="shared" si="78"/>
        <v>1094.386958688214</v>
      </c>
      <c r="Y282" s="6">
        <f t="shared" si="79"/>
        <v>2144.9984390288996</v>
      </c>
      <c r="Z282" s="14">
        <f t="shared" si="69"/>
        <v>0.13825768569153254</v>
      </c>
    </row>
    <row r="283" spans="1:26" hidden="1" x14ac:dyDescent="0.25">
      <c r="A283" t="str">
        <f>'rockfish harvests'!A290</f>
        <v>SE</v>
      </c>
      <c r="B283">
        <f>'rockfish harvests'!B290</f>
        <v>2011</v>
      </c>
      <c r="C283" t="str">
        <f>'rockfish harvests'!C290</f>
        <v>NSEI</v>
      </c>
      <c r="D283">
        <f>'rockfish harvests'!D290</f>
        <v>13281</v>
      </c>
      <c r="E283">
        <f>'YE harvest'!E291</f>
        <v>4956</v>
      </c>
      <c r="F283">
        <f>IF([2]species_comp_Region1_forR!$H147&gt;49,[2]species_comp_Region1_forR!$AM147,[2]species_comp_Region1_forR!$AO147)</f>
        <v>0.86666666699999995</v>
      </c>
      <c r="G283">
        <f>IF([2]species_comp_Region1_forR!$H147&gt;49,[2]species_comp_Region1_forR!$AN147,[2]species_comp_Region1_forR!$AP147)</f>
        <v>4.5494300000000002E-4</v>
      </c>
      <c r="H283" s="13">
        <f t="shared" si="132"/>
        <v>4295.2000016519996</v>
      </c>
      <c r="I283">
        <f t="shared" si="71"/>
        <v>11174.280849648001</v>
      </c>
      <c r="J283">
        <f t="shared" si="74"/>
        <v>105.70847104015837</v>
      </c>
      <c r="K283" s="6">
        <f t="shared" si="75"/>
        <v>207.18860323871041</v>
      </c>
      <c r="M283" s="2">
        <f>'rockfish harvests'!O290</f>
        <v>7853.144125958821</v>
      </c>
      <c r="N283">
        <f>'rockfish harvests'!P290</f>
        <v>2883554.5471730651</v>
      </c>
      <c r="O283">
        <f>IF([2]species_comp_Region1_forR!$D169&gt;49,[2]species_comp_Region1_forR!$AI169,[2]species_comp_Region1_forR!$AK169)</f>
        <v>0.42528735600000001</v>
      </c>
      <c r="P283">
        <f>IF([2]species_comp_Region1_forR!$D169&gt;49,[2]species_comp_Region1_forR!$AJ169,[2]species_comp_Region1_forR!$AL169)</f>
        <v>7.0437500000000003E-4</v>
      </c>
      <c r="Q283" s="13">
        <f t="shared" si="130"/>
        <v>3339.842901615958</v>
      </c>
      <c r="R283" s="14">
        <f t="shared" si="131"/>
        <v>562955.61545652372</v>
      </c>
      <c r="S283">
        <f t="shared" si="76"/>
        <v>750.3036821557813</v>
      </c>
      <c r="T283" s="6">
        <f t="shared" si="77"/>
        <v>1470.5952170253313</v>
      </c>
      <c r="V283" s="13">
        <f t="shared" si="72"/>
        <v>7635.0429032679576</v>
      </c>
      <c r="W283">
        <f t="shared" si="73"/>
        <v>574129.89630617178</v>
      </c>
      <c r="X283">
        <f t="shared" si="78"/>
        <v>757.71359780999819</v>
      </c>
      <c r="Y283" s="6">
        <f t="shared" si="79"/>
        <v>1485.1186517075964</v>
      </c>
      <c r="Z283" s="14">
        <f t="shared" si="69"/>
        <v>9.9241563853646575E-2</v>
      </c>
    </row>
    <row r="284" spans="1:26" hidden="1" x14ac:dyDescent="0.25">
      <c r="A284" t="str">
        <f>'rockfish harvests'!A291</f>
        <v>SE</v>
      </c>
      <c r="B284">
        <f>'rockfish harvests'!B291</f>
        <v>2012</v>
      </c>
      <c r="C284" t="str">
        <f>'rockfish harvests'!C291</f>
        <v>NSEI</v>
      </c>
      <c r="D284">
        <f>'rockfish harvests'!D291</f>
        <v>15243</v>
      </c>
      <c r="E284">
        <f>'YE harvest'!E292</f>
        <v>6060</v>
      </c>
      <c r="F284">
        <f>IF([2]species_comp_Region1_forR!$H148&gt;49,[2]species_comp_Region1_forR!$AM148,[2]species_comp_Region1_forR!$AO148)</f>
        <v>0.87692307700000005</v>
      </c>
      <c r="G284">
        <f>IF([2]species_comp_Region1_forR!$H148&gt;49,[2]species_comp_Region1_forR!$AN148,[2]species_comp_Region1_forR!$AP148)</f>
        <v>3.3311400000000002E-4</v>
      </c>
      <c r="H284" s="13">
        <f t="shared" si="132"/>
        <v>5314.15384662</v>
      </c>
      <c r="I284">
        <f t="shared" si="71"/>
        <v>12233.145290400002</v>
      </c>
      <c r="J284">
        <f t="shared" si="74"/>
        <v>110.60355008045629</v>
      </c>
      <c r="K284" s="6">
        <f t="shared" si="75"/>
        <v>216.78295815769431</v>
      </c>
      <c r="M284" s="2">
        <f>'rockfish harvests'!O291</f>
        <v>15088.837840909095</v>
      </c>
      <c r="N284">
        <f>'rockfish harvests'!P291</f>
        <v>11116596.990618348</v>
      </c>
      <c r="O284">
        <f>IF([2]species_comp_Region1_forR!$D170&gt;49,[2]species_comp_Region1_forR!$AI170,[2]species_comp_Region1_forR!$AK170)</f>
        <v>0.34435797699999998</v>
      </c>
      <c r="P284">
        <f>IF([2]species_comp_Region1_forR!$D170&gt;49,[2]species_comp_Region1_forR!$AJ170,[2]species_comp_Region1_forR!$AL170)</f>
        <v>4.4010799999999998E-4</v>
      </c>
      <c r="Q284" s="13">
        <f t="shared" si="130"/>
        <v>5195.961674176503</v>
      </c>
      <c r="R284" s="14">
        <f t="shared" si="131"/>
        <v>1413541.1499123147</v>
      </c>
      <c r="S284">
        <f t="shared" si="76"/>
        <v>1188.9243667754122</v>
      </c>
      <c r="T284" s="6">
        <f t="shared" si="77"/>
        <v>2330.2917588798077</v>
      </c>
      <c r="V284" s="13">
        <f t="shared" si="72"/>
        <v>10510.115520796502</v>
      </c>
      <c r="W284">
        <f t="shared" si="73"/>
        <v>1425774.2952027146</v>
      </c>
      <c r="X284">
        <f t="shared" si="78"/>
        <v>1194.0579111595528</v>
      </c>
      <c r="Y284" s="6">
        <f t="shared" si="79"/>
        <v>2340.3535058727234</v>
      </c>
      <c r="Z284" s="14">
        <f t="shared" si="69"/>
        <v>0.11361035078985143</v>
      </c>
    </row>
    <row r="285" spans="1:26" hidden="1" x14ac:dyDescent="0.25">
      <c r="A285" t="str">
        <f>'rockfish harvests'!A292</f>
        <v>SE</v>
      </c>
      <c r="B285">
        <f>'rockfish harvests'!B292</f>
        <v>2013</v>
      </c>
      <c r="C285" t="str">
        <f>'rockfish harvests'!C292</f>
        <v>NSEI</v>
      </c>
      <c r="D285">
        <f>'rockfish harvests'!D292</f>
        <v>14770</v>
      </c>
      <c r="E285">
        <f>'YE harvest'!E293</f>
        <v>5187</v>
      </c>
      <c r="F285">
        <f>IF([2]species_comp_Region1_forR!$H149&gt;49,[2]species_comp_Region1_forR!$AM149,[2]species_comp_Region1_forR!$AO149)</f>
        <v>0.70031545699999997</v>
      </c>
      <c r="G285">
        <f>IF([2]species_comp_Region1_forR!$H149&gt;49,[2]species_comp_Region1_forR!$AN149,[2]species_comp_Region1_forR!$AP149)</f>
        <v>6.6415699999999996E-4</v>
      </c>
      <c r="H285" s="13">
        <f t="shared" si="132"/>
        <v>3632.5362754590001</v>
      </c>
      <c r="I285">
        <f t="shared" si="71"/>
        <v>17869.123496132997</v>
      </c>
      <c r="J285">
        <f t="shared" si="74"/>
        <v>133.67544088624879</v>
      </c>
      <c r="K285" s="6">
        <f t="shared" si="75"/>
        <v>262.00386413704763</v>
      </c>
      <c r="M285" s="2">
        <f>'rockfish harvests'!O292</f>
        <v>8172.238805970148</v>
      </c>
      <c r="N285">
        <f>'rockfish harvests'!P292</f>
        <v>2814788.8573717903</v>
      </c>
      <c r="O285">
        <f>IF([2]species_comp_Region1_forR!$D171&gt;49,[2]species_comp_Region1_forR!$AI171,[2]species_comp_Region1_forR!$AK171)</f>
        <v>0.26653102699999998</v>
      </c>
      <c r="P285">
        <f>IF([2]species_comp_Region1_forR!$D171&gt;49,[2]species_comp_Region1_forR!$AJ171,[2]species_comp_Region1_forR!$AL171)</f>
        <v>1.9907599999999999E-4</v>
      </c>
      <c r="Q285" s="13">
        <f t="shared" si="130"/>
        <v>2178.1552018444772</v>
      </c>
      <c r="R285" s="14">
        <f t="shared" si="131"/>
        <v>212694.22062282517</v>
      </c>
      <c r="S285">
        <f t="shared" si="76"/>
        <v>461.18783659461917</v>
      </c>
      <c r="T285" s="6">
        <f t="shared" si="77"/>
        <v>903.92815972545361</v>
      </c>
      <c r="V285" s="13">
        <f t="shared" si="72"/>
        <v>5810.6914773034769</v>
      </c>
      <c r="W285">
        <f t="shared" si="73"/>
        <v>230563.34411895816</v>
      </c>
      <c r="X285">
        <f t="shared" si="78"/>
        <v>480.17011997724114</v>
      </c>
      <c r="Y285" s="6">
        <f t="shared" si="79"/>
        <v>941.13343515539259</v>
      </c>
      <c r="Z285" s="14">
        <f t="shared" si="69"/>
        <v>8.2635624667525803E-2</v>
      </c>
    </row>
    <row r="286" spans="1:26" hidden="1" x14ac:dyDescent="0.25">
      <c r="A286" t="str">
        <f>'rockfish harvests'!A293</f>
        <v>SE</v>
      </c>
      <c r="B286">
        <f>'rockfish harvests'!B293</f>
        <v>2014</v>
      </c>
      <c r="C286" t="str">
        <f>'rockfish harvests'!C293</f>
        <v>NSEI</v>
      </c>
      <c r="D286">
        <f>'rockfish harvests'!D293</f>
        <v>19857</v>
      </c>
      <c r="E286">
        <f>'YE harvest'!E294</f>
        <v>6286</v>
      </c>
      <c r="F286">
        <f>IF([2]species_comp_Region1_forR!$H150&gt;49,[2]species_comp_Region1_forR!$AM150,[2]species_comp_Region1_forR!$AO150)</f>
        <v>0.76947040499999997</v>
      </c>
      <c r="G286">
        <f>IF([2]species_comp_Region1_forR!$H150&gt;49,[2]species_comp_Region1_forR!$AN150,[2]species_comp_Region1_forR!$AP150)</f>
        <v>5.5433000000000001E-4</v>
      </c>
      <c r="H286" s="13">
        <f t="shared" si="132"/>
        <v>4836.8909658299999</v>
      </c>
      <c r="I286">
        <f t="shared" si="71"/>
        <v>21903.68253668</v>
      </c>
      <c r="J286">
        <f t="shared" si="74"/>
        <v>147.99892748489768</v>
      </c>
      <c r="K286" s="6">
        <f t="shared" si="75"/>
        <v>290.07789787039945</v>
      </c>
      <c r="M286" s="2">
        <f>'rockfish harvests'!O293</f>
        <v>12419.119924151324</v>
      </c>
      <c r="N286">
        <f>'rockfish harvests'!P293</f>
        <v>9528568.3691134229</v>
      </c>
      <c r="O286">
        <f>IF([2]species_comp_Region1_forR!$D172&gt;49,[2]species_comp_Region1_forR!$AI172,[2]species_comp_Region1_forR!$AK172)</f>
        <v>0.34105075699999998</v>
      </c>
      <c r="P286">
        <f>IF([2]species_comp_Region1_forR!$D172&gt;49,[2]species_comp_Region1_forR!$AJ172,[2]species_comp_Region1_forR!$AL172)</f>
        <v>2.00299E-4</v>
      </c>
      <c r="Q286" s="13">
        <f t="shared" si="130"/>
        <v>4235.5502514055916</v>
      </c>
      <c r="R286" s="14">
        <f t="shared" si="131"/>
        <v>1137305.7879602576</v>
      </c>
      <c r="S286">
        <f t="shared" si="76"/>
        <v>1066.4453984898887</v>
      </c>
      <c r="T286" s="6">
        <f t="shared" si="77"/>
        <v>2090.232981040182</v>
      </c>
      <c r="V286" s="13">
        <f t="shared" si="72"/>
        <v>9072.4412172355915</v>
      </c>
      <c r="W286">
        <f t="shared" si="73"/>
        <v>1159209.4704969376</v>
      </c>
      <c r="X286">
        <f t="shared" si="78"/>
        <v>1076.6659047712701</v>
      </c>
      <c r="Y286" s="6">
        <f t="shared" si="79"/>
        <v>2110.2651733516896</v>
      </c>
      <c r="Z286" s="14">
        <f t="shared" si="69"/>
        <v>0.1186743324085526</v>
      </c>
    </row>
    <row r="287" spans="1:26" hidden="1" x14ac:dyDescent="0.25">
      <c r="A287" t="str">
        <f>'rockfish harvests'!A294</f>
        <v>SE</v>
      </c>
      <c r="B287">
        <f>'rockfish harvests'!B294</f>
        <v>2015</v>
      </c>
      <c r="C287" t="str">
        <f>'rockfish harvests'!C294</f>
        <v>NSEI</v>
      </c>
      <c r="D287">
        <f>'rockfish harvests'!D294</f>
        <v>22095</v>
      </c>
      <c r="E287">
        <f>'YE harvest'!E295</f>
        <v>8119</v>
      </c>
      <c r="F287">
        <f>IF([2]species_comp_Region1_forR!$H151&gt;49,[2]species_comp_Region1_forR!$AM151,[2]species_comp_Region1_forR!$AO151)</f>
        <v>0.87191011200000001</v>
      </c>
      <c r="G287">
        <f>IF([2]species_comp_Region1_forR!$H151&gt;49,[2]species_comp_Region1_forR!$AN151,[2]species_comp_Region1_forR!$AP151)</f>
        <v>2.5153799999999999E-4</v>
      </c>
      <c r="H287" s="13">
        <f t="shared" si="132"/>
        <v>7079.0381993279998</v>
      </c>
      <c r="I287">
        <f t="shared" si="71"/>
        <v>16580.922381617998</v>
      </c>
      <c r="J287">
        <f t="shared" si="74"/>
        <v>128.76693046593135</v>
      </c>
      <c r="K287" s="6">
        <f t="shared" si="75"/>
        <v>252.38318371322543</v>
      </c>
      <c r="M287" s="2">
        <f>'rockfish harvests'!O294</f>
        <v>9668.8857001484394</v>
      </c>
      <c r="N287">
        <f>'rockfish harvests'!P294</f>
        <v>4304414.6066964231</v>
      </c>
      <c r="O287">
        <f>IF([2]species_comp_Region1_forR!$D173&gt;49,[2]species_comp_Region1_forR!$AI173,[2]species_comp_Region1_forR!$AK173)</f>
        <v>0.3125</v>
      </c>
      <c r="P287">
        <f>IF([2]species_comp_Region1_forR!$D173&gt;49,[2]species_comp_Region1_forR!$AJ173,[2]species_comp_Region1_forR!$AL173)</f>
        <v>1.7682599999999999E-4</v>
      </c>
      <c r="Q287" s="13">
        <f t="shared" si="130"/>
        <v>3021.5267812963875</v>
      </c>
      <c r="R287" s="14">
        <f t="shared" si="131"/>
        <v>436122.85078974382</v>
      </c>
      <c r="S287">
        <f t="shared" si="76"/>
        <v>660.39598029496199</v>
      </c>
      <c r="T287" s="6">
        <f t="shared" si="77"/>
        <v>1294.3761213781254</v>
      </c>
      <c r="V287" s="13">
        <f t="shared" si="72"/>
        <v>10100.564980624387</v>
      </c>
      <c r="W287">
        <f t="shared" si="73"/>
        <v>452703.77317136183</v>
      </c>
      <c r="X287">
        <f t="shared" si="78"/>
        <v>672.83264871092706</v>
      </c>
      <c r="Y287" s="6">
        <f t="shared" si="79"/>
        <v>1318.7519914734171</v>
      </c>
      <c r="Z287" s="14">
        <f t="shared" si="69"/>
        <v>6.6613367668204887E-2</v>
      </c>
    </row>
    <row r="288" spans="1:26" hidden="1" x14ac:dyDescent="0.25">
      <c r="A288" t="str">
        <f>'rockfish harvests'!A295</f>
        <v>SE</v>
      </c>
      <c r="B288">
        <f>'rockfish harvests'!B295</f>
        <v>2016</v>
      </c>
      <c r="C288" t="str">
        <f>'rockfish harvests'!C295</f>
        <v>NSEI</v>
      </c>
      <c r="D288">
        <f>'rockfish harvests'!D295</f>
        <v>25877</v>
      </c>
      <c r="E288">
        <f>'YE harvest'!E296</f>
        <v>9231</v>
      </c>
      <c r="F288">
        <f>IF([2]species_comp_Region1_forR!$H152&gt;49,[2]species_comp_Region1_forR!$AM152,[2]species_comp_Region1_forR!$AO152)</f>
        <v>0.67078189300000002</v>
      </c>
      <c r="G288">
        <f>IF([2]species_comp_Region1_forR!$H152&gt;49,[2]species_comp_Region1_forR!$AN152,[2]species_comp_Region1_forR!$AP152)</f>
        <v>4.55327E-4</v>
      </c>
      <c r="H288" s="13">
        <f t="shared" si="132"/>
        <v>6191.9876542829998</v>
      </c>
      <c r="I288">
        <f t="shared" si="71"/>
        <v>38799.033370047</v>
      </c>
      <c r="J288">
        <f t="shared" si="74"/>
        <v>196.97470236060011</v>
      </c>
      <c r="K288" s="6">
        <f t="shared" si="75"/>
        <v>386.07041662677619</v>
      </c>
      <c r="M288" s="2">
        <f>'rockfish harvests'!O295</f>
        <v>14189.291818701371</v>
      </c>
      <c r="N288">
        <f>'rockfish harvests'!P295</f>
        <v>6762576.6255513411</v>
      </c>
      <c r="O288">
        <f>IF([2]species_comp_Region1_forR!$D174&gt;49,[2]species_comp_Region1_forR!$AI174,[2]species_comp_Region1_forR!$AK174)</f>
        <v>0.30892448500000003</v>
      </c>
      <c r="P288">
        <f>IF([2]species_comp_Region1_forR!$D174&gt;49,[2]species_comp_Region1_forR!$AJ174,[2]species_comp_Region1_forR!$AL174)</f>
        <v>1.6296999999999999E-4</v>
      </c>
      <c r="Q288" s="13">
        <f t="shared" si="130"/>
        <v>4383.4196676070351</v>
      </c>
      <c r="R288" s="14">
        <f t="shared" si="131"/>
        <v>677091.65078092262</v>
      </c>
      <c r="S288">
        <f t="shared" si="76"/>
        <v>822.85578978392232</v>
      </c>
      <c r="T288" s="6">
        <f t="shared" si="77"/>
        <v>1612.7973479764878</v>
      </c>
      <c r="V288" s="13">
        <f t="shared" si="72"/>
        <v>10575.407321890034</v>
      </c>
      <c r="W288">
        <f t="shared" si="73"/>
        <v>715890.68415096961</v>
      </c>
      <c r="X288">
        <f t="shared" si="78"/>
        <v>846.1032349252481</v>
      </c>
      <c r="Y288" s="6">
        <f t="shared" si="79"/>
        <v>1658.3623404534862</v>
      </c>
      <c r="Z288" s="14">
        <f t="shared" si="69"/>
        <v>8.0006680515643039E-2</v>
      </c>
    </row>
    <row r="289" spans="1:26" hidden="1" x14ac:dyDescent="0.25">
      <c r="A289" t="str">
        <f>'rockfish harvests'!A296</f>
        <v>SE</v>
      </c>
      <c r="B289">
        <f>'rockfish harvests'!B296</f>
        <v>2017</v>
      </c>
      <c r="C289" t="str">
        <f>'rockfish harvests'!C296</f>
        <v>NSEI</v>
      </c>
      <c r="D289">
        <f>'rockfish harvests'!D296</f>
        <v>24305</v>
      </c>
      <c r="E289">
        <f>'YE harvest'!E297</f>
        <v>5102</v>
      </c>
      <c r="F289">
        <f>IF([2]species_comp_Region1_forR!$H153&gt;49,[2]species_comp_Region1_forR!$AM153,[2]species_comp_Region1_forR!$AO153)</f>
        <v>0.725978648</v>
      </c>
      <c r="G289">
        <f>IF([2]species_comp_Region1_forR!$H153&gt;49,[2]species_comp_Region1_forR!$AN153,[2]species_comp_Region1_forR!$AP153)</f>
        <v>7.1047700000000005E-4</v>
      </c>
      <c r="H289" s="13">
        <f t="shared" si="132"/>
        <v>3703.9430620960002</v>
      </c>
      <c r="I289">
        <f t="shared" si="71"/>
        <v>18494.003342708002</v>
      </c>
      <c r="J289">
        <f t="shared" si="74"/>
        <v>135.99265915007325</v>
      </c>
      <c r="K289" s="6">
        <f t="shared" si="75"/>
        <v>266.54561193414355</v>
      </c>
      <c r="M289" s="2">
        <f>'rockfish harvests'!O296</f>
        <v>16806.228360636691</v>
      </c>
      <c r="N289">
        <f>'rockfish harvests'!P296</f>
        <v>14540377.874931889</v>
      </c>
      <c r="O289">
        <f>IF([2]species_comp_Region1_forR!$D175&gt;49,[2]species_comp_Region1_forR!$AI175,[2]species_comp_Region1_forR!$AK175)</f>
        <v>0.23880597000000001</v>
      </c>
      <c r="P289">
        <f>IF([2]species_comp_Region1_forR!$D175&gt;49,[2]species_comp_Region1_forR!$AJ175,[2]species_comp_Region1_forR!$AL175)</f>
        <v>1.59734E-4</v>
      </c>
      <c r="Q289" s="13">
        <f t="shared" si="130"/>
        <v>4013.4276657033547</v>
      </c>
      <c r="R289" s="14">
        <f t="shared" si="131"/>
        <v>872007.07081198215</v>
      </c>
      <c r="S289">
        <f t="shared" si="76"/>
        <v>933.81318839047356</v>
      </c>
      <c r="T289" s="6">
        <f t="shared" si="77"/>
        <v>1830.2738492453282</v>
      </c>
      <c r="V289" s="13">
        <f t="shared" si="72"/>
        <v>7717.3707277993544</v>
      </c>
      <c r="W289">
        <f t="shared" si="73"/>
        <v>890501.07415469014</v>
      </c>
      <c r="X289">
        <f t="shared" si="78"/>
        <v>943.66364460791328</v>
      </c>
      <c r="Y289" s="6">
        <f t="shared" si="79"/>
        <v>1849.58074343151</v>
      </c>
      <c r="Z289" s="14">
        <f t="shared" si="69"/>
        <v>0.12227786870581032</v>
      </c>
    </row>
    <row r="290" spans="1:26" hidden="1" x14ac:dyDescent="0.25">
      <c r="A290" t="str">
        <f>'rockfish harvests'!A297</f>
        <v>SE</v>
      </c>
      <c r="B290">
        <f>'rockfish harvests'!B297</f>
        <v>2018</v>
      </c>
      <c r="C290" t="str">
        <f>'rockfish harvests'!C297</f>
        <v>NSEI</v>
      </c>
      <c r="D290">
        <f>'rockfish harvests'!D297</f>
        <v>34673</v>
      </c>
      <c r="E290">
        <f>'YE harvest'!E298</f>
        <v>6405</v>
      </c>
      <c r="F290">
        <f>IF([2]species_comp_Region1_forR!$H154&gt;49,[2]species_comp_Region1_forR!$AM154,[2]species_comp_Region1_forR!$AO154)</f>
        <v>0.82954545499999999</v>
      </c>
      <c r="G290">
        <f>IF([2]species_comp_Region1_forR!$H154&gt;49,[2]species_comp_Region1_forR!$AN154,[2]species_comp_Region1_forR!$AP154)</f>
        <v>2.6831100000000003E-4</v>
      </c>
      <c r="H290" s="13">
        <f t="shared" si="132"/>
        <v>5313.2386392749995</v>
      </c>
      <c r="I290">
        <f t="shared" si="71"/>
        <v>11007.197171775</v>
      </c>
      <c r="J290">
        <f t="shared" si="74"/>
        <v>104.91519037667996</v>
      </c>
      <c r="K290" s="6">
        <f t="shared" si="75"/>
        <v>205.63377313829272</v>
      </c>
      <c r="M290" s="2">
        <f>'rockfish harvests'!O297</f>
        <v>15349.26901059274</v>
      </c>
      <c r="N290">
        <f>'rockfish harvests'!P297</f>
        <v>8197994.4604236083</v>
      </c>
      <c r="O290">
        <f>IF([2]species_comp_Region1_forR!$D176&gt;49,[2]species_comp_Region1_forR!$AI176,[2]species_comp_Region1_forR!$AK176)</f>
        <v>0.32617342900000001</v>
      </c>
      <c r="P290">
        <f>IF([2]species_comp_Region1_forR!$D176&gt;49,[2]species_comp_Region1_forR!$AJ176,[2]species_comp_Region1_forR!$AL176)</f>
        <v>1.74988E-4</v>
      </c>
      <c r="Q290" s="13">
        <f t="shared" si="130"/>
        <v>5006.5237058284711</v>
      </c>
      <c r="R290" s="14">
        <f t="shared" si="131"/>
        <v>911969.93237748754</v>
      </c>
      <c r="S290">
        <f t="shared" si="76"/>
        <v>954.97116834880808</v>
      </c>
      <c r="T290" s="6">
        <f t="shared" si="77"/>
        <v>1871.7434899636637</v>
      </c>
      <c r="V290" s="13">
        <f t="shared" si="72"/>
        <v>10319.762345103471</v>
      </c>
      <c r="W290">
        <f t="shared" si="73"/>
        <v>922977.12954926258</v>
      </c>
      <c r="X290">
        <f t="shared" si="78"/>
        <v>960.71698722842541</v>
      </c>
      <c r="Y290" s="6">
        <f t="shared" si="79"/>
        <v>1883.0052949677138</v>
      </c>
      <c r="Z290" s="14">
        <f t="shared" ref="Z290:Z362" si="133">X290/V290</f>
        <v>9.3094875162921475E-2</v>
      </c>
    </row>
    <row r="291" spans="1:26" hidden="1" x14ac:dyDescent="0.25">
      <c r="A291" t="str">
        <f>'rockfish harvests'!A298</f>
        <v>SE</v>
      </c>
      <c r="B291">
        <f>'rockfish harvests'!B298</f>
        <v>2019</v>
      </c>
      <c r="C291" t="str">
        <f>'rockfish harvests'!C298</f>
        <v>NSEI</v>
      </c>
      <c r="D291">
        <f>'rockfish harvests'!D298</f>
        <v>36293</v>
      </c>
      <c r="E291">
        <f>'YE harvest'!E299</f>
        <v>6197</v>
      </c>
      <c r="F291">
        <v>0.52329192546583847</v>
      </c>
      <c r="G291">
        <v>3.8795876548692665E-4</v>
      </c>
      <c r="H291" s="13">
        <f>E291*F291</f>
        <v>3242.8400621118012</v>
      </c>
      <c r="I291">
        <f>(E291^2)*G291</f>
        <v>14898.706370870237</v>
      </c>
      <c r="K291" s="6"/>
      <c r="M291" s="2">
        <f>'rockfish harvests'!O298</f>
        <v>23183.361216730038</v>
      </c>
      <c r="N291">
        <f>'rockfish harvests'!P298</f>
        <v>24125308.819017805</v>
      </c>
      <c r="O291">
        <v>0.24787685774946921</v>
      </c>
      <c r="P291">
        <v>9.9008986267508551E-5</v>
      </c>
      <c r="Q291" s="13">
        <f>M291*O291</f>
        <v>5746.6187304739533</v>
      </c>
      <c r="R291" s="14">
        <f>(M291^2)*P291+(O291^2)*N291-(P291*N291)</f>
        <v>1533155.3833663466</v>
      </c>
      <c r="S291">
        <f>SQRT(R291)</f>
        <v>1238.2065188676511</v>
      </c>
      <c r="T291" s="6">
        <f>(1.96*S291)</f>
        <v>2426.8847769805961</v>
      </c>
      <c r="V291" s="13">
        <f>Q291+H291</f>
        <v>8989.4587925857541</v>
      </c>
      <c r="W291">
        <f>R291+I291</f>
        <v>1548054.0897372169</v>
      </c>
      <c r="X291">
        <f>SQRT(W291)</f>
        <v>1244.2082179993897</v>
      </c>
      <c r="Y291" s="6">
        <f>(1.96*X291)</f>
        <v>2438.6481072788038</v>
      </c>
      <c r="Z291" s="14">
        <f t="shared" si="133"/>
        <v>0.13840746664588716</v>
      </c>
    </row>
    <row r="292" spans="1:26" hidden="1" x14ac:dyDescent="0.25">
      <c r="A292" t="str">
        <f>'rockfish harvests'!A299</f>
        <v>SE</v>
      </c>
      <c r="B292">
        <f>'rockfish harvests'!B299</f>
        <v>2020</v>
      </c>
      <c r="C292" t="str">
        <f>'rockfish harvests'!C299</f>
        <v>NSEI</v>
      </c>
      <c r="D292">
        <f>'rockfish harvests'!D299</f>
        <v>17585</v>
      </c>
      <c r="E292">
        <f>'YE harvest'!E300</f>
        <v>283</v>
      </c>
      <c r="F292" t="s">
        <v>226</v>
      </c>
      <c r="G292" t="s">
        <v>227</v>
      </c>
      <c r="H292" s="13">
        <f t="shared" ref="H292:H293" si="134">E292*F292</f>
        <v>102.90909090909101</v>
      </c>
      <c r="I292">
        <f t="shared" ref="I292:I293" si="135">(E292^2)*G292</f>
        <v>28.251511791977382</v>
      </c>
      <c r="J292">
        <f t="shared" ref="J292" si="136">SQRT(I292)</f>
        <v>5.315215121890871</v>
      </c>
      <c r="K292" s="6">
        <f t="shared" ref="K292" si="137">(1.96*J292)</f>
        <v>10.417821638906107</v>
      </c>
      <c r="M292" s="2">
        <f>'rockfish harvests'!O299</f>
        <v>4858.3978904449577</v>
      </c>
      <c r="N292">
        <f>'rockfish harvests'!P299</f>
        <v>1472700.4379098967</v>
      </c>
      <c r="O292" t="s">
        <v>297</v>
      </c>
      <c r="P292" t="s">
        <v>298</v>
      </c>
      <c r="Q292" s="13">
        <f t="shared" ref="Q292:Q293" si="138">M292*O292</f>
        <v>353.57612679788087</v>
      </c>
      <c r="R292" s="14">
        <f t="shared" ref="R292:R293" si="139">(M292^2)*P292+(O292^2)*N292-(P292*N292)</f>
        <v>11836.26105014024</v>
      </c>
      <c r="S292">
        <f t="shared" ref="S292:S293" si="140">SQRT(R292)</f>
        <v>108.79458189698713</v>
      </c>
      <c r="T292" s="6">
        <f t="shared" ref="T292:T293" si="141">(1.96*S292)</f>
        <v>213.23738051809477</v>
      </c>
      <c r="V292" s="13">
        <f t="shared" ref="V292:V293" si="142">Q292+H292</f>
        <v>456.48521770697187</v>
      </c>
      <c r="W292">
        <f t="shared" ref="W292:W293" si="143">R292+I292</f>
        <v>11864.512561932217</v>
      </c>
      <c r="X292">
        <f t="shared" ref="X292:X293" si="144">SQRT(W292)</f>
        <v>108.92434329355498</v>
      </c>
      <c r="Y292" s="6">
        <f t="shared" ref="Y292:Y293" si="145">(1.96*X292)</f>
        <v>213.49171285536775</v>
      </c>
      <c r="Z292" s="14">
        <f t="shared" si="133"/>
        <v>0.23861526960436202</v>
      </c>
    </row>
    <row r="293" spans="1:26" hidden="1" x14ac:dyDescent="0.25">
      <c r="A293" t="str">
        <f>'rockfish harvests'!A300</f>
        <v>SE</v>
      </c>
      <c r="B293">
        <f>'rockfish harvests'!B300</f>
        <v>2021</v>
      </c>
      <c r="C293" t="str">
        <f>'rockfish harvests'!C300</f>
        <v>NSEI</v>
      </c>
      <c r="D293">
        <f>'rockfish harvests'!D300</f>
        <v>33151</v>
      </c>
      <c r="E293">
        <f>'YE harvest'!E301</f>
        <v>1940</v>
      </c>
      <c r="F293" t="s">
        <v>228</v>
      </c>
      <c r="G293" t="s">
        <v>229</v>
      </c>
      <c r="H293" s="13">
        <f t="shared" si="134"/>
        <v>32.881355932203427</v>
      </c>
      <c r="I293">
        <f t="shared" si="135"/>
        <v>34.417479111160425</v>
      </c>
      <c r="K293" s="6"/>
      <c r="M293" s="2">
        <f>'rockfish harvests'!O300</f>
        <v>7926.4899805809182</v>
      </c>
      <c r="N293">
        <f>'rockfish harvests'!P300</f>
        <v>3864104.3574178377</v>
      </c>
      <c r="O293" t="s">
        <v>299</v>
      </c>
      <c r="P293" t="s">
        <v>300</v>
      </c>
      <c r="Q293" s="13">
        <f t="shared" si="138"/>
        <v>377.45190383718648</v>
      </c>
      <c r="R293" s="14">
        <f t="shared" si="139"/>
        <v>15144.375209600177</v>
      </c>
      <c r="S293">
        <f t="shared" si="140"/>
        <v>123.06248498059909</v>
      </c>
      <c r="T293" s="6">
        <f t="shared" si="141"/>
        <v>241.20247056197422</v>
      </c>
      <c r="V293" s="13">
        <f t="shared" si="142"/>
        <v>410.33325976938988</v>
      </c>
      <c r="W293">
        <f t="shared" si="143"/>
        <v>15178.792688711337</v>
      </c>
      <c r="X293">
        <f t="shared" si="144"/>
        <v>123.20224303441613</v>
      </c>
      <c r="Y293" s="6">
        <f t="shared" si="145"/>
        <v>241.47639634745562</v>
      </c>
      <c r="Z293" s="14">
        <f t="shared" si="133"/>
        <v>0.30024922450511721</v>
      </c>
    </row>
    <row r="294" spans="1:26" hidden="1" x14ac:dyDescent="0.25">
      <c r="A294" t="s">
        <v>151</v>
      </c>
      <c r="B294">
        <v>2022</v>
      </c>
      <c r="C294" t="s">
        <v>38</v>
      </c>
      <c r="D294">
        <f>'rockfish harvests'!D301</f>
        <v>34168</v>
      </c>
      <c r="E294">
        <f>'YE harvest'!E302</f>
        <v>2848</v>
      </c>
      <c r="F294" t="s">
        <v>230</v>
      </c>
      <c r="G294" t="s">
        <v>231</v>
      </c>
      <c r="H294" s="13">
        <f t="shared" ref="H294" si="146">E294*F294</f>
        <v>353.24031007751944</v>
      </c>
      <c r="I294">
        <f t="shared" ref="I294" si="147">(E294^2)*G294</f>
        <v>304.19388554957328</v>
      </c>
      <c r="K294" s="6"/>
      <c r="M294" s="2">
        <f>'rockfish harvests'!O301</f>
        <v>23959.726273535314</v>
      </c>
      <c r="N294">
        <f>'rockfish harvests'!P301</f>
        <v>56312393.20575878</v>
      </c>
      <c r="O294" t="s">
        <v>232</v>
      </c>
      <c r="P294" t="s">
        <v>233</v>
      </c>
      <c r="Q294" s="13">
        <f t="shared" ref="Q294" si="148">M294*O294</f>
        <v>1685.865601336174</v>
      </c>
      <c r="R294" s="14">
        <f t="shared" ref="R294" si="149">(M294^2)*P294+(O294^2)*N294-(P294*N294)</f>
        <v>302883.43071959179</v>
      </c>
      <c r="S294">
        <f t="shared" ref="S294" si="150">SQRT(R294)</f>
        <v>550.34846299375795</v>
      </c>
      <c r="T294" s="6"/>
      <c r="V294" s="13">
        <f t="shared" ref="V294" si="151">Q294+H294</f>
        <v>2039.1059114136933</v>
      </c>
      <c r="W294">
        <f t="shared" ref="W294" si="152">R294+I294</f>
        <v>303187.62460514135</v>
      </c>
      <c r="X294">
        <f t="shared" ref="X294" si="153">SQRT(W294)</f>
        <v>550.6247584382138</v>
      </c>
      <c r="Y294" s="6">
        <f t="shared" ref="Y294" si="154">(1.96*X294)</f>
        <v>1079.224526538899</v>
      </c>
      <c r="Z294" s="14">
        <f t="shared" ref="Z294" si="155">X294/V294</f>
        <v>0.27003244674842353</v>
      </c>
    </row>
    <row r="295" spans="1:26" hidden="1" x14ac:dyDescent="0.25">
      <c r="A295" t="str">
        <f>'rockfish harvests'!A302</f>
        <v>SE</v>
      </c>
      <c r="B295">
        <f>'rockfish harvests'!B302</f>
        <v>1998</v>
      </c>
      <c r="C295" t="str">
        <f>'rockfish harvests'!C302</f>
        <v>NSEO</v>
      </c>
      <c r="D295">
        <f>'rockfish harvests'!D302</f>
        <v>1123</v>
      </c>
      <c r="E295">
        <f>'YE harvest'!E303</f>
        <v>522</v>
      </c>
      <c r="F295" s="32">
        <v>0.915492906</v>
      </c>
      <c r="G295" s="32">
        <v>3.095375E-3</v>
      </c>
      <c r="H295" s="13">
        <f t="shared" ref="H295:H302" si="156">E295*F295</f>
        <v>477.88729693199997</v>
      </c>
      <c r="I295">
        <f t="shared" si="71"/>
        <v>843.44016150000004</v>
      </c>
      <c r="J295">
        <f t="shared" si="74"/>
        <v>29.04204127639791</v>
      </c>
      <c r="K295" s="6">
        <f t="shared" si="75"/>
        <v>56.922400901739906</v>
      </c>
      <c r="M295" s="2">
        <f>'rockfish harvests'!O302</f>
        <v>595.65533897155365</v>
      </c>
      <c r="N295">
        <f>'rockfish harvests'!P302</f>
        <v>93360.34279041113</v>
      </c>
      <c r="O295" s="32">
        <v>0.32828362700000002</v>
      </c>
      <c r="P295" s="32">
        <v>2.2094531000000001E-2</v>
      </c>
      <c r="Q295" s="13">
        <f t="shared" si="130"/>
        <v>195.54389511949609</v>
      </c>
      <c r="R295" s="14">
        <f t="shared" si="131"/>
        <v>15837.96052305261</v>
      </c>
      <c r="S295">
        <f t="shared" si="76"/>
        <v>125.84895916555135</v>
      </c>
      <c r="T295" s="6">
        <f t="shared" si="77"/>
        <v>246.66395996448065</v>
      </c>
      <c r="V295" s="13">
        <f t="shared" si="72"/>
        <v>673.43119205149605</v>
      </c>
      <c r="W295">
        <f t="shared" si="73"/>
        <v>16681.400684552609</v>
      </c>
      <c r="X295">
        <f t="shared" si="78"/>
        <v>129.1564968731833</v>
      </c>
      <c r="Y295" s="6">
        <f t="shared" si="79"/>
        <v>253.14673387143927</v>
      </c>
      <c r="Z295" s="14">
        <f t="shared" si="133"/>
        <v>0.19178870595484229</v>
      </c>
    </row>
    <row r="296" spans="1:26" hidden="1" x14ac:dyDescent="0.25">
      <c r="A296" t="str">
        <f>'rockfish harvests'!A303</f>
        <v>SE</v>
      </c>
      <c r="B296">
        <f>'rockfish harvests'!B303</f>
        <v>1999</v>
      </c>
      <c r="C296" t="str">
        <f>'rockfish harvests'!C303</f>
        <v>NSEO</v>
      </c>
      <c r="D296">
        <f>'rockfish harvests'!D303</f>
        <v>1071</v>
      </c>
      <c r="E296">
        <f>'YE harvest'!E304</f>
        <v>587</v>
      </c>
      <c r="F296" s="32">
        <v>0.915492906</v>
      </c>
      <c r="G296" s="32">
        <v>3.095375E-3</v>
      </c>
      <c r="H296" s="13">
        <f t="shared" si="156"/>
        <v>537.39433582200002</v>
      </c>
      <c r="I296">
        <f t="shared" si="71"/>
        <v>1066.5702683750001</v>
      </c>
      <c r="J296">
        <f t="shared" si="74"/>
        <v>32.658387412347842</v>
      </c>
      <c r="K296" s="6">
        <f t="shared" si="75"/>
        <v>64.01043932820177</v>
      </c>
      <c r="M296" s="2">
        <f>'rockfish harvests'!O303</f>
        <v>568.07379166387705</v>
      </c>
      <c r="N296">
        <f>'rockfish harvests'!P303</f>
        <v>84914.501969787365</v>
      </c>
      <c r="O296" s="32">
        <v>0.32828362700000002</v>
      </c>
      <c r="P296" s="32">
        <v>2.2094531000000001E-2</v>
      </c>
      <c r="Q296" s="13">
        <f t="shared" si="130"/>
        <v>186.48932473105992</v>
      </c>
      <c r="R296" s="14">
        <f t="shared" si="131"/>
        <v>14405.179863695774</v>
      </c>
      <c r="S296">
        <f t="shared" si="76"/>
        <v>120.02158082484905</v>
      </c>
      <c r="T296" s="6">
        <f t="shared" si="77"/>
        <v>235.24229841670413</v>
      </c>
      <c r="V296" s="13">
        <f t="shared" si="72"/>
        <v>723.88366055305994</v>
      </c>
      <c r="W296">
        <f t="shared" si="73"/>
        <v>15471.750132070774</v>
      </c>
      <c r="X296">
        <f t="shared" si="78"/>
        <v>124.38549003831103</v>
      </c>
      <c r="Y296" s="6">
        <f t="shared" si="79"/>
        <v>243.79556047508962</v>
      </c>
      <c r="Z296" s="14">
        <f t="shared" si="133"/>
        <v>0.17183077449666195</v>
      </c>
    </row>
    <row r="297" spans="1:26" hidden="1" x14ac:dyDescent="0.25">
      <c r="A297" t="str">
        <f>'rockfish harvests'!A304</f>
        <v>SE</v>
      </c>
      <c r="B297">
        <f>'rockfish harvests'!B304</f>
        <v>2000</v>
      </c>
      <c r="C297" t="str">
        <f>'rockfish harvests'!C304</f>
        <v>NSEO</v>
      </c>
      <c r="D297">
        <f>'rockfish harvests'!D304</f>
        <v>2883</v>
      </c>
      <c r="E297">
        <f>'YE harvest'!E305</f>
        <v>1426</v>
      </c>
      <c r="F297" s="32">
        <v>0.915492906</v>
      </c>
      <c r="G297" s="32">
        <v>3.095375E-3</v>
      </c>
      <c r="H297" s="13">
        <f t="shared" si="156"/>
        <v>1305.492883956</v>
      </c>
      <c r="I297">
        <f t="shared" si="71"/>
        <v>6294.3707734999998</v>
      </c>
      <c r="J297">
        <f t="shared" si="74"/>
        <v>79.337070613301577</v>
      </c>
      <c r="K297" s="6">
        <f t="shared" si="75"/>
        <v>155.50065840207108</v>
      </c>
      <c r="M297" s="2">
        <f>'rockfish harvests'!O304</f>
        <v>1529.1846324621447</v>
      </c>
      <c r="N297">
        <f>'rockfish harvests'!P304</f>
        <v>615307.50161743129</v>
      </c>
      <c r="O297" s="32">
        <v>0.32828362700000002</v>
      </c>
      <c r="P297" s="32">
        <v>2.2094531000000001E-2</v>
      </c>
      <c r="Q297" s="13">
        <f t="shared" si="130"/>
        <v>502.00627749733485</v>
      </c>
      <c r="R297" s="14">
        <f t="shared" si="131"/>
        <v>104382.82068043045</v>
      </c>
      <c r="S297">
        <f t="shared" si="76"/>
        <v>323.08330300470567</v>
      </c>
      <c r="T297" s="6">
        <f t="shared" si="77"/>
        <v>633.24327388922313</v>
      </c>
      <c r="V297" s="13">
        <f t="shared" si="72"/>
        <v>1807.4991614533349</v>
      </c>
      <c r="W297">
        <f t="shared" si="73"/>
        <v>110677.19145393046</v>
      </c>
      <c r="X297">
        <f t="shared" si="78"/>
        <v>332.68181713753228</v>
      </c>
      <c r="Y297" s="6">
        <f t="shared" si="79"/>
        <v>652.05636158956327</v>
      </c>
      <c r="Z297" s="14">
        <f t="shared" si="133"/>
        <v>0.18405641575514572</v>
      </c>
    </row>
    <row r="298" spans="1:26" hidden="1" x14ac:dyDescent="0.25">
      <c r="A298" t="str">
        <f>'rockfish harvests'!A305</f>
        <v>SE</v>
      </c>
      <c r="B298">
        <f>'rockfish harvests'!B305</f>
        <v>2001</v>
      </c>
      <c r="C298" t="str">
        <f>'rockfish harvests'!C305</f>
        <v>NSEO</v>
      </c>
      <c r="D298">
        <f>'rockfish harvests'!D305</f>
        <v>2839</v>
      </c>
      <c r="E298">
        <f>'YE harvest'!E306</f>
        <v>1604</v>
      </c>
      <c r="F298" s="32">
        <v>0.915492906</v>
      </c>
      <c r="G298" s="32">
        <v>3.095375E-3</v>
      </c>
      <c r="H298" s="13">
        <f t="shared" si="156"/>
        <v>1468.4506212240001</v>
      </c>
      <c r="I298">
        <f t="shared" si="71"/>
        <v>7963.8303260000002</v>
      </c>
      <c r="J298">
        <f t="shared" si="74"/>
        <v>89.240295416364461</v>
      </c>
      <c r="K298" s="6">
        <f t="shared" si="75"/>
        <v>174.91097901607435</v>
      </c>
      <c r="M298" s="2">
        <f>'rockfish harvests'!O305</f>
        <v>1505.8464001248803</v>
      </c>
      <c r="N298">
        <f>'rockfish harvests'!P305</f>
        <v>596669.32361688081</v>
      </c>
      <c r="O298" s="32">
        <v>0.32828362700000002</v>
      </c>
      <c r="P298" s="32">
        <v>2.2094531000000001E-2</v>
      </c>
      <c r="Q298" s="13">
        <f t="shared" si="130"/>
        <v>494.34471793788902</v>
      </c>
      <c r="R298" s="14">
        <f t="shared" si="131"/>
        <v>101220.97788324804</v>
      </c>
      <c r="S298">
        <f t="shared" si="76"/>
        <v>318.15244440872686</v>
      </c>
      <c r="T298" s="6">
        <f t="shared" si="77"/>
        <v>623.57879104110464</v>
      </c>
      <c r="V298" s="13">
        <f t="shared" si="72"/>
        <v>1962.7953391618892</v>
      </c>
      <c r="W298">
        <f t="shared" si="73"/>
        <v>109184.80820924803</v>
      </c>
      <c r="X298">
        <f t="shared" si="78"/>
        <v>330.43124581257149</v>
      </c>
      <c r="Y298" s="6">
        <f t="shared" si="79"/>
        <v>647.64524179264015</v>
      </c>
      <c r="Z298" s="14">
        <f t="shared" si="133"/>
        <v>0.16834727453228271</v>
      </c>
    </row>
    <row r="299" spans="1:26" hidden="1" x14ac:dyDescent="0.25">
      <c r="A299" t="str">
        <f>'rockfish harvests'!A306</f>
        <v>SE</v>
      </c>
      <c r="B299">
        <f>'rockfish harvests'!B306</f>
        <v>2002</v>
      </c>
      <c r="C299" t="str">
        <f>'rockfish harvests'!C306</f>
        <v>NSEO</v>
      </c>
      <c r="D299">
        <f>'rockfish harvests'!D306</f>
        <v>2029</v>
      </c>
      <c r="E299">
        <f>'YE harvest'!E307</f>
        <v>1342</v>
      </c>
      <c r="F299" s="32">
        <v>0.915492906</v>
      </c>
      <c r="G299" s="32">
        <v>3.095375E-3</v>
      </c>
      <c r="H299" s="13">
        <f t="shared" si="156"/>
        <v>1228.591479852</v>
      </c>
      <c r="I299">
        <f t="shared" ref="I299:I365" si="157">(E299^2)*G299</f>
        <v>5574.6589414999999</v>
      </c>
      <c r="J299">
        <f t="shared" si="74"/>
        <v>74.66363868376628</v>
      </c>
      <c r="K299" s="6">
        <f t="shared" si="75"/>
        <v>146.3407318201819</v>
      </c>
      <c r="M299" s="2">
        <f>'rockfish harvests'!O306</f>
        <v>1076.2107593706878</v>
      </c>
      <c r="N299">
        <f>'rockfish harvests'!P306</f>
        <v>304766.3537779394</v>
      </c>
      <c r="O299" s="32">
        <v>0.32828362700000002</v>
      </c>
      <c r="P299" s="32">
        <v>2.2094531000000001E-2</v>
      </c>
      <c r="Q299" s="13">
        <f t="shared" si="130"/>
        <v>353.30237150263366</v>
      </c>
      <c r="R299" s="14">
        <f t="shared" si="131"/>
        <v>51701.582659414242</v>
      </c>
      <c r="S299">
        <f t="shared" si="76"/>
        <v>227.37982025547967</v>
      </c>
      <c r="T299" s="6">
        <f t="shared" si="77"/>
        <v>445.66444770074014</v>
      </c>
      <c r="V299" s="13">
        <f t="shared" ref="V299:V365" si="158">Q299+H299</f>
        <v>1581.8938513546336</v>
      </c>
      <c r="W299">
        <f t="shared" ref="W299:W365" si="159">R299+I299</f>
        <v>57276.24160091424</v>
      </c>
      <c r="X299">
        <f t="shared" si="78"/>
        <v>239.32455285848596</v>
      </c>
      <c r="Y299" s="6">
        <f t="shared" si="79"/>
        <v>469.07612360263249</v>
      </c>
      <c r="Z299" s="14">
        <f t="shared" si="133"/>
        <v>0.15128989385320865</v>
      </c>
    </row>
    <row r="300" spans="1:26" hidden="1" x14ac:dyDescent="0.25">
      <c r="A300" t="str">
        <f>'rockfish harvests'!A307</f>
        <v>SE</v>
      </c>
      <c r="B300">
        <f>'rockfish harvests'!B307</f>
        <v>2003</v>
      </c>
      <c r="C300" t="str">
        <f>'rockfish harvests'!C307</f>
        <v>NSEO</v>
      </c>
      <c r="D300">
        <f>'rockfish harvests'!D307</f>
        <v>3083</v>
      </c>
      <c r="E300">
        <f>'YE harvest'!E308</f>
        <v>1659</v>
      </c>
      <c r="F300" s="32">
        <v>0.915492906</v>
      </c>
      <c r="G300" s="32">
        <v>3.095375E-3</v>
      </c>
      <c r="H300" s="13">
        <f t="shared" si="156"/>
        <v>1518.8027310540001</v>
      </c>
      <c r="I300">
        <f t="shared" si="157"/>
        <v>8519.3418003749994</v>
      </c>
      <c r="J300">
        <f t="shared" ref="J300:J365" si="160">SQRT(I300)</f>
        <v>92.300280608322097</v>
      </c>
      <c r="K300" s="6">
        <f t="shared" ref="K300:K365" si="161">(1.96*J300)</f>
        <v>180.90854999231132</v>
      </c>
      <c r="M300" s="2">
        <f>'rockfish harvests'!O307</f>
        <v>1635.26750672244</v>
      </c>
      <c r="N300">
        <f>'rockfish harvests'!P307</f>
        <v>703639.11639872531</v>
      </c>
      <c r="O300" s="32">
        <v>0.32828362700000002</v>
      </c>
      <c r="P300" s="32">
        <v>2.2094531000000001E-2</v>
      </c>
      <c r="Q300" s="13">
        <f t="shared" si="130"/>
        <v>536.83154822208951</v>
      </c>
      <c r="R300" s="14">
        <f t="shared" si="131"/>
        <v>119367.6909800639</v>
      </c>
      <c r="S300">
        <f t="shared" ref="S300:S365" si="162">SQRT(R300)</f>
        <v>345.49629662279148</v>
      </c>
      <c r="T300" s="6">
        <f t="shared" ref="T300:T365" si="163">(1.96*S300)</f>
        <v>677.17274138067125</v>
      </c>
      <c r="V300" s="13">
        <f t="shared" si="158"/>
        <v>2055.6342792760897</v>
      </c>
      <c r="W300">
        <f t="shared" si="159"/>
        <v>127887.03278043889</v>
      </c>
      <c r="X300">
        <f t="shared" ref="X300:X365" si="164">SQRT(W300)</f>
        <v>357.61296506200512</v>
      </c>
      <c r="Y300" s="6">
        <f t="shared" ref="Y300:Y365" si="165">(1.96*X300)</f>
        <v>700.92141152152999</v>
      </c>
      <c r="Z300" s="14">
        <f t="shared" si="133"/>
        <v>0.17396721229417411</v>
      </c>
    </row>
    <row r="301" spans="1:26" hidden="1" x14ac:dyDescent="0.25">
      <c r="A301" t="str">
        <f>'rockfish harvests'!A308</f>
        <v>SE</v>
      </c>
      <c r="B301">
        <f>'rockfish harvests'!B308</f>
        <v>2004</v>
      </c>
      <c r="C301" t="str">
        <f>'rockfish harvests'!C308</f>
        <v>NSEO</v>
      </c>
      <c r="D301">
        <f>'rockfish harvests'!D308</f>
        <v>2923</v>
      </c>
      <c r="E301">
        <f>'YE harvest'!E309</f>
        <v>1924</v>
      </c>
      <c r="F301" s="32">
        <v>0.915492906</v>
      </c>
      <c r="G301" s="32">
        <v>3.095375E-3</v>
      </c>
      <c r="H301" s="13">
        <f t="shared" si="156"/>
        <v>1761.4083511439999</v>
      </c>
      <c r="I301">
        <f t="shared" si="157"/>
        <v>11458.384886</v>
      </c>
      <c r="J301">
        <f t="shared" si="160"/>
        <v>107.04384562411796</v>
      </c>
      <c r="K301" s="6">
        <f t="shared" si="161"/>
        <v>209.80593742327122</v>
      </c>
      <c r="M301" s="2">
        <f>'rockfish harvests'!O308</f>
        <v>1550.4012073142039</v>
      </c>
      <c r="N301">
        <f>'rockfish harvests'!P308</f>
        <v>632500.03783668019</v>
      </c>
      <c r="O301" s="32">
        <v>0.32828362700000002</v>
      </c>
      <c r="P301" s="32">
        <v>2.2094531000000001E-2</v>
      </c>
      <c r="Q301" s="13">
        <f t="shared" si="130"/>
        <v>508.9713316422858</v>
      </c>
      <c r="R301" s="14">
        <f t="shared" si="131"/>
        <v>107299.41997508927</v>
      </c>
      <c r="S301">
        <f t="shared" si="162"/>
        <v>327.56590172832284</v>
      </c>
      <c r="T301" s="6">
        <f t="shared" si="163"/>
        <v>642.02916738751276</v>
      </c>
      <c r="V301" s="13">
        <f t="shared" si="158"/>
        <v>2270.3796827862857</v>
      </c>
      <c r="W301">
        <f t="shared" si="159"/>
        <v>118757.80486108927</v>
      </c>
      <c r="X301">
        <f t="shared" si="164"/>
        <v>344.61254309889716</v>
      </c>
      <c r="Y301" s="6">
        <f t="shared" si="165"/>
        <v>675.44058447383838</v>
      </c>
      <c r="Z301" s="14">
        <f t="shared" si="133"/>
        <v>0.15178630504479196</v>
      </c>
    </row>
    <row r="302" spans="1:26" hidden="1" x14ac:dyDescent="0.25">
      <c r="A302" t="str">
        <f>'rockfish harvests'!A309</f>
        <v>SE</v>
      </c>
      <c r="B302">
        <f>'rockfish harvests'!B309</f>
        <v>2005</v>
      </c>
      <c r="C302" t="str">
        <f>'rockfish harvests'!C309</f>
        <v>NSEO</v>
      </c>
      <c r="D302">
        <f>'rockfish harvests'!D309</f>
        <v>2796</v>
      </c>
      <c r="E302">
        <f>'YE harvest'!E310</f>
        <v>1608</v>
      </c>
      <c r="F302" s="32">
        <v>0.915492906</v>
      </c>
      <c r="G302" s="32">
        <v>3.095375E-3</v>
      </c>
      <c r="H302" s="13">
        <f t="shared" si="156"/>
        <v>1472.1125928480001</v>
      </c>
      <c r="I302">
        <f t="shared" si="157"/>
        <v>8003.5997040000002</v>
      </c>
      <c r="J302">
        <f t="shared" si="160"/>
        <v>89.462839793961379</v>
      </c>
      <c r="K302" s="6">
        <f t="shared" si="161"/>
        <v>175.34716599616431</v>
      </c>
      <c r="M302" s="2">
        <f>'rockfish harvests'!O309</f>
        <v>1483.0385821589171</v>
      </c>
      <c r="N302">
        <f>'rockfish harvests'!P309</f>
        <v>578731.68372450606</v>
      </c>
      <c r="O302" s="32">
        <v>0.32828362700000002</v>
      </c>
      <c r="P302" s="32">
        <v>2.2094531000000001E-2</v>
      </c>
      <c r="Q302" s="13">
        <f t="shared" si="130"/>
        <v>486.85728473206683</v>
      </c>
      <c r="R302" s="14">
        <f t="shared" si="131"/>
        <v>98177.9767116484</v>
      </c>
      <c r="S302">
        <f t="shared" si="162"/>
        <v>313.33365078083841</v>
      </c>
      <c r="T302" s="6">
        <f t="shared" si="163"/>
        <v>614.13395553044325</v>
      </c>
      <c r="V302" s="13">
        <f t="shared" si="158"/>
        <v>1958.9698775800668</v>
      </c>
      <c r="W302">
        <f t="shared" si="159"/>
        <v>106181.57641564839</v>
      </c>
      <c r="X302">
        <f t="shared" si="164"/>
        <v>325.85514636974568</v>
      </c>
      <c r="Y302" s="6">
        <f t="shared" si="165"/>
        <v>638.67608688470148</v>
      </c>
      <c r="Z302" s="14">
        <f t="shared" si="133"/>
        <v>0.16634004948165793</v>
      </c>
    </row>
    <row r="303" spans="1:26" hidden="1" x14ac:dyDescent="0.25">
      <c r="A303" t="str">
        <f>'rockfish harvests'!A310</f>
        <v>SE</v>
      </c>
      <c r="B303">
        <f>'rockfish harvests'!B310</f>
        <v>2006</v>
      </c>
      <c r="C303" t="str">
        <f>'rockfish harvests'!C310</f>
        <v>NSEO</v>
      </c>
      <c r="D303">
        <f>'rockfish harvests'!D310</f>
        <v>3058</v>
      </c>
      <c r="E303">
        <f>'YE harvest'!E311</f>
        <v>1651</v>
      </c>
      <c r="F303">
        <f>IF([2]species_comp_Region1_forR!$H186&gt;49,[2]species_comp_Region1_forR!$AM186,[2]species_comp_Region1_forR!$AO186)</f>
        <v>0.98809523799999999</v>
      </c>
      <c r="G303">
        <f>IF([2]species_comp_Region1_forR!$H186&gt;49,[2]species_comp_Region1_forR!$AN186,[2]species_comp_Region1_forR!$AP186)</f>
        <v>2.8074099999999999E-5</v>
      </c>
      <c r="H303" s="13">
        <f t="shared" ref="H303:H315" si="166">E303*F303</f>
        <v>1631.3452379380001</v>
      </c>
      <c r="I303">
        <f t="shared" si="157"/>
        <v>76.5244098541</v>
      </c>
      <c r="J303">
        <f t="shared" si="160"/>
        <v>8.7478231494526675</v>
      </c>
      <c r="K303" s="6">
        <f t="shared" si="161"/>
        <v>17.145733372927229</v>
      </c>
      <c r="M303" s="2">
        <f>'rockfish harvests'!O310</f>
        <v>1622.0071474399028</v>
      </c>
      <c r="N303">
        <f>'rockfish harvests'!P310</f>
        <v>692273.78689881065</v>
      </c>
      <c r="O303">
        <f>IF([2]species_comp_Region1_forR!$D208&gt;49,[2]species_comp_Region1_forR!$AI208,[2]species_comp_Region1_forR!$AK208)</f>
        <v>0.56060606099999999</v>
      </c>
      <c r="P303">
        <f>IF([2]species_comp_Region1_forR!$D208&gt;49,[2]species_comp_Region1_forR!$AJ208,[2]species_comp_Region1_forR!$AL208)</f>
        <v>3.7896449999999999E-3</v>
      </c>
      <c r="Q303" s="13">
        <f t="shared" si="130"/>
        <v>909.30703784013019</v>
      </c>
      <c r="R303" s="14">
        <f t="shared" si="131"/>
        <v>224913.95358034477</v>
      </c>
      <c r="S303">
        <f t="shared" si="162"/>
        <v>474.25093946174189</v>
      </c>
      <c r="T303" s="6">
        <f t="shared" si="163"/>
        <v>929.53184134501407</v>
      </c>
      <c r="V303" s="13">
        <f t="shared" si="158"/>
        <v>2540.6522757781304</v>
      </c>
      <c r="W303">
        <f t="shared" si="159"/>
        <v>224990.47799019885</v>
      </c>
      <c r="X303">
        <f t="shared" si="164"/>
        <v>474.33161183943753</v>
      </c>
      <c r="Y303" s="6">
        <f t="shared" si="165"/>
        <v>929.68995920529755</v>
      </c>
      <c r="Z303" s="14">
        <f t="shared" si="133"/>
        <v>0.18669678505853898</v>
      </c>
    </row>
    <row r="304" spans="1:26" hidden="1" x14ac:dyDescent="0.25">
      <c r="A304" t="str">
        <f>'rockfish harvests'!A311</f>
        <v>SE</v>
      </c>
      <c r="B304">
        <f>'rockfish harvests'!B311</f>
        <v>2007</v>
      </c>
      <c r="C304" t="str">
        <f>'rockfish harvests'!C311</f>
        <v>NSEO</v>
      </c>
      <c r="D304">
        <f>'rockfish harvests'!D311</f>
        <v>4266</v>
      </c>
      <c r="E304">
        <f>'YE harvest'!E312</f>
        <v>1748</v>
      </c>
      <c r="F304">
        <f>IF([2]species_comp_Region1_forR!$H187&gt;49,[2]species_comp_Region1_forR!$AM187,[2]species_comp_Region1_forR!$AO187)</f>
        <v>0.98697068399999999</v>
      </c>
      <c r="G304">
        <f>IF([2]species_comp_Region1_forR!$H187&gt;49,[2]species_comp_Region1_forR!$AN187,[2]species_comp_Region1_forR!$AP187)</f>
        <v>2.0978100000000002E-5</v>
      </c>
      <c r="H304" s="13">
        <f t="shared" si="166"/>
        <v>1725.2247556319999</v>
      </c>
      <c r="I304">
        <f t="shared" si="157"/>
        <v>64.098668462399999</v>
      </c>
      <c r="J304">
        <f t="shared" si="160"/>
        <v>8.0061644039077784</v>
      </c>
      <c r="K304" s="6">
        <f t="shared" si="161"/>
        <v>15.692082231659246</v>
      </c>
      <c r="M304" s="2">
        <f>'rockfish harvests'!O311</f>
        <v>2262.7477079720811</v>
      </c>
      <c r="N304">
        <f>'rockfish harvests'!P311</f>
        <v>1347238.9410750614</v>
      </c>
      <c r="O304">
        <f>IF([2]species_comp_Region1_forR!$D209&gt;49,[2]species_comp_Region1_forR!$AI209,[2]species_comp_Region1_forR!$AK209)</f>
        <v>0.63934426200000005</v>
      </c>
      <c r="P304">
        <f>IF([2]species_comp_Region1_forR!$D209&gt;49,[2]species_comp_Region1_forR!$AJ209,[2]species_comp_Region1_forR!$AL209)</f>
        <v>3.8430529999999999E-3</v>
      </c>
      <c r="Q304" s="13">
        <f t="shared" si="130"/>
        <v>1446.6747634456019</v>
      </c>
      <c r="R304" s="14">
        <f t="shared" si="131"/>
        <v>565197.87698089657</v>
      </c>
      <c r="S304">
        <f t="shared" si="162"/>
        <v>751.79643320575587</v>
      </c>
      <c r="T304" s="6">
        <f t="shared" si="163"/>
        <v>1473.5210090832816</v>
      </c>
      <c r="V304" s="13">
        <f t="shared" si="158"/>
        <v>3171.8995190776018</v>
      </c>
      <c r="W304">
        <f t="shared" si="159"/>
        <v>565261.97564935894</v>
      </c>
      <c r="X304">
        <f t="shared" si="164"/>
        <v>751.83906233273024</v>
      </c>
      <c r="Y304" s="6">
        <f t="shared" si="165"/>
        <v>1473.6045621721512</v>
      </c>
      <c r="Z304" s="14">
        <f t="shared" si="133"/>
        <v>0.2370311725862512</v>
      </c>
    </row>
    <row r="305" spans="1:26" hidden="1" x14ac:dyDescent="0.25">
      <c r="A305" t="str">
        <f>'rockfish harvests'!A312</f>
        <v>SE</v>
      </c>
      <c r="B305">
        <f>'rockfish harvests'!B312</f>
        <v>2008</v>
      </c>
      <c r="C305" t="str">
        <f>'rockfish harvests'!C312</f>
        <v>NSEO</v>
      </c>
      <c r="D305">
        <f>'rockfish harvests'!D312</f>
        <v>5010</v>
      </c>
      <c r="E305">
        <f>'YE harvest'!E313</f>
        <v>1963</v>
      </c>
      <c r="F305">
        <f>IF([2]species_comp_Region1_forR!$H188&gt;49,[2]species_comp_Region1_forR!$AM188,[2]species_comp_Region1_forR!$AO188)</f>
        <v>0.94631710400000002</v>
      </c>
      <c r="G305">
        <f>IF([2]species_comp_Region1_forR!$H188&gt;49,[2]species_comp_Region1_forR!$AN188,[2]species_comp_Region1_forR!$AP188)</f>
        <v>6.3501299999999995E-5</v>
      </c>
      <c r="H305" s="13">
        <f t="shared" si="166"/>
        <v>1857.6204751519999</v>
      </c>
      <c r="I305">
        <f t="shared" si="157"/>
        <v>244.69394087969997</v>
      </c>
      <c r="J305">
        <f t="shared" si="160"/>
        <v>15.642696087302213</v>
      </c>
      <c r="K305" s="6">
        <f t="shared" si="161"/>
        <v>30.659684331112334</v>
      </c>
      <c r="M305" s="2">
        <f>'rockfish harvests'!O312</f>
        <v>2657.3760002203771</v>
      </c>
      <c r="N305">
        <f>'rockfish harvests'!P312</f>
        <v>1858139.7621286947</v>
      </c>
      <c r="O305">
        <f>IF([2]species_comp_Region1_forR!$D210&gt;49,[2]species_comp_Region1_forR!$AI210,[2]species_comp_Region1_forR!$AK210)</f>
        <v>0.27722772299999998</v>
      </c>
      <c r="P305">
        <f>IF([2]species_comp_Region1_forR!$D210&gt;49,[2]species_comp_Region1_forR!$AJ210,[2]species_comp_Region1_forR!$AL210)</f>
        <v>2.003725E-3</v>
      </c>
      <c r="Q305" s="13">
        <f t="shared" si="130"/>
        <v>736.69829769594264</v>
      </c>
      <c r="R305" s="14">
        <f t="shared" si="131"/>
        <v>153234.12032463716</v>
      </c>
      <c r="S305">
        <f t="shared" si="162"/>
        <v>391.45130006762929</v>
      </c>
      <c r="T305" s="6">
        <f t="shared" si="163"/>
        <v>767.2445481325534</v>
      </c>
      <c r="V305" s="13">
        <f t="shared" si="158"/>
        <v>2594.3187728479425</v>
      </c>
      <c r="W305">
        <f t="shared" si="159"/>
        <v>153478.81426551685</v>
      </c>
      <c r="X305">
        <f t="shared" si="164"/>
        <v>391.76372249803433</v>
      </c>
      <c r="Y305" s="6">
        <f t="shared" si="165"/>
        <v>767.85689609614724</v>
      </c>
      <c r="Z305" s="14">
        <f t="shared" si="133"/>
        <v>0.15100832118173793</v>
      </c>
    </row>
    <row r="306" spans="1:26" hidden="1" x14ac:dyDescent="0.25">
      <c r="A306" t="str">
        <f>'rockfish harvests'!A313</f>
        <v>SE</v>
      </c>
      <c r="B306">
        <f>'rockfish harvests'!B313</f>
        <v>2009</v>
      </c>
      <c r="C306" t="str">
        <f>'rockfish harvests'!C313</f>
        <v>NSEO</v>
      </c>
      <c r="D306">
        <f>'rockfish harvests'!D313</f>
        <v>2818</v>
      </c>
      <c r="E306">
        <f>'YE harvest'!E314</f>
        <v>864</v>
      </c>
      <c r="F306">
        <f>IF([2]species_comp_Region1_forR!$H189&gt;49,[2]species_comp_Region1_forR!$AM189,[2]species_comp_Region1_forR!$AO189)</f>
        <v>0.97084548100000001</v>
      </c>
      <c r="G306">
        <f>IF([2]species_comp_Region1_forR!$H189&gt;49,[2]species_comp_Region1_forR!$AN189,[2]species_comp_Region1_forR!$AP189)</f>
        <v>8.2761800000000004E-5</v>
      </c>
      <c r="H306" s="13">
        <f t="shared" si="166"/>
        <v>838.81049558400002</v>
      </c>
      <c r="I306">
        <f t="shared" si="157"/>
        <v>61.781352652800003</v>
      </c>
      <c r="J306">
        <f t="shared" si="160"/>
        <v>7.8601114911176673</v>
      </c>
      <c r="K306" s="6">
        <f t="shared" si="161"/>
        <v>15.405818522590627</v>
      </c>
      <c r="M306" s="2">
        <f>'rockfish harvests'!O313</f>
        <v>1494.7076983275492</v>
      </c>
      <c r="N306">
        <f>'rockfish harvests'!P313</f>
        <v>587874.87939866644</v>
      </c>
      <c r="O306">
        <f>IF([2]species_comp_Region1_forR!$D211&gt;49,[2]species_comp_Region1_forR!$AI211,[2]species_comp_Region1_forR!$AK211)</f>
        <v>0.448717949</v>
      </c>
      <c r="P306">
        <f>IF([2]species_comp_Region1_forR!$D211&gt;49,[2]species_comp_Region1_forR!$AJ211,[2]species_comp_Region1_forR!$AL211)</f>
        <v>3.212599E-3</v>
      </c>
      <c r="Q306" s="13">
        <f t="shared" si="130"/>
        <v>670.70217274804861</v>
      </c>
      <c r="R306" s="14">
        <f t="shared" si="131"/>
        <v>123656.1376733483</v>
      </c>
      <c r="S306">
        <f t="shared" si="162"/>
        <v>351.64774657794737</v>
      </c>
      <c r="T306" s="6">
        <f t="shared" si="163"/>
        <v>689.22958329277685</v>
      </c>
      <c r="V306" s="13">
        <f t="shared" si="158"/>
        <v>1509.5126683320486</v>
      </c>
      <c r="W306">
        <f t="shared" si="159"/>
        <v>123717.91902600111</v>
      </c>
      <c r="X306">
        <f t="shared" si="164"/>
        <v>351.7355811202516</v>
      </c>
      <c r="Y306" s="6">
        <f t="shared" si="165"/>
        <v>689.40173899569311</v>
      </c>
      <c r="Z306" s="14">
        <f t="shared" si="133"/>
        <v>0.23301267256597813</v>
      </c>
    </row>
    <row r="307" spans="1:26" hidden="1" x14ac:dyDescent="0.25">
      <c r="A307" t="str">
        <f>'rockfish harvests'!A314</f>
        <v>SE</v>
      </c>
      <c r="B307">
        <f>'rockfish harvests'!B314</f>
        <v>2010</v>
      </c>
      <c r="C307" t="str">
        <f>'rockfish harvests'!C314</f>
        <v>NSEO</v>
      </c>
      <c r="D307">
        <f>'rockfish harvests'!D314</f>
        <v>4613</v>
      </c>
      <c r="E307">
        <f>'YE harvest'!E315</f>
        <v>1642</v>
      </c>
      <c r="F307">
        <f>IF([2]species_comp_Region1_forR!$H190&gt;49,[2]species_comp_Region1_forR!$AM190,[2]species_comp_Region1_forR!$AO190)</f>
        <v>0.94716981099999997</v>
      </c>
      <c r="G307">
        <f>IF([2]species_comp_Region1_forR!$H190&gt;49,[2]species_comp_Region1_forR!$AN190,[2]species_comp_Region1_forR!$AP190)</f>
        <v>9.4592000000000005E-5</v>
      </c>
      <c r="H307" s="13">
        <f t="shared" si="166"/>
        <v>1555.2528296620001</v>
      </c>
      <c r="I307">
        <f t="shared" si="157"/>
        <v>255.03554508800002</v>
      </c>
      <c r="J307">
        <f t="shared" si="160"/>
        <v>15.969832343766168</v>
      </c>
      <c r="K307" s="6">
        <f t="shared" si="161"/>
        <v>31.300871393781687</v>
      </c>
      <c r="M307" s="2">
        <f>'rockfish harvests'!O314</f>
        <v>2446.8014948136924</v>
      </c>
      <c r="N307">
        <f>'rockfish harvests'!P314</f>
        <v>1575323.7998180711</v>
      </c>
      <c r="O307">
        <f>IF([2]species_comp_Region1_forR!$D212&gt;49,[2]species_comp_Region1_forR!$AI212,[2]species_comp_Region1_forR!$AK212)</f>
        <v>0.42592592600000001</v>
      </c>
      <c r="P307">
        <f>IF([2]species_comp_Region1_forR!$D212&gt;49,[2]species_comp_Region1_forR!$AJ212,[2]species_comp_Region1_forR!$AL212)</f>
        <v>1.518714E-3</v>
      </c>
      <c r="Q307" s="13">
        <f t="shared" si="130"/>
        <v>1042.1561924167063</v>
      </c>
      <c r="R307" s="14">
        <f t="shared" si="131"/>
        <v>292483.87790479464</v>
      </c>
      <c r="S307">
        <f t="shared" si="162"/>
        <v>540.81778623191997</v>
      </c>
      <c r="T307" s="6">
        <f t="shared" si="163"/>
        <v>1060.0028610145632</v>
      </c>
      <c r="V307" s="13">
        <f t="shared" si="158"/>
        <v>2597.4090220787066</v>
      </c>
      <c r="W307">
        <f t="shared" si="159"/>
        <v>292738.91344988265</v>
      </c>
      <c r="X307">
        <f t="shared" si="164"/>
        <v>541.05352179787417</v>
      </c>
      <c r="Y307" s="6">
        <f t="shared" si="165"/>
        <v>1060.4649027238333</v>
      </c>
      <c r="Z307" s="14">
        <f t="shared" si="133"/>
        <v>0.20830509064947691</v>
      </c>
    </row>
    <row r="308" spans="1:26" hidden="1" x14ac:dyDescent="0.25">
      <c r="A308" t="str">
        <f>'rockfish harvests'!A315</f>
        <v>SE</v>
      </c>
      <c r="B308">
        <f>'rockfish harvests'!B315</f>
        <v>2011</v>
      </c>
      <c r="C308" t="str">
        <f>'rockfish harvests'!C315</f>
        <v>NSEO</v>
      </c>
      <c r="D308">
        <f>'rockfish harvests'!D315</f>
        <v>8950</v>
      </c>
      <c r="E308">
        <f>'YE harvest'!E316</f>
        <v>2118</v>
      </c>
      <c r="F308">
        <f>IF([2]species_comp_Region1_forR!$H191&gt;49,[2]species_comp_Region1_forR!$AM191,[2]species_comp_Region1_forR!$AO191)</f>
        <v>0.92230215800000004</v>
      </c>
      <c r="G308">
        <f>IF([2]species_comp_Region1_forR!$H191&gt;49,[2]species_comp_Region1_forR!$AN191,[2]species_comp_Region1_forR!$AP191)</f>
        <v>1.0325800000000001E-4</v>
      </c>
      <c r="H308" s="13">
        <f t="shared" si="166"/>
        <v>1953.435970644</v>
      </c>
      <c r="I308">
        <f t="shared" si="157"/>
        <v>463.20754039200006</v>
      </c>
      <c r="J308">
        <f t="shared" si="160"/>
        <v>21.522256861026449</v>
      </c>
      <c r="K308" s="6">
        <f t="shared" si="161"/>
        <v>42.183623447611836</v>
      </c>
      <c r="M308" s="2">
        <f>'rockfish harvests'!O315</f>
        <v>2109.8638720829731</v>
      </c>
      <c r="N308">
        <f>'rockfish harvests'!P315</f>
        <v>736850.51155388099</v>
      </c>
      <c r="O308">
        <f>IF([2]species_comp_Region1_forR!$D213&gt;49,[2]species_comp_Region1_forR!$AI213,[2]species_comp_Region1_forR!$AK213)</f>
        <v>0.37575757599999998</v>
      </c>
      <c r="P308">
        <f>IF([2]species_comp_Region1_forR!$D213&gt;49,[2]species_comp_Region1_forR!$AJ213,[2]species_comp_Region1_forR!$AL213)</f>
        <v>1.430267E-3</v>
      </c>
      <c r="Q308" s="13">
        <f t="shared" si="130"/>
        <v>792.79733426387202</v>
      </c>
      <c r="R308" s="14">
        <f t="shared" si="131"/>
        <v>109351.6684145808</v>
      </c>
      <c r="S308">
        <f t="shared" si="162"/>
        <v>330.68363796018212</v>
      </c>
      <c r="T308" s="6">
        <f t="shared" si="163"/>
        <v>648.13993040195692</v>
      </c>
      <c r="V308" s="13">
        <f t="shared" si="158"/>
        <v>2746.233304907872</v>
      </c>
      <c r="W308">
        <f t="shared" si="159"/>
        <v>109814.8759549728</v>
      </c>
      <c r="X308">
        <f t="shared" si="164"/>
        <v>331.38327651674399</v>
      </c>
      <c r="Y308" s="6">
        <f t="shared" si="165"/>
        <v>649.51122197281825</v>
      </c>
      <c r="Z308" s="14">
        <f t="shared" si="133"/>
        <v>0.12066828988073208</v>
      </c>
    </row>
    <row r="309" spans="1:26" hidden="1" x14ac:dyDescent="0.25">
      <c r="A309" t="str">
        <f>'rockfish harvests'!A316</f>
        <v>SE</v>
      </c>
      <c r="B309">
        <f>'rockfish harvests'!B316</f>
        <v>2012</v>
      </c>
      <c r="C309" t="str">
        <f>'rockfish harvests'!C316</f>
        <v>NSEO</v>
      </c>
      <c r="D309">
        <f>'rockfish harvests'!D316</f>
        <v>8600</v>
      </c>
      <c r="E309">
        <f>'YE harvest'!E317</f>
        <v>2133</v>
      </c>
      <c r="F309">
        <f>IF([2]species_comp_Region1_forR!$H192&gt;49,[2]species_comp_Region1_forR!$AM192,[2]species_comp_Region1_forR!$AO192)</f>
        <v>0.90105540900000003</v>
      </c>
      <c r="G309">
        <f>IF([2]species_comp_Region1_forR!$H192&gt;49,[2]species_comp_Region1_forR!$AN192,[2]species_comp_Region1_forR!$AP192)</f>
        <v>1.17774E-4</v>
      </c>
      <c r="H309" s="13">
        <f t="shared" si="166"/>
        <v>1921.951187397</v>
      </c>
      <c r="I309">
        <f t="shared" si="157"/>
        <v>535.83507228600001</v>
      </c>
      <c r="J309">
        <f t="shared" si="160"/>
        <v>23.148111635422879</v>
      </c>
      <c r="K309" s="6">
        <f t="shared" si="161"/>
        <v>45.370298805428838</v>
      </c>
      <c r="M309" s="2">
        <f>'rockfish harvests'!O316</f>
        <v>4056.1403508771928</v>
      </c>
      <c r="N309">
        <f>'rockfish harvests'!P316</f>
        <v>2425591.2838210762</v>
      </c>
      <c r="O309">
        <f>IF([2]species_comp_Region1_forR!$D214&gt;49,[2]species_comp_Region1_forR!$AI214,[2]species_comp_Region1_forR!$AK214)</f>
        <v>0.28793774300000002</v>
      </c>
      <c r="P309">
        <f>IF([2]species_comp_Region1_forR!$D214&gt;49,[2]species_comp_Region1_forR!$AJ214,[2]species_comp_Region1_forR!$AL214)</f>
        <v>8.0089699999999996E-4</v>
      </c>
      <c r="Q309" s="13">
        <f t="shared" si="130"/>
        <v>1167.9158979228071</v>
      </c>
      <c r="R309" s="14">
        <f t="shared" si="131"/>
        <v>212335.19961027114</v>
      </c>
      <c r="S309">
        <f t="shared" si="162"/>
        <v>460.79843707446656</v>
      </c>
      <c r="T309" s="6">
        <f t="shared" si="163"/>
        <v>903.16493666595443</v>
      </c>
      <c r="V309" s="13">
        <f t="shared" si="158"/>
        <v>3089.8670853198073</v>
      </c>
      <c r="W309" s="14">
        <f>R309+I309</f>
        <v>212871.03468255713</v>
      </c>
      <c r="X309">
        <f t="shared" si="164"/>
        <v>461.37949096438729</v>
      </c>
      <c r="Y309" s="6">
        <f t="shared" si="165"/>
        <v>904.30380229019909</v>
      </c>
      <c r="Z309" s="14">
        <f t="shared" si="133"/>
        <v>0.14932017404775635</v>
      </c>
    </row>
    <row r="310" spans="1:26" hidden="1" x14ac:dyDescent="0.25">
      <c r="A310" t="str">
        <f>'rockfish harvests'!A317</f>
        <v>SE</v>
      </c>
      <c r="B310">
        <f>'rockfish harvests'!B317</f>
        <v>2013</v>
      </c>
      <c r="C310" t="str">
        <f>'rockfish harvests'!C317</f>
        <v>NSEO</v>
      </c>
      <c r="D310">
        <f>'rockfish harvests'!D317</f>
        <v>6970</v>
      </c>
      <c r="E310">
        <f>'YE harvest'!E318</f>
        <v>1675</v>
      </c>
      <c r="F310">
        <f>IF([2]species_comp_Region1_forR!$H193&gt;49,[2]species_comp_Region1_forR!$AM193,[2]species_comp_Region1_forR!$AO193)</f>
        <v>0.868102288</v>
      </c>
      <c r="G310">
        <f>IF([2]species_comp_Region1_forR!$H193&gt;49,[2]species_comp_Region1_forR!$AN193,[2]species_comp_Region1_forR!$AP193)</f>
        <v>1.5431399999999999E-4</v>
      </c>
      <c r="H310" s="13">
        <f t="shared" si="166"/>
        <v>1454.0713324000001</v>
      </c>
      <c r="I310">
        <f t="shared" si="157"/>
        <v>432.94721624999994</v>
      </c>
      <c r="J310">
        <f t="shared" si="160"/>
        <v>20.807383695457723</v>
      </c>
      <c r="K310" s="6">
        <f t="shared" si="161"/>
        <v>40.782472043097137</v>
      </c>
      <c r="M310" s="2">
        <f>'rockfish harvests'!O317</f>
        <v>3563.4638032559742</v>
      </c>
      <c r="N310">
        <f>'rockfish harvests'!P317</f>
        <v>1983952.159720307</v>
      </c>
      <c r="O310">
        <f>IF([2]species_comp_Region1_forR!$D215&gt;49,[2]species_comp_Region1_forR!$AI215,[2]species_comp_Region1_forR!$AK215)</f>
        <v>0.27777777799999998</v>
      </c>
      <c r="P310">
        <f>IF([2]species_comp_Region1_forR!$D215&gt;49,[2]species_comp_Region1_forR!$AJ215,[2]species_comp_Region1_forR!$AL215)</f>
        <v>6.57762E-4</v>
      </c>
      <c r="Q310" s="13">
        <f t="shared" si="130"/>
        <v>989.85105725187361</v>
      </c>
      <c r="R310" s="14">
        <f t="shared" si="131"/>
        <v>160130.20256299493</v>
      </c>
      <c r="S310">
        <f t="shared" si="162"/>
        <v>400.16272010645235</v>
      </c>
      <c r="T310" s="6">
        <f t="shared" si="163"/>
        <v>784.31893140864656</v>
      </c>
      <c r="V310" s="13">
        <f t="shared" si="158"/>
        <v>2443.9223896518738</v>
      </c>
      <c r="W310">
        <f t="shared" si="159"/>
        <v>160563.14977924494</v>
      </c>
      <c r="X310">
        <f t="shared" si="164"/>
        <v>400.70331890220842</v>
      </c>
      <c r="Y310" s="6">
        <f t="shared" si="165"/>
        <v>785.37850504832852</v>
      </c>
      <c r="Z310" s="14">
        <f t="shared" si="133"/>
        <v>0.16395910140145117</v>
      </c>
    </row>
    <row r="311" spans="1:26" hidden="1" x14ac:dyDescent="0.25">
      <c r="A311" t="str">
        <f>'rockfish harvests'!A318</f>
        <v>SE</v>
      </c>
      <c r="B311">
        <f>'rockfish harvests'!B318</f>
        <v>2014</v>
      </c>
      <c r="C311" t="str">
        <f>'rockfish harvests'!C318</f>
        <v>NSEO</v>
      </c>
      <c r="D311">
        <f>'rockfish harvests'!D318</f>
        <v>8688</v>
      </c>
      <c r="E311">
        <f>'YE harvest'!E319</f>
        <v>2260</v>
      </c>
      <c r="F311">
        <f>IF([2]species_comp_Region1_forR!$H194&gt;49,[2]species_comp_Region1_forR!$AM194,[2]species_comp_Region1_forR!$AO194)</f>
        <v>0.875</v>
      </c>
      <c r="G311">
        <f>IF([2]species_comp_Region1_forR!$H194&gt;49,[2]species_comp_Region1_forR!$AN194,[2]species_comp_Region1_forR!$AP194)</f>
        <v>1.32898E-4</v>
      </c>
      <c r="H311" s="13">
        <f t="shared" si="166"/>
        <v>1977.5</v>
      </c>
      <c r="I311">
        <f t="shared" si="157"/>
        <v>678.78982480000002</v>
      </c>
      <c r="J311">
        <f t="shared" si="160"/>
        <v>26.053595237509928</v>
      </c>
      <c r="K311" s="6">
        <f t="shared" si="161"/>
        <v>51.065046665519461</v>
      </c>
      <c r="M311" s="2">
        <f>'rockfish harvests'!O318</f>
        <v>9722.2508839872025</v>
      </c>
      <c r="N311">
        <f>'rockfish harvests'!P318</f>
        <v>9687106.4801495951</v>
      </c>
      <c r="O311">
        <f>IF([2]species_comp_Region1_forR!$D216&gt;49,[2]species_comp_Region1_forR!$AI216,[2]species_comp_Region1_forR!$AK216)</f>
        <v>0.16745283</v>
      </c>
      <c r="P311">
        <f>IF([2]species_comp_Region1_forR!$D216&gt;49,[2]species_comp_Region1_forR!$AJ216,[2]species_comp_Region1_forR!$AL216)</f>
        <v>3.2958E-4</v>
      </c>
      <c r="Q311" s="13">
        <f t="shared" si="130"/>
        <v>1628.0184244936588</v>
      </c>
      <c r="R311" s="14">
        <f t="shared" si="131"/>
        <v>299590.76524637069</v>
      </c>
      <c r="S311">
        <f t="shared" si="162"/>
        <v>547.3488515073094</v>
      </c>
      <c r="T311" s="6">
        <f t="shared" si="163"/>
        <v>1072.8037489543265</v>
      </c>
      <c r="V311" s="13">
        <f t="shared" si="158"/>
        <v>3605.518424493659</v>
      </c>
      <c r="W311">
        <f t="shared" si="159"/>
        <v>300269.55507117067</v>
      </c>
      <c r="X311">
        <f t="shared" si="164"/>
        <v>547.96857124398173</v>
      </c>
      <c r="Y311" s="6">
        <f t="shared" si="165"/>
        <v>1074.0183996382041</v>
      </c>
      <c r="Z311" s="14">
        <f t="shared" si="133"/>
        <v>0.15198052172509302</v>
      </c>
    </row>
    <row r="312" spans="1:26" hidden="1" x14ac:dyDescent="0.25">
      <c r="A312" t="str">
        <f>'rockfish harvests'!A319</f>
        <v>SE</v>
      </c>
      <c r="B312">
        <f>'rockfish harvests'!B319</f>
        <v>2015</v>
      </c>
      <c r="C312" t="str">
        <f>'rockfish harvests'!C319</f>
        <v>NSEO</v>
      </c>
      <c r="D312">
        <f>'rockfish harvests'!D319</f>
        <v>9156</v>
      </c>
      <c r="E312">
        <f>'YE harvest'!E320</f>
        <v>2579</v>
      </c>
      <c r="F312">
        <f>IF([2]species_comp_Region1_forR!$H195&gt;49,[2]species_comp_Region1_forR!$AM195,[2]species_comp_Region1_forR!$AO195)</f>
        <v>0.90345528500000005</v>
      </c>
      <c r="G312">
        <f>IF([2]species_comp_Region1_forR!$H195&gt;49,[2]species_comp_Region1_forR!$AN195,[2]species_comp_Region1_forR!$AP195)</f>
        <v>8.8732299999999997E-5</v>
      </c>
      <c r="H312" s="13">
        <f t="shared" si="166"/>
        <v>2330.0111800150003</v>
      </c>
      <c r="I312">
        <f t="shared" si="157"/>
        <v>590.17991178429997</v>
      </c>
      <c r="J312">
        <f t="shared" si="160"/>
        <v>24.293618746170772</v>
      </c>
      <c r="K312" s="6">
        <f t="shared" si="161"/>
        <v>47.615492742494709</v>
      </c>
      <c r="M312" s="2">
        <f>'rockfish harvests'!O319</f>
        <v>4529.4803554223308</v>
      </c>
      <c r="N312">
        <f>'rockfish harvests'!P319</f>
        <v>3708908.4909766819</v>
      </c>
      <c r="O312">
        <f>IF([2]species_comp_Region1_forR!$D217&gt;49,[2]species_comp_Region1_forR!$AI217,[2]species_comp_Region1_forR!$AK217)</f>
        <v>0.35143770000000002</v>
      </c>
      <c r="P312">
        <f>IF([2]species_comp_Region1_forR!$D217&gt;49,[2]species_comp_Region1_forR!$AJ217,[2]species_comp_Region1_forR!$AL217)</f>
        <v>7.3054200000000004E-4</v>
      </c>
      <c r="Q312" s="13">
        <f t="shared" si="130"/>
        <v>1591.8301583048067</v>
      </c>
      <c r="R312" s="14">
        <f t="shared" si="131"/>
        <v>470359.99152655539</v>
      </c>
      <c r="S312">
        <f t="shared" si="162"/>
        <v>685.82796058964777</v>
      </c>
      <c r="T312" s="6">
        <f t="shared" si="163"/>
        <v>1344.2228027557096</v>
      </c>
      <c r="V312" s="13">
        <f t="shared" si="158"/>
        <v>3921.8413383198067</v>
      </c>
      <c r="W312">
        <f t="shared" si="159"/>
        <v>470950.17143833969</v>
      </c>
      <c r="X312">
        <f t="shared" si="164"/>
        <v>686.25809389641427</v>
      </c>
      <c r="Y312" s="6">
        <f t="shared" si="165"/>
        <v>1345.065864036972</v>
      </c>
      <c r="Z312" s="14">
        <f t="shared" si="133"/>
        <v>0.17498364535838684</v>
      </c>
    </row>
    <row r="313" spans="1:26" hidden="1" x14ac:dyDescent="0.25">
      <c r="A313" t="str">
        <f>'rockfish harvests'!A320</f>
        <v>SE</v>
      </c>
      <c r="B313">
        <f>'rockfish harvests'!B320</f>
        <v>2016</v>
      </c>
      <c r="C313" t="str">
        <f>'rockfish harvests'!C320</f>
        <v>NSEO</v>
      </c>
      <c r="D313">
        <f>'rockfish harvests'!D320</f>
        <v>5839</v>
      </c>
      <c r="E313">
        <f>'YE harvest'!E321</f>
        <v>1492</v>
      </c>
      <c r="F313">
        <f>IF([2]species_comp_Region1_forR!$H196&gt;49,[2]species_comp_Region1_forR!$AM196,[2]species_comp_Region1_forR!$AO196)</f>
        <v>0.93048128299999999</v>
      </c>
      <c r="G313">
        <f>IF([2]species_comp_Region1_forR!$H196&gt;49,[2]species_comp_Region1_forR!$AN196,[2]species_comp_Region1_forR!$AP196)</f>
        <v>8.6594200000000005E-5</v>
      </c>
      <c r="H313" s="13">
        <f t="shared" si="166"/>
        <v>1388.2780742360001</v>
      </c>
      <c r="I313">
        <f t="shared" si="157"/>
        <v>192.76423122880001</v>
      </c>
      <c r="J313">
        <f t="shared" si="160"/>
        <v>13.883955892640973</v>
      </c>
      <c r="K313" s="6">
        <f t="shared" si="161"/>
        <v>27.212553549576306</v>
      </c>
      <c r="M313" s="2">
        <f>'rockfish harvests'!O320</f>
        <v>1660.6278507924235</v>
      </c>
      <c r="N313">
        <f>'rockfish harvests'!P320</f>
        <v>405106.18509878113</v>
      </c>
      <c r="O313">
        <f>IF([2]species_comp_Region1_forR!$D218&gt;49,[2]species_comp_Region1_forR!$AI218,[2]species_comp_Region1_forR!$AK218)</f>
        <v>0.25896414299999998</v>
      </c>
      <c r="P313">
        <f>IF([2]species_comp_Region1_forR!$D218&gt;49,[2]species_comp_Region1_forR!$AJ218,[2]species_comp_Region1_forR!$AL218)</f>
        <v>3.8303700000000003E-4</v>
      </c>
      <c r="Q313" s="13">
        <f t="shared" si="130"/>
        <v>430.04306822239181</v>
      </c>
      <c r="R313" s="14">
        <f t="shared" si="131"/>
        <v>28068.528788611104</v>
      </c>
      <c r="S313">
        <f t="shared" si="162"/>
        <v>167.53664909091117</v>
      </c>
      <c r="T313" s="6">
        <f t="shared" si="163"/>
        <v>328.37183221818589</v>
      </c>
      <c r="V313" s="13">
        <f t="shared" si="158"/>
        <v>1818.3211424583919</v>
      </c>
      <c r="W313">
        <f t="shared" si="159"/>
        <v>28261.293019839904</v>
      </c>
      <c r="X313">
        <f t="shared" si="164"/>
        <v>168.11095449089541</v>
      </c>
      <c r="Y313" s="6">
        <f t="shared" si="165"/>
        <v>329.49747080215502</v>
      </c>
      <c r="Z313" s="14">
        <f t="shared" si="133"/>
        <v>9.2453940376894805E-2</v>
      </c>
    </row>
    <row r="314" spans="1:26" hidden="1" x14ac:dyDescent="0.25">
      <c r="A314" t="str">
        <f>'rockfish harvests'!A321</f>
        <v>SE</v>
      </c>
      <c r="B314">
        <f>'rockfish harvests'!B321</f>
        <v>2017</v>
      </c>
      <c r="C314" t="str">
        <f>'rockfish harvests'!C321</f>
        <v>NSEO</v>
      </c>
      <c r="D314">
        <f>'rockfish harvests'!D321</f>
        <v>9211</v>
      </c>
      <c r="E314">
        <f>'YE harvest'!E322</f>
        <v>1716</v>
      </c>
      <c r="F314">
        <f>IF([2]species_comp_Region1_forR!$H197&gt;49,[2]species_comp_Region1_forR!$AM197,[2]species_comp_Region1_forR!$AO197)</f>
        <v>0.91806020099999996</v>
      </c>
      <c r="G314">
        <f>IF([2]species_comp_Region1_forR!$H197&gt;49,[2]species_comp_Region1_forR!$AN197,[2]species_comp_Region1_forR!$AP197)</f>
        <v>1.2600600000000001E-4</v>
      </c>
      <c r="H314" s="13">
        <f t="shared" si="166"/>
        <v>1575.3913049159999</v>
      </c>
      <c r="I314">
        <f t="shared" si="157"/>
        <v>371.04432393600001</v>
      </c>
      <c r="J314">
        <f t="shared" si="160"/>
        <v>19.262510841943737</v>
      </c>
      <c r="K314" s="6">
        <f t="shared" si="161"/>
        <v>37.75452125020972</v>
      </c>
      <c r="M314" s="2">
        <f>'rockfish harvests'!O321</f>
        <v>6867.0171471927151</v>
      </c>
      <c r="N314">
        <f>'rockfish harvests'!P321</f>
        <v>4662505.6656814301</v>
      </c>
      <c r="O314">
        <f>IF([2]species_comp_Region1_forR!$D219&gt;49,[2]species_comp_Region1_forR!$AI219,[2]species_comp_Region1_forR!$AK219)</f>
        <v>0.16959064300000001</v>
      </c>
      <c r="P314">
        <f>IF([2]species_comp_Region1_forR!$D219&gt;49,[2]species_comp_Region1_forR!$AJ219,[2]species_comp_Region1_forR!$AL219)</f>
        <v>2.7505800000000001E-4</v>
      </c>
      <c r="Q314" s="13">
        <f t="shared" si="130"/>
        <v>1164.5818534844384</v>
      </c>
      <c r="R314" s="14">
        <f t="shared" si="131"/>
        <v>145786.41587384901</v>
      </c>
      <c r="S314">
        <f t="shared" si="162"/>
        <v>381.81987359728805</v>
      </c>
      <c r="T314" s="6">
        <f t="shared" si="163"/>
        <v>748.36695225068456</v>
      </c>
      <c r="V314" s="13">
        <f t="shared" si="158"/>
        <v>2739.9731584004385</v>
      </c>
      <c r="W314">
        <f t="shared" si="159"/>
        <v>146157.460197785</v>
      </c>
      <c r="X314">
        <f t="shared" si="164"/>
        <v>382.30545405184188</v>
      </c>
      <c r="Y314" s="6">
        <f t="shared" si="165"/>
        <v>749.31868994161005</v>
      </c>
      <c r="Z314" s="14">
        <f t="shared" si="133"/>
        <v>0.13952890482877101</v>
      </c>
    </row>
    <row r="315" spans="1:26" hidden="1" x14ac:dyDescent="0.25">
      <c r="A315" t="str">
        <f>'rockfish harvests'!A322</f>
        <v>SE</v>
      </c>
      <c r="B315">
        <f>'rockfish harvests'!B322</f>
        <v>2018</v>
      </c>
      <c r="C315" t="str">
        <f>'rockfish harvests'!C322</f>
        <v>NSEO</v>
      </c>
      <c r="D315">
        <f>'rockfish harvests'!D322</f>
        <v>11024</v>
      </c>
      <c r="E315">
        <f>'YE harvest'!E323</f>
        <v>1835</v>
      </c>
      <c r="F315">
        <f>IF([2]species_comp_Region1_forR!$H198&gt;49,[2]species_comp_Region1_forR!$AM198,[2]species_comp_Region1_forR!$AO198)</f>
        <v>0.88204225400000003</v>
      </c>
      <c r="G315">
        <f>IF([2]species_comp_Region1_forR!$H198&gt;49,[2]species_comp_Region1_forR!$AN198,[2]species_comp_Region1_forR!$AP198)</f>
        <v>1.83499E-4</v>
      </c>
      <c r="H315" s="13">
        <f t="shared" si="166"/>
        <v>1618.54753609</v>
      </c>
      <c r="I315">
        <f t="shared" si="157"/>
        <v>617.88242027499996</v>
      </c>
      <c r="J315">
        <f t="shared" si="160"/>
        <v>24.857240801726164</v>
      </c>
      <c r="K315" s="6">
        <f t="shared" si="161"/>
        <v>48.720191971383279</v>
      </c>
      <c r="M315" s="2">
        <f>'rockfish harvests'!O322</f>
        <v>7836.8836407058479</v>
      </c>
      <c r="N315">
        <f>'rockfish harvests'!P322</f>
        <v>7422148.5356027149</v>
      </c>
      <c r="O315">
        <f>IF([2]species_comp_Region1_forR!$D220&gt;49,[2]species_comp_Region1_forR!$AI220,[2]species_comp_Region1_forR!$AK220)</f>
        <v>0.18895966</v>
      </c>
      <c r="P315">
        <f>IF([2]species_comp_Region1_forR!$D220&gt;49,[2]species_comp_Region1_forR!$AJ220,[2]species_comp_Region1_forR!$AL220)</f>
        <v>3.26072E-4</v>
      </c>
      <c r="Q315" s="13">
        <f t="shared" si="130"/>
        <v>1480.8548682073392</v>
      </c>
      <c r="R315" s="14">
        <f t="shared" si="131"/>
        <v>282619.52926094376</v>
      </c>
      <c r="S315">
        <f t="shared" si="162"/>
        <v>531.6197224153218</v>
      </c>
      <c r="T315" s="6">
        <f t="shared" si="163"/>
        <v>1041.9746559340308</v>
      </c>
      <c r="V315" s="13">
        <f t="shared" si="158"/>
        <v>3099.4024042973392</v>
      </c>
      <c r="W315">
        <f t="shared" si="159"/>
        <v>283237.41168121877</v>
      </c>
      <c r="X315">
        <f t="shared" si="164"/>
        <v>532.20053709219303</v>
      </c>
      <c r="Y315" s="6">
        <f t="shared" si="165"/>
        <v>1043.1130527006983</v>
      </c>
      <c r="Z315" s="14">
        <f t="shared" si="133"/>
        <v>0.17171069376286666</v>
      </c>
    </row>
    <row r="316" spans="1:26" hidden="1" x14ac:dyDescent="0.25">
      <c r="A316" t="str">
        <f>'rockfish harvests'!A323</f>
        <v>SE</v>
      </c>
      <c r="B316">
        <f>'rockfish harvests'!B323</f>
        <v>2019</v>
      </c>
      <c r="C316" t="str">
        <f>'rockfish harvests'!C323</f>
        <v>NSEO</v>
      </c>
      <c r="D316">
        <f>'rockfish harvests'!D323</f>
        <v>11553</v>
      </c>
      <c r="E316">
        <f>'YE harvest'!E324</f>
        <v>1628</v>
      </c>
      <c r="F316">
        <v>0.75125208681135225</v>
      </c>
      <c r="G316">
        <v>3.1249563356679048E-4</v>
      </c>
      <c r="H316" s="13">
        <f>E316*F316</f>
        <v>1223.0383973288815</v>
      </c>
      <c r="I316">
        <f>(E316^2)*G316</f>
        <v>828.23342727528438</v>
      </c>
      <c r="K316" s="6"/>
      <c r="M316" s="2">
        <f>'rockfish harvests'!O323</f>
        <v>6640.6634516724807</v>
      </c>
      <c r="N316">
        <f>'rockfish harvests'!P323</f>
        <v>4892127.8553123055</v>
      </c>
      <c r="O316">
        <v>0.11494252873563218</v>
      </c>
      <c r="P316">
        <v>1.6732030234126736E-4</v>
      </c>
      <c r="Q316" s="13">
        <f>M316*O316</f>
        <v>763.29464961752649</v>
      </c>
      <c r="R316" s="14">
        <f>(M316^2)*P316+(O316^2)*N316-(P316*N316)</f>
        <v>71193.748149643739</v>
      </c>
      <c r="S316">
        <f>SQRT(R316)</f>
        <v>266.82156612546095</v>
      </c>
      <c r="T316" s="6">
        <f>(1.96*S316)</f>
        <v>522.97026960590347</v>
      </c>
      <c r="V316" s="13">
        <f>Q316+H316</f>
        <v>1986.3330469464081</v>
      </c>
      <c r="W316">
        <f>R316+I316</f>
        <v>72021.981576919017</v>
      </c>
      <c r="X316">
        <f>SQRT(W316)</f>
        <v>268.36911442436707</v>
      </c>
      <c r="Y316" s="6">
        <f>(1.96*X316)</f>
        <v>526.00346427175941</v>
      </c>
      <c r="Z316" s="14">
        <f t="shared" si="133"/>
        <v>0.13510781328283855</v>
      </c>
    </row>
    <row r="317" spans="1:26" hidden="1" x14ac:dyDescent="0.25">
      <c r="A317" t="str">
        <f>'rockfish harvests'!A324</f>
        <v>SE</v>
      </c>
      <c r="B317">
        <f>'rockfish harvests'!B324</f>
        <v>2020</v>
      </c>
      <c r="C317" t="str">
        <f>'rockfish harvests'!C324</f>
        <v>NSEO</v>
      </c>
      <c r="D317">
        <f>'rockfish harvests'!D324</f>
        <v>3314</v>
      </c>
      <c r="E317">
        <f>'YE harvest'!E325</f>
        <v>172</v>
      </c>
      <c r="F317" s="26" t="str">
        <f>F242</f>
        <v>0.00735294117647059</v>
      </c>
      <c r="G317" s="26" t="str">
        <f>G242</f>
        <v>2.28446805399873e-06</v>
      </c>
      <c r="H317" s="13">
        <f t="shared" ref="H317:H318" si="167">E317*F317</f>
        <v>1.2647058823529416</v>
      </c>
      <c r="I317">
        <f t="shared" ref="I317:I318" si="168">(E317^2)*G317</f>
        <v>6.758370290949843E-2</v>
      </c>
      <c r="J317">
        <f t="shared" ref="J317" si="169">SQRT(I317)</f>
        <v>0.25996865755221038</v>
      </c>
      <c r="K317" s="6">
        <f t="shared" ref="K317" si="170">(1.96*J317)</f>
        <v>0.50953856880233228</v>
      </c>
      <c r="M317" s="2">
        <f>'rockfish harvests'!O324</f>
        <v>1085.5719163465646</v>
      </c>
      <c r="N317">
        <f>'rockfish harvests'!P324</f>
        <v>110201.41937596143</v>
      </c>
      <c r="O317" s="26">
        <f>O242</f>
        <v>8.1081081081081086E-3</v>
      </c>
      <c r="P317" s="26">
        <f>P242</f>
        <v>2.17950316829684E-5</v>
      </c>
      <c r="Q317" s="13">
        <f t="shared" ref="Q317:Q318" si="171">M317*O317</f>
        <v>8.8019344568640374</v>
      </c>
      <c r="R317" s="14">
        <f t="shared" ref="R317:R318" si="172">(M317^2)*P317+(O317^2)*N317-(P317*N317)</f>
        <v>30.527666259204153</v>
      </c>
      <c r="S317">
        <f t="shared" ref="S317:S318" si="173">SQRT(R317)</f>
        <v>5.5251847262516165</v>
      </c>
      <c r="T317" s="6">
        <f t="shared" ref="T317:T318" si="174">(1.96*S317)</f>
        <v>10.829362063453168</v>
      </c>
      <c r="V317" s="13">
        <f t="shared" ref="V317:V318" si="175">Q317+H317</f>
        <v>10.066640339216979</v>
      </c>
      <c r="W317">
        <f t="shared" ref="W317:W318" si="176">R317+I317</f>
        <v>30.595249962113652</v>
      </c>
      <c r="X317">
        <f t="shared" ref="X317:X318" si="177">SQRT(W317)</f>
        <v>5.5312973127570757</v>
      </c>
      <c r="Y317" s="6">
        <f t="shared" ref="Y317:Y318" si="178">(1.96*X317)</f>
        <v>10.841342733003868</v>
      </c>
      <c r="Z317" s="14">
        <f t="shared" ref="Z317:Z318" si="179">X317/V317</f>
        <v>0.5494680575016273</v>
      </c>
    </row>
    <row r="318" spans="1:26" hidden="1" x14ac:dyDescent="0.25">
      <c r="A318" t="str">
        <f>'rockfish harvests'!A325</f>
        <v>SE</v>
      </c>
      <c r="B318">
        <f>'rockfish harvests'!B325</f>
        <v>2021</v>
      </c>
      <c r="C318" t="str">
        <f>'rockfish harvests'!C325</f>
        <v>NSEO</v>
      </c>
      <c r="D318">
        <f>'rockfish harvests'!D325</f>
        <v>9732</v>
      </c>
      <c r="E318">
        <f>'YE harvest'!E326</f>
        <v>638</v>
      </c>
      <c r="F318" s="26">
        <v>1.4471780028943559E-2</v>
      </c>
      <c r="G318" s="26">
        <v>2.0670069002518015E-5</v>
      </c>
      <c r="H318" s="13">
        <f t="shared" si="167"/>
        <v>9.2329956584659918</v>
      </c>
      <c r="I318">
        <f t="shared" si="168"/>
        <v>8.4136275670609422</v>
      </c>
      <c r="K318" s="6"/>
      <c r="M318" s="2">
        <f>'rockfish harvests'!O325</f>
        <v>6262.8946783553529</v>
      </c>
      <c r="N318">
        <f>'rockfish harvests'!P325</f>
        <v>3588518.0359388059</v>
      </c>
      <c r="O318" s="26">
        <v>8.5106382978723406E-3</v>
      </c>
      <c r="P318" s="26">
        <v>1.7991913291332898E-5</v>
      </c>
      <c r="Q318" s="13">
        <f t="shared" si="171"/>
        <v>53.301231305151937</v>
      </c>
      <c r="R318" s="14">
        <f t="shared" si="172"/>
        <v>901.06761987202094</v>
      </c>
      <c r="S318">
        <f t="shared" si="173"/>
        <v>30.017788390752923</v>
      </c>
      <c r="T318" s="6">
        <f t="shared" si="174"/>
        <v>58.834865245875726</v>
      </c>
      <c r="V318" s="13">
        <f t="shared" si="175"/>
        <v>62.534226963617925</v>
      </c>
      <c r="W318">
        <f t="shared" si="176"/>
        <v>909.48124743908193</v>
      </c>
      <c r="X318">
        <f t="shared" si="177"/>
        <v>30.157606792301706</v>
      </c>
      <c r="Y318" s="6">
        <f t="shared" si="178"/>
        <v>59.108909312911344</v>
      </c>
      <c r="Z318" s="14">
        <f t="shared" si="179"/>
        <v>0.48225760925848238</v>
      </c>
    </row>
    <row r="319" spans="1:26" hidden="1" x14ac:dyDescent="0.25">
      <c r="A319" t="s">
        <v>151</v>
      </c>
      <c r="B319">
        <v>2022</v>
      </c>
      <c r="C319" t="s">
        <v>41</v>
      </c>
      <c r="D319">
        <f>'rockfish harvests'!D326</f>
        <v>10558</v>
      </c>
      <c r="E319">
        <f>'YE harvest'!E327</f>
        <v>884</v>
      </c>
      <c r="F319">
        <v>0</v>
      </c>
      <c r="G319">
        <v>0</v>
      </c>
      <c r="H319" s="105">
        <f>E319*F319</f>
        <v>0</v>
      </c>
      <c r="I319">
        <f t="shared" ref="I319" si="180">(E319^2)*G319</f>
        <v>0</v>
      </c>
      <c r="K319" s="6"/>
      <c r="M319" s="2">
        <f>'rockfish harvests'!O326</f>
        <v>4984.0158085410021</v>
      </c>
      <c r="N319">
        <f>'rockfish harvests'!P326</f>
        <v>3116937.6581412847</v>
      </c>
      <c r="O319">
        <v>0</v>
      </c>
      <c r="P319">
        <v>0</v>
      </c>
      <c r="Q319" s="106">
        <f t="shared" ref="Q319" si="181">M319*O319</f>
        <v>0</v>
      </c>
      <c r="R319" s="107">
        <f t="shared" ref="R319" si="182">(M319^2)*P319+(O319^2)*N319-(P319*N319)</f>
        <v>0</v>
      </c>
      <c r="S319" s="107">
        <f t="shared" ref="S319" si="183">SQRT(R319)</f>
        <v>0</v>
      </c>
      <c r="T319" s="6"/>
      <c r="U319" s="107"/>
      <c r="V319" s="106">
        <f t="shared" ref="V319" si="184">Q319+H319</f>
        <v>0</v>
      </c>
      <c r="W319">
        <f t="shared" ref="W319" si="185">R319+I319</f>
        <v>0</v>
      </c>
      <c r="X319">
        <f t="shared" ref="X319" si="186">SQRT(W319)</f>
        <v>0</v>
      </c>
      <c r="Y319" s="6">
        <f t="shared" ref="Y319" si="187">(1.96*X319)</f>
        <v>0</v>
      </c>
      <c r="Z319" s="14" t="e">
        <f t="shared" ref="Z319" si="188">X319/V319</f>
        <v>#DIV/0!</v>
      </c>
    </row>
    <row r="320" spans="1:26" hidden="1" x14ac:dyDescent="0.25">
      <c r="A320" t="str">
        <f>'rockfish harvests'!A327</f>
        <v>SE</v>
      </c>
      <c r="B320">
        <f>'rockfish harvests'!B327</f>
        <v>1998</v>
      </c>
      <c r="C320" t="str">
        <f>'rockfish harvests'!C327</f>
        <v>SSEI</v>
      </c>
      <c r="D320">
        <f>'rockfish harvests'!D327</f>
        <v>6261</v>
      </c>
      <c r="E320">
        <f>'YE harvest'!E328</f>
        <v>3492</v>
      </c>
      <c r="F320" s="32">
        <v>0.82773213099999998</v>
      </c>
      <c r="G320" s="32">
        <v>1.0723709999999999E-3</v>
      </c>
      <c r="H320" s="13">
        <f t="shared" ref="H320:H327" si="189">E320*F320</f>
        <v>2890.440601452</v>
      </c>
      <c r="I320">
        <f t="shared" si="157"/>
        <v>13076.560605743998</v>
      </c>
      <c r="J320">
        <f t="shared" si="160"/>
        <v>114.3527901091355</v>
      </c>
      <c r="K320" s="6">
        <f t="shared" si="161"/>
        <v>224.13146861390558</v>
      </c>
      <c r="M320" s="2">
        <f>'rockfish harvests'!O327</f>
        <v>7422.4767633387146</v>
      </c>
      <c r="N320">
        <f>'rockfish harvests'!P327</f>
        <v>2528282.455604976</v>
      </c>
      <c r="O320" s="32">
        <v>0.70954271800000002</v>
      </c>
      <c r="P320" s="32">
        <v>1.9049780000000001E-3</v>
      </c>
      <c r="Q320" s="13">
        <f t="shared" si="130"/>
        <v>5266.5643369511945</v>
      </c>
      <c r="R320" s="14">
        <f t="shared" si="131"/>
        <v>1373000.9362850504</v>
      </c>
      <c r="S320">
        <f t="shared" si="162"/>
        <v>1171.7512262784496</v>
      </c>
      <c r="T320" s="6">
        <f t="shared" si="163"/>
        <v>2296.6324035057614</v>
      </c>
      <c r="V320" s="13">
        <f t="shared" si="158"/>
        <v>8157.0049384031945</v>
      </c>
      <c r="W320">
        <f t="shared" si="159"/>
        <v>1386077.4968907943</v>
      </c>
      <c r="X320">
        <f t="shared" si="164"/>
        <v>1177.3179251547963</v>
      </c>
      <c r="Y320" s="6">
        <f t="shared" si="165"/>
        <v>2307.5431333034007</v>
      </c>
      <c r="Z320" s="14">
        <f t="shared" si="133"/>
        <v>0.14433213342951176</v>
      </c>
    </row>
    <row r="321" spans="1:26" hidden="1" x14ac:dyDescent="0.25">
      <c r="A321" t="str">
        <f>'rockfish harvests'!A328</f>
        <v>SE</v>
      </c>
      <c r="B321">
        <f>'rockfish harvests'!B328</f>
        <v>1999</v>
      </c>
      <c r="C321" t="str">
        <f>'rockfish harvests'!C328</f>
        <v>SSEI</v>
      </c>
      <c r="D321">
        <f>'rockfish harvests'!D328</f>
        <v>7370</v>
      </c>
      <c r="E321">
        <f>'YE harvest'!E329</f>
        <v>3538</v>
      </c>
      <c r="F321" s="32">
        <v>0.82773213099999998</v>
      </c>
      <c r="G321" s="32">
        <v>1.0723709999999999E-3</v>
      </c>
      <c r="H321" s="13">
        <f t="shared" si="189"/>
        <v>2928.5162794779999</v>
      </c>
      <c r="I321">
        <f t="shared" si="157"/>
        <v>13423.343939723998</v>
      </c>
      <c r="J321">
        <f t="shared" si="160"/>
        <v>115.85915561458231</v>
      </c>
      <c r="K321" s="6">
        <f t="shared" si="161"/>
        <v>227.08394500458132</v>
      </c>
      <c r="M321" s="2">
        <f>'rockfish harvests'!O328</f>
        <v>8737.2071148069517</v>
      </c>
      <c r="N321">
        <f>'rockfish harvests'!P328</f>
        <v>3503266.3626943887</v>
      </c>
      <c r="O321" s="32">
        <v>0.70954271800000002</v>
      </c>
      <c r="P321" s="32">
        <v>1.9049780000000001E-3</v>
      </c>
      <c r="Q321" s="13">
        <f t="shared" si="130"/>
        <v>6199.4216839690625</v>
      </c>
      <c r="R321" s="14">
        <f t="shared" si="131"/>
        <v>1902472.560125553</v>
      </c>
      <c r="S321">
        <f t="shared" si="162"/>
        <v>1379.3014754307897</v>
      </c>
      <c r="T321" s="6">
        <f t="shared" si="163"/>
        <v>2703.4308918443476</v>
      </c>
      <c r="V321" s="13">
        <f t="shared" si="158"/>
        <v>9127.9379634470624</v>
      </c>
      <c r="W321">
        <f t="shared" si="159"/>
        <v>1915895.904065277</v>
      </c>
      <c r="X321">
        <f t="shared" si="164"/>
        <v>1384.1589157554406</v>
      </c>
      <c r="Y321" s="6">
        <f t="shared" si="165"/>
        <v>2712.9514748806637</v>
      </c>
      <c r="Z321" s="14">
        <f t="shared" si="133"/>
        <v>0.15163982504025791</v>
      </c>
    </row>
    <row r="322" spans="1:26" hidden="1" x14ac:dyDescent="0.25">
      <c r="A322" t="str">
        <f>'rockfish harvests'!A329</f>
        <v>SE</v>
      </c>
      <c r="B322">
        <f>'rockfish harvests'!B329</f>
        <v>2000</v>
      </c>
      <c r="C322" t="str">
        <f>'rockfish harvests'!C329</f>
        <v>SSEI</v>
      </c>
      <c r="D322">
        <f>'rockfish harvests'!D329</f>
        <v>11989</v>
      </c>
      <c r="E322">
        <f>'YE harvest'!E330</f>
        <v>6877</v>
      </c>
      <c r="F322" s="32">
        <v>0.82773213099999998</v>
      </c>
      <c r="G322" s="32">
        <v>1.0723709999999999E-3</v>
      </c>
      <c r="H322" s="13">
        <f t="shared" si="189"/>
        <v>5692.3138648869999</v>
      </c>
      <c r="I322">
        <f t="shared" si="157"/>
        <v>50715.780038858997</v>
      </c>
      <c r="J322">
        <f t="shared" si="160"/>
        <v>225.20164306429692</v>
      </c>
      <c r="K322" s="6">
        <f t="shared" si="161"/>
        <v>441.39522040602196</v>
      </c>
      <c r="M322" s="2">
        <f>'rockfish harvests'!O329</f>
        <v>14213.076811318933</v>
      </c>
      <c r="N322">
        <f>'rockfish harvests'!P329</f>
        <v>9270520.1843895838</v>
      </c>
      <c r="O322" s="32">
        <v>0.70954271800000002</v>
      </c>
      <c r="P322" s="32">
        <v>1.9049780000000001E-3</v>
      </c>
      <c r="Q322" s="13">
        <f t="shared" si="130"/>
        <v>10084.78515184601</v>
      </c>
      <c r="R322" s="14">
        <f t="shared" si="131"/>
        <v>5034418.8659770032</v>
      </c>
      <c r="S322">
        <f t="shared" si="162"/>
        <v>2243.7510704124475</v>
      </c>
      <c r="T322" s="6">
        <f t="shared" si="163"/>
        <v>4397.7520980083973</v>
      </c>
      <c r="V322" s="13">
        <f t="shared" si="158"/>
        <v>15777.099016733009</v>
      </c>
      <c r="W322">
        <f t="shared" si="159"/>
        <v>5085134.646015862</v>
      </c>
      <c r="X322">
        <f t="shared" si="164"/>
        <v>2255.0243116241259</v>
      </c>
      <c r="Y322" s="6">
        <f t="shared" si="165"/>
        <v>4419.8476507832866</v>
      </c>
      <c r="Z322" s="14">
        <f t="shared" si="133"/>
        <v>0.14293022495659519</v>
      </c>
    </row>
    <row r="323" spans="1:26" hidden="1" x14ac:dyDescent="0.25">
      <c r="A323" t="str">
        <f>'rockfish harvests'!A330</f>
        <v>SE</v>
      </c>
      <c r="B323">
        <f>'rockfish harvests'!B330</f>
        <v>2001</v>
      </c>
      <c r="C323" t="str">
        <f>'rockfish harvests'!C330</f>
        <v>SSEI</v>
      </c>
      <c r="D323">
        <f>'rockfish harvests'!D330</f>
        <v>9348</v>
      </c>
      <c r="E323">
        <f>'YE harvest'!E331</f>
        <v>4834</v>
      </c>
      <c r="F323" s="32">
        <v>0.82773213099999998</v>
      </c>
      <c r="G323" s="32">
        <v>1.0723709999999999E-3</v>
      </c>
      <c r="H323" s="13">
        <f t="shared" si="189"/>
        <v>4001.2571212540001</v>
      </c>
      <c r="I323">
        <f t="shared" si="157"/>
        <v>25058.689395275997</v>
      </c>
      <c r="J323">
        <f t="shared" si="160"/>
        <v>158.29936637673569</v>
      </c>
      <c r="K323" s="6">
        <f t="shared" si="161"/>
        <v>310.26675809840197</v>
      </c>
      <c r="M323" s="2">
        <f>'rockfish harvests'!O330</f>
        <v>11082.145469364368</v>
      </c>
      <c r="N323">
        <f>'rockfish harvests'!P330</f>
        <v>5636059.7796220118</v>
      </c>
      <c r="O323" s="32">
        <v>0.70954271800000002</v>
      </c>
      <c r="P323" s="32">
        <v>1.9049780000000001E-3</v>
      </c>
      <c r="Q323" s="13">
        <f t="shared" si="130"/>
        <v>7863.2556176041799</v>
      </c>
      <c r="R323" s="14">
        <f t="shared" si="131"/>
        <v>3060700.4914440573</v>
      </c>
      <c r="S323">
        <f t="shared" si="162"/>
        <v>1749.4857791488496</v>
      </c>
      <c r="T323" s="6">
        <f t="shared" si="163"/>
        <v>3428.9921271317453</v>
      </c>
      <c r="V323" s="13">
        <f t="shared" si="158"/>
        <v>11864.51273885818</v>
      </c>
      <c r="W323">
        <f t="shared" si="159"/>
        <v>3085759.1808393332</v>
      </c>
      <c r="X323">
        <f t="shared" si="164"/>
        <v>1756.6329100979901</v>
      </c>
      <c r="Y323" s="6">
        <f t="shared" si="165"/>
        <v>3443.0005037920605</v>
      </c>
      <c r="Z323" s="14">
        <f t="shared" si="133"/>
        <v>0.14805773728445973</v>
      </c>
    </row>
    <row r="324" spans="1:26" hidden="1" x14ac:dyDescent="0.25">
      <c r="A324" t="str">
        <f>'rockfish harvests'!A331</f>
        <v>SE</v>
      </c>
      <c r="B324">
        <f>'rockfish harvests'!B331</f>
        <v>2002</v>
      </c>
      <c r="C324" t="str">
        <f>'rockfish harvests'!C331</f>
        <v>SSEI</v>
      </c>
      <c r="D324">
        <f>'rockfish harvests'!D331</f>
        <v>8033</v>
      </c>
      <c r="E324">
        <f>'YE harvest'!E332</f>
        <v>4064</v>
      </c>
      <c r="F324" s="32">
        <v>0.82773213099999998</v>
      </c>
      <c r="G324" s="32">
        <v>1.0723709999999999E-3</v>
      </c>
      <c r="H324" s="13">
        <f t="shared" si="189"/>
        <v>3363.9033803839998</v>
      </c>
      <c r="I324">
        <f t="shared" si="157"/>
        <v>17711.382383615997</v>
      </c>
      <c r="J324">
        <f t="shared" si="160"/>
        <v>133.08411769860444</v>
      </c>
      <c r="K324" s="6">
        <f t="shared" si="161"/>
        <v>260.84487068926472</v>
      </c>
      <c r="M324" s="2">
        <f>'rockfish harvests'!O331</f>
        <v>9523.200102204104</v>
      </c>
      <c r="N324">
        <f>'rockfish harvests'!P331</f>
        <v>4161919.8980246014</v>
      </c>
      <c r="O324" s="32">
        <v>0.70954271800000002</v>
      </c>
      <c r="P324" s="32">
        <v>1.9049780000000001E-3</v>
      </c>
      <c r="Q324" s="13">
        <f t="shared" si="130"/>
        <v>6757.1172845757783</v>
      </c>
      <c r="R324" s="14">
        <f t="shared" si="131"/>
        <v>2260158.8299847683</v>
      </c>
      <c r="S324">
        <f t="shared" si="162"/>
        <v>1503.3824629763274</v>
      </c>
      <c r="T324" s="6">
        <f t="shared" si="163"/>
        <v>2946.6296274336014</v>
      </c>
      <c r="V324" s="13">
        <f t="shared" si="158"/>
        <v>10121.020664959779</v>
      </c>
      <c r="W324">
        <f t="shared" si="159"/>
        <v>2277870.2123683845</v>
      </c>
      <c r="X324">
        <f t="shared" si="164"/>
        <v>1509.2614791242718</v>
      </c>
      <c r="Y324" s="6">
        <f t="shared" si="165"/>
        <v>2958.1524990835728</v>
      </c>
      <c r="Z324" s="14">
        <f t="shared" si="133"/>
        <v>0.14912146996690967</v>
      </c>
    </row>
    <row r="325" spans="1:26" hidden="1" x14ac:dyDescent="0.25">
      <c r="A325" t="str">
        <f>'rockfish harvests'!A332</f>
        <v>SE</v>
      </c>
      <c r="B325">
        <f>'rockfish harvests'!B332</f>
        <v>2003</v>
      </c>
      <c r="C325" t="str">
        <f>'rockfish harvests'!C332</f>
        <v>SSEI</v>
      </c>
      <c r="D325">
        <f>'rockfish harvests'!D332</f>
        <v>11263</v>
      </c>
      <c r="E325">
        <f>'YE harvest'!E333</f>
        <v>5615</v>
      </c>
      <c r="F325" s="32">
        <v>0.82773213099999998</v>
      </c>
      <c r="G325" s="32">
        <v>1.0723709999999999E-3</v>
      </c>
      <c r="H325" s="13">
        <f t="shared" si="189"/>
        <v>4647.7159155649997</v>
      </c>
      <c r="I325">
        <f t="shared" si="157"/>
        <v>33809.954171474994</v>
      </c>
      <c r="J325">
        <f t="shared" si="160"/>
        <v>183.87483289312596</v>
      </c>
      <c r="K325" s="6">
        <f t="shared" si="161"/>
        <v>360.39467247052687</v>
      </c>
      <c r="M325" s="2">
        <f>'rockfish harvests'!O332</f>
        <v>13352.396707472279</v>
      </c>
      <c r="N325">
        <f>'rockfish harvests'!P332</f>
        <v>8181752.760036231</v>
      </c>
      <c r="O325" s="32">
        <v>0.70954271800000002</v>
      </c>
      <c r="P325" s="32">
        <v>1.9049780000000001E-3</v>
      </c>
      <c r="Q325" s="13">
        <f t="shared" si="130"/>
        <v>9474.0958516341325</v>
      </c>
      <c r="R325" s="14">
        <f t="shared" si="131"/>
        <v>4443156.3313184241</v>
      </c>
      <c r="S325">
        <f t="shared" si="162"/>
        <v>2107.8795817879218</v>
      </c>
      <c r="T325" s="6">
        <f t="shared" si="163"/>
        <v>4131.4439803043269</v>
      </c>
      <c r="V325" s="13">
        <f t="shared" si="158"/>
        <v>14121.811767199131</v>
      </c>
      <c r="W325">
        <f t="shared" si="159"/>
        <v>4476966.2854898991</v>
      </c>
      <c r="X325">
        <f t="shared" si="164"/>
        <v>2115.8842797964871</v>
      </c>
      <c r="Y325" s="6">
        <f t="shared" si="165"/>
        <v>4147.1331884011151</v>
      </c>
      <c r="Z325" s="14">
        <f t="shared" si="133"/>
        <v>0.1498309363329054</v>
      </c>
    </row>
    <row r="326" spans="1:26" hidden="1" x14ac:dyDescent="0.25">
      <c r="A326" t="str">
        <f>'rockfish harvests'!A333</f>
        <v>SE</v>
      </c>
      <c r="B326">
        <f>'rockfish harvests'!B333</f>
        <v>2004</v>
      </c>
      <c r="C326" t="str">
        <f>'rockfish harvests'!C333</f>
        <v>SSEI</v>
      </c>
      <c r="D326">
        <f>'rockfish harvests'!D333</f>
        <v>13195</v>
      </c>
      <c r="E326">
        <f>'YE harvest'!E334</f>
        <v>7929</v>
      </c>
      <c r="F326" s="32">
        <v>0.82773213099999998</v>
      </c>
      <c r="G326" s="32">
        <v>1.0723709999999999E-3</v>
      </c>
      <c r="H326" s="13">
        <f t="shared" si="189"/>
        <v>6563.0880666989997</v>
      </c>
      <c r="I326">
        <f t="shared" si="157"/>
        <v>67418.936366210997</v>
      </c>
      <c r="J326">
        <f t="shared" si="160"/>
        <v>259.65156723234116</v>
      </c>
      <c r="K326" s="6">
        <f t="shared" si="161"/>
        <v>508.91707177538865</v>
      </c>
      <c r="M326" s="2">
        <f>'rockfish harvests'!O333</f>
        <v>15642.801611923707</v>
      </c>
      <c r="N326">
        <f>'rockfish harvests'!P333</f>
        <v>11229410.873184105</v>
      </c>
      <c r="O326" s="32">
        <v>0.70954271800000002</v>
      </c>
      <c r="P326" s="32">
        <v>1.9049780000000001E-3</v>
      </c>
      <c r="Q326" s="13">
        <f t="shared" si="130"/>
        <v>11099.235972859129</v>
      </c>
      <c r="R326" s="14">
        <f t="shared" si="131"/>
        <v>6098207.7412399054</v>
      </c>
      <c r="S326">
        <f t="shared" si="162"/>
        <v>2469.4549482102129</v>
      </c>
      <c r="T326" s="6">
        <f t="shared" si="163"/>
        <v>4840.1316984920177</v>
      </c>
      <c r="V326" s="13">
        <f t="shared" si="158"/>
        <v>17662.324039558131</v>
      </c>
      <c r="W326">
        <f t="shared" si="159"/>
        <v>6165626.677606116</v>
      </c>
      <c r="X326">
        <f t="shared" si="164"/>
        <v>2483.0679969759417</v>
      </c>
      <c r="Y326" s="6">
        <f t="shared" si="165"/>
        <v>4866.8132740728461</v>
      </c>
      <c r="Z326" s="14">
        <f t="shared" si="133"/>
        <v>0.14058557590805373</v>
      </c>
    </row>
    <row r="327" spans="1:26" hidden="1" x14ac:dyDescent="0.25">
      <c r="A327" t="str">
        <f>'rockfish harvests'!A334</f>
        <v>SE</v>
      </c>
      <c r="B327">
        <f>'rockfish harvests'!B334</f>
        <v>2005</v>
      </c>
      <c r="C327" t="str">
        <f>'rockfish harvests'!C334</f>
        <v>SSEI</v>
      </c>
      <c r="D327">
        <f>'rockfish harvests'!D334</f>
        <v>15329</v>
      </c>
      <c r="E327">
        <f>'YE harvest'!E335</f>
        <v>9584</v>
      </c>
      <c r="F327" s="32">
        <v>0.82773213099999998</v>
      </c>
      <c r="G327" s="32">
        <v>1.0723709999999999E-3</v>
      </c>
      <c r="H327" s="13">
        <f t="shared" si="189"/>
        <v>7932.9847435040001</v>
      </c>
      <c r="I327">
        <f t="shared" si="157"/>
        <v>98500.553515775988</v>
      </c>
      <c r="J327">
        <f t="shared" si="160"/>
        <v>313.84797835222071</v>
      </c>
      <c r="K327" s="6">
        <f t="shared" si="161"/>
        <v>615.14203757035261</v>
      </c>
      <c r="M327" s="2">
        <f>'rockfish harvests'!O334</f>
        <v>18172.679492927513</v>
      </c>
      <c r="N327">
        <f>'rockfish harvests'!P334</f>
        <v>15155345.162562583</v>
      </c>
      <c r="O327" s="32">
        <v>0.70954271800000002</v>
      </c>
      <c r="P327" s="32">
        <v>1.9049780000000001E-3</v>
      </c>
      <c r="Q327" s="13">
        <f t="shared" si="130"/>
        <v>12894.29240075465</v>
      </c>
      <c r="R327" s="14">
        <f t="shared" si="131"/>
        <v>8230212.9858123204</v>
      </c>
      <c r="S327">
        <f t="shared" si="162"/>
        <v>2868.8347784095758</v>
      </c>
      <c r="T327" s="6">
        <f t="shared" si="163"/>
        <v>5622.9161656827682</v>
      </c>
      <c r="V327" s="13">
        <f t="shared" si="158"/>
        <v>20827.277144258649</v>
      </c>
      <c r="W327">
        <f t="shared" si="159"/>
        <v>8328713.5393280964</v>
      </c>
      <c r="X327">
        <f t="shared" si="164"/>
        <v>2885.9510632247557</v>
      </c>
      <c r="Y327" s="6">
        <f t="shared" si="165"/>
        <v>5656.4640839205213</v>
      </c>
      <c r="Z327" s="14">
        <f t="shared" si="133"/>
        <v>0.13856593174592249</v>
      </c>
    </row>
    <row r="328" spans="1:26" hidden="1" x14ac:dyDescent="0.25">
      <c r="A328" t="str">
        <f>'rockfish harvests'!A335</f>
        <v>SE</v>
      </c>
      <c r="B328">
        <f>'rockfish harvests'!B335</f>
        <v>2006</v>
      </c>
      <c r="C328" t="str">
        <f>'rockfish harvests'!C335</f>
        <v>SSEI</v>
      </c>
      <c r="D328">
        <f>'rockfish harvests'!D335</f>
        <v>17714</v>
      </c>
      <c r="E328">
        <f>'YE harvest'!E336</f>
        <v>11388</v>
      </c>
      <c r="F328">
        <f>IF([2]species_comp_Region1_forR!$H230&gt;49,[2]species_comp_Region1_forR!$AM230,[2]species_comp_Region1_forR!$AO230)</f>
        <v>0.80670926499999995</v>
      </c>
      <c r="G328">
        <f>IF([2]species_comp_Region1_forR!$H230&gt;49,[2]species_comp_Region1_forR!$AN230,[2]species_comp_Region1_forR!$AP230)</f>
        <v>2.4948700000000001E-4</v>
      </c>
      <c r="H328" s="13">
        <f t="shared" ref="H328:H340" si="190">E328*F328</f>
        <v>9186.8051098199994</v>
      </c>
      <c r="I328">
        <f t="shared" si="157"/>
        <v>32355.106802928</v>
      </c>
      <c r="J328">
        <f t="shared" si="160"/>
        <v>179.87525344784925</v>
      </c>
      <c r="K328" s="6">
        <f t="shared" si="161"/>
        <v>352.55549675778451</v>
      </c>
      <c r="M328" s="2">
        <f>'rockfish harvests'!O335</f>
        <v>21000.120329944417</v>
      </c>
      <c r="N328">
        <f>'rockfish harvests'!P335</f>
        <v>20238180.459821593</v>
      </c>
      <c r="O328">
        <f>IF([2]species_comp_Region1_forR!$D252&gt;49,[2]species_comp_Region1_forR!$AI252,[2]species_comp_Region1_forR!$AK252)</f>
        <v>0.75184275199999995</v>
      </c>
      <c r="P328">
        <f>IF([2]species_comp_Region1_forR!$D252&gt;49,[2]species_comp_Region1_forR!$AJ252,[2]species_comp_Region1_forR!$AL252)</f>
        <v>1.52931E-4</v>
      </c>
      <c r="Q328" s="13">
        <f t="shared" si="130"/>
        <v>15788.788261196558</v>
      </c>
      <c r="R328" s="14">
        <f t="shared" si="131"/>
        <v>11504334.452141888</v>
      </c>
      <c r="S328">
        <f t="shared" si="162"/>
        <v>3391.804011457898</v>
      </c>
      <c r="T328" s="6">
        <f t="shared" si="163"/>
        <v>6647.9358624574797</v>
      </c>
      <c r="V328" s="13">
        <f t="shared" si="158"/>
        <v>24975.593371016555</v>
      </c>
      <c r="W328">
        <f t="shared" si="159"/>
        <v>11536689.558944816</v>
      </c>
      <c r="X328">
        <f t="shared" si="164"/>
        <v>3396.5702640965364</v>
      </c>
      <c r="Y328" s="6">
        <f t="shared" si="165"/>
        <v>6657.2777176292111</v>
      </c>
      <c r="Z328" s="14">
        <f t="shared" si="133"/>
        <v>0.13599557830878833</v>
      </c>
    </row>
    <row r="329" spans="1:26" hidden="1" x14ac:dyDescent="0.25">
      <c r="A329" t="str">
        <f>'rockfish harvests'!A336</f>
        <v>SE</v>
      </c>
      <c r="B329">
        <f>'rockfish harvests'!B336</f>
        <v>2007</v>
      </c>
      <c r="C329" t="str">
        <f>'rockfish harvests'!C336</f>
        <v>SSEI</v>
      </c>
      <c r="D329">
        <f>'rockfish harvests'!D336</f>
        <v>20368</v>
      </c>
      <c r="E329">
        <f>'YE harvest'!E337</f>
        <v>12015</v>
      </c>
      <c r="F329">
        <f>IF([2]species_comp_Region1_forR!$H231&gt;49,[2]species_comp_Region1_forR!$AM231,[2]species_comp_Region1_forR!$AO231)</f>
        <v>0.78806333699999997</v>
      </c>
      <c r="G329">
        <f>IF([2]species_comp_Region1_forR!$H231&gt;49,[2]species_comp_Region1_forR!$AN231,[2]species_comp_Region1_forR!$AP231)</f>
        <v>2.0368200000000001E-4</v>
      </c>
      <c r="H329" s="13">
        <f t="shared" si="190"/>
        <v>9468.5809940549989</v>
      </c>
      <c r="I329">
        <f t="shared" si="157"/>
        <v>29403.579348449999</v>
      </c>
      <c r="J329">
        <f t="shared" si="160"/>
        <v>171.47471926919724</v>
      </c>
      <c r="K329" s="6">
        <f t="shared" si="161"/>
        <v>336.09044976762658</v>
      </c>
      <c r="M329" s="2">
        <f>'rockfish harvests'!O336</f>
        <v>24146.463299102848</v>
      </c>
      <c r="N329">
        <f>'rockfish harvests'!P336</f>
        <v>26756848.278906163</v>
      </c>
      <c r="O329">
        <f>IF([2]species_comp_Region1_forR!$D253&gt;49,[2]species_comp_Region1_forR!$AI253,[2]species_comp_Region1_forR!$AK253)</f>
        <v>0.76492771800000003</v>
      </c>
      <c r="P329">
        <f>IF([2]species_comp_Region1_forR!$D253&gt;49,[2]species_comp_Region1_forR!$AJ253,[2]species_comp_Region1_forR!$AL253)</f>
        <v>1.1309E-4</v>
      </c>
      <c r="Q329" s="13">
        <f t="shared" si="130"/>
        <v>18470.299069153494</v>
      </c>
      <c r="R329" s="14">
        <f t="shared" si="131"/>
        <v>15718728.978536699</v>
      </c>
      <c r="S329">
        <f t="shared" si="162"/>
        <v>3964.6852307007548</v>
      </c>
      <c r="T329" s="6">
        <f t="shared" si="163"/>
        <v>7770.7830521734795</v>
      </c>
      <c r="V329" s="13">
        <f t="shared" si="158"/>
        <v>27938.880063208493</v>
      </c>
      <c r="W329">
        <f t="shared" si="159"/>
        <v>15748132.557885149</v>
      </c>
      <c r="X329">
        <f t="shared" si="164"/>
        <v>3968.391684030843</v>
      </c>
      <c r="Y329" s="6">
        <f t="shared" si="165"/>
        <v>7778.047700700452</v>
      </c>
      <c r="Z329" s="14">
        <f t="shared" si="133"/>
        <v>0.14203832347799247</v>
      </c>
    </row>
    <row r="330" spans="1:26" hidden="1" x14ac:dyDescent="0.25">
      <c r="A330" t="str">
        <f>'rockfish harvests'!A337</f>
        <v>SE</v>
      </c>
      <c r="B330">
        <f>'rockfish harvests'!B337</f>
        <v>2008</v>
      </c>
      <c r="C330" t="str">
        <f>'rockfish harvests'!C337</f>
        <v>SSEI</v>
      </c>
      <c r="D330">
        <f>'rockfish harvests'!D337</f>
        <v>18756</v>
      </c>
      <c r="E330">
        <f>'YE harvest'!E338</f>
        <v>10550</v>
      </c>
      <c r="F330">
        <f>IF([2]species_comp_Region1_forR!$H232&gt;49,[2]species_comp_Region1_forR!$AM232,[2]species_comp_Region1_forR!$AO232)</f>
        <v>0.87847222199999997</v>
      </c>
      <c r="G330">
        <f>IF([2]species_comp_Region1_forR!$H232&gt;49,[2]species_comp_Region1_forR!$AN232,[2]species_comp_Region1_forR!$AP232)</f>
        <v>1.8566700000000001E-4</v>
      </c>
      <c r="H330" s="13">
        <f t="shared" si="190"/>
        <v>9267.8819420999989</v>
      </c>
      <c r="I330">
        <f t="shared" si="157"/>
        <v>20665.201267500001</v>
      </c>
      <c r="J330">
        <f t="shared" si="160"/>
        <v>143.75396087586597</v>
      </c>
      <c r="K330" s="6">
        <f t="shared" si="161"/>
        <v>281.75776331669732</v>
      </c>
      <c r="M330" s="2">
        <f>'rockfish harvests'!O337</f>
        <v>22235.421525823498</v>
      </c>
      <c r="N330">
        <f>'rockfish harvests'!P337</f>
        <v>22689171.172948774</v>
      </c>
      <c r="O330">
        <f>IF([2]species_comp_Region1_forR!$D254&gt;49,[2]species_comp_Region1_forR!$AI254,[2]species_comp_Region1_forR!$AK254)</f>
        <v>0.71903574400000003</v>
      </c>
      <c r="P330">
        <f>IF([2]species_comp_Region1_forR!$D254&gt;49,[2]species_comp_Region1_forR!$AJ254,[2]species_comp_Region1_forR!$AL254)</f>
        <v>1.68073E-4</v>
      </c>
      <c r="Q330" s="13">
        <f t="shared" si="130"/>
        <v>15988.062859974116</v>
      </c>
      <c r="R330" s="14">
        <f t="shared" si="131"/>
        <v>11809867.070406999</v>
      </c>
      <c r="S330">
        <f t="shared" si="162"/>
        <v>3436.5487149765531</v>
      </c>
      <c r="T330" s="6">
        <f t="shared" si="163"/>
        <v>6735.6354813540438</v>
      </c>
      <c r="V330" s="13">
        <f t="shared" si="158"/>
        <v>25255.944802074115</v>
      </c>
      <c r="W330">
        <f t="shared" si="159"/>
        <v>11830532.271674499</v>
      </c>
      <c r="X330">
        <f t="shared" si="164"/>
        <v>3439.5540803532222</v>
      </c>
      <c r="Y330" s="6">
        <f t="shared" si="165"/>
        <v>6741.5259974923156</v>
      </c>
      <c r="Z330" s="14">
        <f t="shared" si="133"/>
        <v>0.1361878998116417</v>
      </c>
    </row>
    <row r="331" spans="1:26" hidden="1" x14ac:dyDescent="0.25">
      <c r="A331" t="str">
        <f>'rockfish harvests'!A338</f>
        <v>SE</v>
      </c>
      <c r="B331">
        <f>'rockfish harvests'!B338</f>
        <v>2009</v>
      </c>
      <c r="C331" t="str">
        <f>'rockfish harvests'!C338</f>
        <v>SSEI</v>
      </c>
      <c r="D331">
        <f>'rockfish harvests'!D338</f>
        <v>14837</v>
      </c>
      <c r="E331">
        <f>'YE harvest'!E339</f>
        <v>8319</v>
      </c>
      <c r="F331">
        <f>IF([2]species_comp_Region1_forR!$H233&gt;49,[2]species_comp_Region1_forR!$AM233,[2]species_comp_Region1_forR!$AO233)</f>
        <v>0.88645690799999999</v>
      </c>
      <c r="G331">
        <f>IF([2]species_comp_Region1_forR!$H233&gt;49,[2]species_comp_Region1_forR!$AN233,[2]species_comp_Region1_forR!$AP233)</f>
        <v>1.37878E-4</v>
      </c>
      <c r="H331" s="13">
        <f t="shared" si="190"/>
        <v>7374.4350176520002</v>
      </c>
      <c r="I331">
        <f t="shared" si="157"/>
        <v>9541.9519151579989</v>
      </c>
      <c r="J331">
        <f t="shared" si="160"/>
        <v>97.682915165130069</v>
      </c>
      <c r="K331" s="6">
        <f t="shared" si="161"/>
        <v>191.45851372365493</v>
      </c>
      <c r="M331" s="2">
        <f>'rockfish harvests'!O338</f>
        <v>17589.408678750442</v>
      </c>
      <c r="N331">
        <f>'rockfish harvests'!P338</f>
        <v>14198104.777272861</v>
      </c>
      <c r="O331">
        <f>IF([2]species_comp_Region1_forR!$D255&gt;49,[2]species_comp_Region1_forR!$AI255,[2]species_comp_Region1_forR!$AK255)</f>
        <v>0.71950048</v>
      </c>
      <c r="P331">
        <f>IF([2]species_comp_Region1_forR!$D255&gt;49,[2]species_comp_Region1_forR!$AJ255,[2]species_comp_Region1_forR!$AL255)</f>
        <v>1.94057E-4</v>
      </c>
      <c r="Q331" s="13">
        <f t="shared" si="130"/>
        <v>12655.587987277109</v>
      </c>
      <c r="R331" s="14">
        <f t="shared" si="131"/>
        <v>7407371.7667478267</v>
      </c>
      <c r="S331">
        <f t="shared" si="162"/>
        <v>2721.6487221439556</v>
      </c>
      <c r="T331" s="6">
        <f t="shared" si="163"/>
        <v>5334.4314954021529</v>
      </c>
      <c r="V331" s="13">
        <f t="shared" si="158"/>
        <v>20030.023004929109</v>
      </c>
      <c r="W331">
        <f t="shared" si="159"/>
        <v>7416913.7186629847</v>
      </c>
      <c r="X331">
        <f t="shared" si="164"/>
        <v>2723.4011306935645</v>
      </c>
      <c r="Y331" s="6">
        <f t="shared" si="165"/>
        <v>5337.8662161593866</v>
      </c>
      <c r="Z331" s="14">
        <f t="shared" si="133"/>
        <v>0.13596595121350452</v>
      </c>
    </row>
    <row r="332" spans="1:26" hidden="1" x14ac:dyDescent="0.25">
      <c r="A332" t="str">
        <f>'rockfish harvests'!A339</f>
        <v>SE</v>
      </c>
      <c r="B332">
        <f>'rockfish harvests'!B339</f>
        <v>2010</v>
      </c>
      <c r="C332" t="str">
        <f>'rockfish harvests'!C339</f>
        <v>SSEI</v>
      </c>
      <c r="D332">
        <f>'rockfish harvests'!D339</f>
        <v>20015</v>
      </c>
      <c r="E332">
        <f>'YE harvest'!E340</f>
        <v>11058</v>
      </c>
      <c r="F332">
        <f>IF([2]species_comp_Region1_forR!$H234&gt;49,[2]species_comp_Region1_forR!$AM234,[2]species_comp_Region1_forR!$AO234)</f>
        <v>0.82578875200000001</v>
      </c>
      <c r="G332">
        <f>IF([2]species_comp_Region1_forR!$H234&gt;49,[2]species_comp_Region1_forR!$AN234,[2]species_comp_Region1_forR!$AP234)</f>
        <v>1.97612E-4</v>
      </c>
      <c r="H332" s="13">
        <f t="shared" si="190"/>
        <v>9131.572019616</v>
      </c>
      <c r="I332">
        <f t="shared" si="157"/>
        <v>24163.869678768002</v>
      </c>
      <c r="J332">
        <f t="shared" si="160"/>
        <v>155.4473212338122</v>
      </c>
      <c r="K332" s="6">
        <f t="shared" si="161"/>
        <v>304.67674961827191</v>
      </c>
      <c r="M332" s="2">
        <f>'rockfish harvests'!O339</f>
        <v>23727.978345028649</v>
      </c>
      <c r="N332">
        <f>'rockfish harvests'!P339</f>
        <v>25837433.526771665</v>
      </c>
      <c r="O332">
        <f>IF([2]species_comp_Region1_forR!$D256&gt;49,[2]species_comp_Region1_forR!$AI256,[2]species_comp_Region1_forR!$AK256)</f>
        <v>0.77350044799999995</v>
      </c>
      <c r="P332">
        <f>IF([2]species_comp_Region1_forR!$D256&gt;49,[2]species_comp_Region1_forR!$AJ256,[2]species_comp_Region1_forR!$AL256)</f>
        <v>1.5698700000000001E-4</v>
      </c>
      <c r="Q332" s="13">
        <f t="shared" si="130"/>
        <v>18353.601880013957</v>
      </c>
      <c r="R332" s="14">
        <f t="shared" si="131"/>
        <v>15542942.721834652</v>
      </c>
      <c r="S332">
        <f t="shared" si="162"/>
        <v>3942.4538959681763</v>
      </c>
      <c r="T332" s="6">
        <f t="shared" si="163"/>
        <v>7727.2096360976257</v>
      </c>
      <c r="V332" s="13">
        <f t="shared" si="158"/>
        <v>27485.173899629957</v>
      </c>
      <c r="W332">
        <f t="shared" si="159"/>
        <v>15567106.59151342</v>
      </c>
      <c r="X332">
        <f t="shared" si="164"/>
        <v>3945.5172780655034</v>
      </c>
      <c r="Y332" s="6">
        <f t="shared" si="165"/>
        <v>7733.2138650083862</v>
      </c>
      <c r="Z332" s="14">
        <f t="shared" si="133"/>
        <v>0.14355074821333488</v>
      </c>
    </row>
    <row r="333" spans="1:26" hidden="1" x14ac:dyDescent="0.25">
      <c r="A333" t="str">
        <f>'rockfish harvests'!A340</f>
        <v>SE</v>
      </c>
      <c r="B333">
        <f>'rockfish harvests'!B340</f>
        <v>2011</v>
      </c>
      <c r="C333" t="str">
        <f>'rockfish harvests'!C340</f>
        <v>SSEI</v>
      </c>
      <c r="D333">
        <f>'rockfish harvests'!D340</f>
        <v>17328</v>
      </c>
      <c r="E333">
        <f>'YE harvest'!E341</f>
        <v>8097</v>
      </c>
      <c r="F333">
        <f>IF([2]species_comp_Region1_forR!$H235&gt;49,[2]species_comp_Region1_forR!$AM235,[2]species_comp_Region1_forR!$AO235)</f>
        <v>0.83732057400000004</v>
      </c>
      <c r="G333">
        <f>IF([2]species_comp_Region1_forR!$H235&gt;49,[2]species_comp_Region1_forR!$AN235,[2]species_comp_Region1_forR!$AP235)</f>
        <v>1.63132E-4</v>
      </c>
      <c r="H333" s="13">
        <f t="shared" si="190"/>
        <v>6779.7846876780004</v>
      </c>
      <c r="I333">
        <f t="shared" si="157"/>
        <v>10695.163772988</v>
      </c>
      <c r="J333">
        <f t="shared" si="160"/>
        <v>103.41742490019755</v>
      </c>
      <c r="K333" s="6">
        <f t="shared" si="161"/>
        <v>202.69815280438718</v>
      </c>
      <c r="M333" s="2">
        <f>'rockfish harvests'!O340</f>
        <v>26057.656259472569</v>
      </c>
      <c r="N333">
        <f>'rockfish harvests'!P340</f>
        <v>22721971.694568597</v>
      </c>
      <c r="O333">
        <f>IF([2]species_comp_Region1_forR!$D257&gt;49,[2]species_comp_Region1_forR!$AI257,[2]species_comp_Region1_forR!$AK257)</f>
        <v>0.71940763799999996</v>
      </c>
      <c r="P333">
        <f>IF([2]species_comp_Region1_forR!$D257&gt;49,[2]species_comp_Region1_forR!$AJ257,[2]species_comp_Region1_forR!$AL257)</f>
        <v>1.5745700000000001E-4</v>
      </c>
      <c r="Q333" s="13">
        <f t="shared" si="130"/>
        <v>18746.076941443076</v>
      </c>
      <c r="R333" s="14">
        <f t="shared" si="131"/>
        <v>11863032.026273753</v>
      </c>
      <c r="S333">
        <f t="shared" si="162"/>
        <v>3444.2752541389245</v>
      </c>
      <c r="T333" s="6">
        <f t="shared" si="163"/>
        <v>6750.7794981122915</v>
      </c>
      <c r="V333" s="13">
        <f t="shared" si="158"/>
        <v>25525.861629121078</v>
      </c>
      <c r="W333">
        <f t="shared" si="159"/>
        <v>11873727.190046741</v>
      </c>
      <c r="X333">
        <f t="shared" si="164"/>
        <v>3445.8275043952417</v>
      </c>
      <c r="Y333" s="6">
        <f t="shared" si="165"/>
        <v>6753.8219086146737</v>
      </c>
      <c r="Z333" s="14">
        <f t="shared" si="133"/>
        <v>0.13499358236997114</v>
      </c>
    </row>
    <row r="334" spans="1:26" hidden="1" x14ac:dyDescent="0.25">
      <c r="A334" t="str">
        <f>'rockfish harvests'!A341</f>
        <v>SE</v>
      </c>
      <c r="B334">
        <f>'rockfish harvests'!B341</f>
        <v>2012</v>
      </c>
      <c r="C334" t="str">
        <f>'rockfish harvests'!C341</f>
        <v>SSEI</v>
      </c>
      <c r="D334">
        <f>'rockfish harvests'!D341</f>
        <v>20908</v>
      </c>
      <c r="E334">
        <f>'YE harvest'!E342</f>
        <v>11877</v>
      </c>
      <c r="F334">
        <f>IF([2]species_comp_Region1_forR!$H236&gt;49,[2]species_comp_Region1_forR!$AM236,[2]species_comp_Region1_forR!$AO236)</f>
        <v>0.856429463</v>
      </c>
      <c r="G334">
        <f>IF([2]species_comp_Region1_forR!$H236&gt;49,[2]species_comp_Region1_forR!$AN236,[2]species_comp_Region1_forR!$AP236)</f>
        <v>1.5369799999999999E-4</v>
      </c>
      <c r="H334" s="13">
        <f t="shared" si="190"/>
        <v>10171.812732050999</v>
      </c>
      <c r="I334">
        <f t="shared" si="157"/>
        <v>21681.120801041998</v>
      </c>
      <c r="J334">
        <f t="shared" si="160"/>
        <v>147.24510450620082</v>
      </c>
      <c r="K334" s="6">
        <f t="shared" si="161"/>
        <v>288.60040483215357</v>
      </c>
      <c r="M334" s="2">
        <f>'rockfish harvests'!O341</f>
        <v>30342.239687848378</v>
      </c>
      <c r="N334">
        <f>'rockfish harvests'!P341</f>
        <v>23087012.957423236</v>
      </c>
      <c r="O334">
        <f>IF([2]species_comp_Region1_forR!$D258&gt;49,[2]species_comp_Region1_forR!$AI258,[2]species_comp_Region1_forR!$AK258)</f>
        <v>0.715509854</v>
      </c>
      <c r="P334">
        <f>IF([2]species_comp_Region1_forR!$D258&gt;49,[2]species_comp_Region1_forR!$AJ258,[2]species_comp_Region1_forR!$AL258)</f>
        <v>1.7457599999999999E-4</v>
      </c>
      <c r="Q334" s="13">
        <f t="shared" si="130"/>
        <v>21710.171489085398</v>
      </c>
      <c r="R334" s="14">
        <f t="shared" si="131"/>
        <v>11976189.958605532</v>
      </c>
      <c r="S334">
        <f t="shared" si="162"/>
        <v>3460.6632252511267</v>
      </c>
      <c r="T334" s="6">
        <f t="shared" si="163"/>
        <v>6782.8999214922087</v>
      </c>
      <c r="V334" s="13">
        <f t="shared" si="158"/>
        <v>31881.984221136398</v>
      </c>
      <c r="W334">
        <f t="shared" si="159"/>
        <v>11997871.079406574</v>
      </c>
      <c r="X334">
        <f t="shared" si="164"/>
        <v>3463.7943182883382</v>
      </c>
      <c r="Y334" s="6">
        <f t="shared" si="165"/>
        <v>6789.0368638451428</v>
      </c>
      <c r="Z334" s="14">
        <f t="shared" si="133"/>
        <v>0.10864425169597788</v>
      </c>
    </row>
    <row r="335" spans="1:26" hidden="1" x14ac:dyDescent="0.25">
      <c r="A335" t="str">
        <f>'rockfish harvests'!A342</f>
        <v>SE</v>
      </c>
      <c r="B335">
        <f>'rockfish harvests'!B342</f>
        <v>2013</v>
      </c>
      <c r="C335" t="str">
        <f>'rockfish harvests'!C342</f>
        <v>SSEI</v>
      </c>
      <c r="D335">
        <f>'rockfish harvests'!D342</f>
        <v>24779</v>
      </c>
      <c r="E335">
        <f>'YE harvest'!E343</f>
        <v>13572</v>
      </c>
      <c r="F335">
        <f>IF([2]species_comp_Region1_forR!$H237&gt;49,[2]species_comp_Region1_forR!$AM237,[2]species_comp_Region1_forR!$AO237)</f>
        <v>0.82814814800000003</v>
      </c>
      <c r="G335">
        <f>IF([2]species_comp_Region1_forR!$H237&gt;49,[2]species_comp_Region1_forR!$AN237,[2]species_comp_Region1_forR!$AP237)</f>
        <v>2.1115500000000001E-4</v>
      </c>
      <c r="H335" s="13">
        <f t="shared" si="190"/>
        <v>11239.626664656</v>
      </c>
      <c r="I335">
        <f t="shared" si="157"/>
        <v>38894.578697520003</v>
      </c>
      <c r="J335">
        <f t="shared" si="160"/>
        <v>197.21708520693639</v>
      </c>
      <c r="K335" s="6">
        <f t="shared" si="161"/>
        <v>386.54548700559531</v>
      </c>
      <c r="M335" s="2">
        <f>'rockfish harvests'!O342</f>
        <v>34267.842065821518</v>
      </c>
      <c r="N335">
        <f>'rockfish harvests'!P342</f>
        <v>37595985.131994449</v>
      </c>
      <c r="O335">
        <f>IF([2]species_comp_Region1_forR!$D259&gt;49,[2]species_comp_Region1_forR!$AI259,[2]species_comp_Region1_forR!$AK259)</f>
        <v>0.69700827499999995</v>
      </c>
      <c r="P335">
        <f>IF([2]species_comp_Region1_forR!$D259&gt;49,[2]species_comp_Region1_forR!$AJ259,[2]species_comp_Region1_forR!$AL259)</f>
        <v>1.3451399999999999E-4</v>
      </c>
      <c r="Q335" s="13">
        <f t="shared" si="130"/>
        <v>23884.969486270693</v>
      </c>
      <c r="R335" s="14">
        <f t="shared" si="131"/>
        <v>18417802.212536111</v>
      </c>
      <c r="S335">
        <f t="shared" si="162"/>
        <v>4291.5966973302739</v>
      </c>
      <c r="T335" s="6">
        <f t="shared" si="163"/>
        <v>8411.5295267673373</v>
      </c>
      <c r="V335" s="13">
        <f t="shared" si="158"/>
        <v>35124.596150926693</v>
      </c>
      <c r="W335">
        <f t="shared" si="159"/>
        <v>18456696.791233633</v>
      </c>
      <c r="X335">
        <f t="shared" si="164"/>
        <v>4296.1257885720288</v>
      </c>
      <c r="Y335" s="6">
        <f t="shared" si="165"/>
        <v>8420.4065456011758</v>
      </c>
      <c r="Z335" s="14">
        <f t="shared" si="133"/>
        <v>0.12231103726038667</v>
      </c>
    </row>
    <row r="336" spans="1:26" hidden="1" x14ac:dyDescent="0.25">
      <c r="A336" t="str">
        <f>'rockfish harvests'!A343</f>
        <v>SE</v>
      </c>
      <c r="B336">
        <f>'rockfish harvests'!B343</f>
        <v>2014</v>
      </c>
      <c r="C336" t="str">
        <f>'rockfish harvests'!C343</f>
        <v>SSEI</v>
      </c>
      <c r="D336">
        <f>'rockfish harvests'!D343</f>
        <v>25686</v>
      </c>
      <c r="E336">
        <f>'YE harvest'!E344</f>
        <v>15018</v>
      </c>
      <c r="F336">
        <f>IF([2]species_comp_Region1_forR!$H238&gt;49,[2]species_comp_Region1_forR!$AM238,[2]species_comp_Region1_forR!$AO238)</f>
        <v>0.78004216400000004</v>
      </c>
      <c r="G336">
        <f>IF([2]species_comp_Region1_forR!$H238&gt;49,[2]species_comp_Region1_forR!$AN238,[2]species_comp_Region1_forR!$AP238)</f>
        <v>1.20658E-4</v>
      </c>
      <c r="H336" s="13">
        <f t="shared" si="190"/>
        <v>11714.673218952001</v>
      </c>
      <c r="I336">
        <f t="shared" si="157"/>
        <v>27213.244413191998</v>
      </c>
      <c r="J336">
        <f t="shared" si="160"/>
        <v>164.96437316339549</v>
      </c>
      <c r="K336" s="6">
        <f t="shared" si="161"/>
        <v>323.33017140025515</v>
      </c>
      <c r="M336" s="2">
        <f>'rockfish harvests'!O343</f>
        <v>33152.073336968373</v>
      </c>
      <c r="N336">
        <f>'rockfish harvests'!P343</f>
        <v>19566076.633357268</v>
      </c>
      <c r="O336">
        <f>IF([2]species_comp_Region1_forR!$D260&gt;49,[2]species_comp_Region1_forR!$AI260,[2]species_comp_Region1_forR!$AK260)</f>
        <v>0.67003537099999999</v>
      </c>
      <c r="P336">
        <f>IF([2]species_comp_Region1_forR!$D260&gt;49,[2]species_comp_Region1_forR!$AJ260,[2]species_comp_Region1_forR!$AL260)</f>
        <v>1.11773E-4</v>
      </c>
      <c r="Q336" s="13">
        <f t="shared" si="130"/>
        <v>22213.061757754811</v>
      </c>
      <c r="R336" s="14">
        <f t="shared" si="131"/>
        <v>8904797.4718232919</v>
      </c>
      <c r="S336">
        <f t="shared" si="162"/>
        <v>2984.0907278136319</v>
      </c>
      <c r="T336" s="6">
        <f t="shared" si="163"/>
        <v>5848.817826514718</v>
      </c>
      <c r="V336" s="13">
        <f t="shared" si="158"/>
        <v>33927.734976706808</v>
      </c>
      <c r="W336">
        <f t="shared" si="159"/>
        <v>8932010.7162364833</v>
      </c>
      <c r="X336">
        <f t="shared" si="164"/>
        <v>2988.6469708275154</v>
      </c>
      <c r="Y336" s="6">
        <f t="shared" si="165"/>
        <v>5857.74806282193</v>
      </c>
      <c r="Z336" s="14">
        <f t="shared" si="133"/>
        <v>8.8088608711409125E-2</v>
      </c>
    </row>
    <row r="337" spans="1:26" hidden="1" x14ac:dyDescent="0.25">
      <c r="A337" t="str">
        <f>'rockfish harvests'!A344</f>
        <v>SE</v>
      </c>
      <c r="B337">
        <f>'rockfish harvests'!B344</f>
        <v>2015</v>
      </c>
      <c r="C337" t="str">
        <f>'rockfish harvests'!C344</f>
        <v>SSEI</v>
      </c>
      <c r="D337">
        <f>'rockfish harvests'!D344</f>
        <v>29160</v>
      </c>
      <c r="E337">
        <f>'YE harvest'!E345</f>
        <v>17942</v>
      </c>
      <c r="F337">
        <f>IF([2]species_comp_Region1_forR!$H239&gt;49,[2]species_comp_Region1_forR!$AM239,[2]species_comp_Region1_forR!$AO239)</f>
        <v>0.79710669099999998</v>
      </c>
      <c r="G337">
        <f>IF([2]species_comp_Region1_forR!$H239&gt;49,[2]species_comp_Region1_forR!$AN239,[2]species_comp_Region1_forR!$AP239)</f>
        <v>5.8512199999999999E-5</v>
      </c>
      <c r="H337" s="13">
        <f t="shared" si="190"/>
        <v>14301.688249921999</v>
      </c>
      <c r="I337">
        <f t="shared" si="157"/>
        <v>18835.976161440798</v>
      </c>
      <c r="J337">
        <f t="shared" si="160"/>
        <v>137.2442208671855</v>
      </c>
      <c r="K337" s="6">
        <f t="shared" si="161"/>
        <v>268.99867289968358</v>
      </c>
      <c r="M337" s="2">
        <f>'rockfish harvests'!O344</f>
        <v>31796.645359656926</v>
      </c>
      <c r="N337">
        <f>'rockfish harvests'!P344</f>
        <v>18451721.940392502</v>
      </c>
      <c r="O337">
        <f>IF([2]species_comp_Region1_forR!$D261&gt;49,[2]species_comp_Region1_forR!$AI261,[2]species_comp_Region1_forR!$AK261)</f>
        <v>0.75708502</v>
      </c>
      <c r="P337">
        <f>IF([2]species_comp_Region1_forR!$D261&gt;49,[2]species_comp_Region1_forR!$AJ261,[2]species_comp_Region1_forR!$AL261)</f>
        <v>9.3117599999999998E-5</v>
      </c>
      <c r="Q337" s="13">
        <f t="shared" si="130"/>
        <v>24072.763888048772</v>
      </c>
      <c r="R337" s="14">
        <f t="shared" si="131"/>
        <v>10668542.246102754</v>
      </c>
      <c r="S337">
        <f t="shared" si="162"/>
        <v>3266.273449376637</v>
      </c>
      <c r="T337" s="6">
        <f t="shared" si="163"/>
        <v>6401.8959607782081</v>
      </c>
      <c r="V337" s="13">
        <f t="shared" si="158"/>
        <v>38374.452137970773</v>
      </c>
      <c r="W337">
        <f t="shared" si="159"/>
        <v>10687378.222264195</v>
      </c>
      <c r="X337">
        <f t="shared" si="164"/>
        <v>3269.1555824500301</v>
      </c>
      <c r="Y337" s="6">
        <f t="shared" si="165"/>
        <v>6407.5449416020592</v>
      </c>
      <c r="Z337" s="14">
        <f t="shared" si="133"/>
        <v>8.5190938249650322E-2</v>
      </c>
    </row>
    <row r="338" spans="1:26" hidden="1" x14ac:dyDescent="0.25">
      <c r="A338" t="str">
        <f>'rockfish harvests'!A345</f>
        <v>SE</v>
      </c>
      <c r="B338">
        <f>'rockfish harvests'!B345</f>
        <v>2016</v>
      </c>
      <c r="C338" t="str">
        <f>'rockfish harvests'!C345</f>
        <v>SSEI</v>
      </c>
      <c r="D338">
        <f>'rockfish harvests'!D345</f>
        <v>32540</v>
      </c>
      <c r="E338">
        <f>'YE harvest'!E346</f>
        <v>19167</v>
      </c>
      <c r="F338">
        <f>IF([2]species_comp_Region1_forR!$H240&gt;49,[2]species_comp_Region1_forR!$AM240,[2]species_comp_Region1_forR!$AO240)</f>
        <v>0.80009297999999995</v>
      </c>
      <c r="G338">
        <f>IF([2]species_comp_Region1_forR!$H240&gt;49,[2]species_comp_Region1_forR!$AN240,[2]species_comp_Region1_forR!$AP240)</f>
        <v>7.4392699999999997E-5</v>
      </c>
      <c r="H338" s="13">
        <f t="shared" si="190"/>
        <v>15335.382147659999</v>
      </c>
      <c r="I338">
        <f t="shared" si="157"/>
        <v>27329.935512210297</v>
      </c>
      <c r="J338">
        <f t="shared" si="160"/>
        <v>165.31768057957473</v>
      </c>
      <c r="K338" s="6">
        <f t="shared" si="161"/>
        <v>324.02265393596645</v>
      </c>
      <c r="M338" s="2">
        <f>'rockfish harvests'!O345</f>
        <v>33865.532446281708</v>
      </c>
      <c r="N338">
        <f>'rockfish harvests'!P345</f>
        <v>23923054.468410891</v>
      </c>
      <c r="O338">
        <f>IF([2]species_comp_Region1_forR!$D262&gt;49,[2]species_comp_Region1_forR!$AI262,[2]species_comp_Region1_forR!$AK262)</f>
        <v>0.69404106200000004</v>
      </c>
      <c r="P338">
        <f>IF([2]species_comp_Region1_forR!$D262&gt;49,[2]species_comp_Region1_forR!$AJ262,[2]species_comp_Region1_forR!$AL262)</f>
        <v>1.06387E-4</v>
      </c>
      <c r="Q338" s="13">
        <f t="shared" si="130"/>
        <v>23504.070104212817</v>
      </c>
      <c r="R338" s="14">
        <f t="shared" si="131"/>
        <v>11643035.187057896</v>
      </c>
      <c r="S338">
        <f t="shared" si="162"/>
        <v>3412.189207394264</v>
      </c>
      <c r="T338" s="6">
        <f t="shared" si="163"/>
        <v>6687.8908464927572</v>
      </c>
      <c r="V338" s="13">
        <f t="shared" si="158"/>
        <v>38839.452251872819</v>
      </c>
      <c r="W338">
        <f t="shared" si="159"/>
        <v>11670365.122570107</v>
      </c>
      <c r="X338">
        <f t="shared" si="164"/>
        <v>3416.1916109273066</v>
      </c>
      <c r="Y338" s="6">
        <f t="shared" si="165"/>
        <v>6695.7355574175208</v>
      </c>
      <c r="Z338" s="14">
        <f t="shared" si="133"/>
        <v>8.7956740192250762E-2</v>
      </c>
    </row>
    <row r="339" spans="1:26" hidden="1" x14ac:dyDescent="0.25">
      <c r="A339" t="str">
        <f>'rockfish harvests'!A346</f>
        <v>SE</v>
      </c>
      <c r="B339">
        <f>'rockfish harvests'!B346</f>
        <v>2017</v>
      </c>
      <c r="C339" t="str">
        <f>'rockfish harvests'!C346</f>
        <v>SSEI</v>
      </c>
      <c r="D339">
        <f>'rockfish harvests'!D346</f>
        <v>30249</v>
      </c>
      <c r="E339">
        <f>'YE harvest'!E347</f>
        <v>13768</v>
      </c>
      <c r="F339">
        <f>IF([2]species_comp_Region1_forR!$H241&gt;49,[2]species_comp_Region1_forR!$AM241,[2]species_comp_Region1_forR!$AO241)</f>
        <v>0.82257053300000005</v>
      </c>
      <c r="G339">
        <f>IF([2]species_comp_Region1_forR!$H241&gt;49,[2]species_comp_Region1_forR!$AN241,[2]species_comp_Region1_forR!$AP241)</f>
        <v>9.1561E-5</v>
      </c>
      <c r="H339" s="13">
        <f t="shared" si="190"/>
        <v>11325.151098344</v>
      </c>
      <c r="I339">
        <f t="shared" si="157"/>
        <v>17356.103923264</v>
      </c>
      <c r="J339">
        <f t="shared" si="160"/>
        <v>131.74256686152734</v>
      </c>
      <c r="K339" s="6">
        <f t="shared" si="161"/>
        <v>258.21543104859359</v>
      </c>
      <c r="M339" s="2">
        <f>'rockfish harvests'!O346</f>
        <v>32660.834871736792</v>
      </c>
      <c r="N339">
        <f>'rockfish harvests'!P346</f>
        <v>21220862.426665116</v>
      </c>
      <c r="O339">
        <f>IF([2]species_comp_Region1_forR!$D263&gt;49,[2]species_comp_Region1_forR!$AI263,[2]species_comp_Region1_forR!$AK263)</f>
        <v>0.66915760899999999</v>
      </c>
      <c r="P339">
        <f>IF([2]species_comp_Region1_forR!$D263&gt;49,[2]species_comp_Region1_forR!$AJ263,[2]species_comp_Region1_forR!$AL263)</f>
        <v>1.505E-4</v>
      </c>
      <c r="Q339" s="13">
        <f t="shared" si="130"/>
        <v>21855.246170715214</v>
      </c>
      <c r="R339" s="14">
        <f t="shared" si="131"/>
        <v>9659455.1544659305</v>
      </c>
      <c r="S339">
        <f t="shared" si="162"/>
        <v>3107.966401759506</v>
      </c>
      <c r="T339" s="6">
        <f t="shared" si="163"/>
        <v>6091.6141474486312</v>
      </c>
      <c r="V339" s="13">
        <f t="shared" si="158"/>
        <v>33180.397269059213</v>
      </c>
      <c r="W339">
        <f t="shared" si="159"/>
        <v>9676811.2583891954</v>
      </c>
      <c r="X339">
        <f t="shared" si="164"/>
        <v>3110.7573448260464</v>
      </c>
      <c r="Y339" s="6">
        <f t="shared" si="165"/>
        <v>6097.0843958590513</v>
      </c>
      <c r="Z339" s="14">
        <f t="shared" si="133"/>
        <v>9.3752866175801752E-2</v>
      </c>
    </row>
    <row r="340" spans="1:26" hidden="1" x14ac:dyDescent="0.25">
      <c r="A340" t="str">
        <f>'rockfish harvests'!A347</f>
        <v>SE</v>
      </c>
      <c r="B340">
        <f>'rockfish harvests'!B347</f>
        <v>2018</v>
      </c>
      <c r="C340" t="str">
        <f>'rockfish harvests'!C347</f>
        <v>SSEI</v>
      </c>
      <c r="D340">
        <f>'rockfish harvests'!D347</f>
        <v>42049</v>
      </c>
      <c r="E340">
        <f>'YE harvest'!E348</f>
        <v>16630</v>
      </c>
      <c r="F340" t="s">
        <v>309</v>
      </c>
      <c r="G340" t="s">
        <v>310</v>
      </c>
      <c r="H340" s="13">
        <f t="shared" si="190"/>
        <v>14218.015267175579</v>
      </c>
      <c r="I340">
        <f t="shared" si="157"/>
        <v>29487.219050294152</v>
      </c>
      <c r="J340">
        <f t="shared" si="160"/>
        <v>171.71842955924723</v>
      </c>
      <c r="K340" s="6">
        <f t="shared" si="161"/>
        <v>336.56812193612456</v>
      </c>
      <c r="M340" s="2">
        <f>'rockfish harvests'!O347</f>
        <v>34725.8595505618</v>
      </c>
      <c r="N340">
        <f>'rockfish harvests'!P347</f>
        <v>18537755.684375577</v>
      </c>
      <c r="O340">
        <f>IF([2]species_comp_Region1_forR!$D264&gt;49,[2]species_comp_Region1_forR!$AI264,[2]species_comp_Region1_forR!$AK264)</f>
        <v>0.63246831599999997</v>
      </c>
      <c r="P340">
        <f>IF([2]species_comp_Region1_forR!$D264&gt;49,[2]species_comp_Region1_forR!$AJ264,[2]species_comp_Region1_forR!$AL264)</f>
        <v>1.4037000000000001E-4</v>
      </c>
      <c r="Q340" s="13">
        <f t="shared" si="130"/>
        <v>21963.005911596338</v>
      </c>
      <c r="R340" s="14">
        <f t="shared" si="131"/>
        <v>7582070.0208665319</v>
      </c>
      <c r="S340">
        <f t="shared" si="162"/>
        <v>2753.5558866430388</v>
      </c>
      <c r="T340" s="6">
        <f t="shared" si="163"/>
        <v>5396.969537820356</v>
      </c>
      <c r="V340" s="13">
        <f t="shared" si="158"/>
        <v>36181.021178771916</v>
      </c>
      <c r="W340">
        <f t="shared" si="159"/>
        <v>7611557.2399168257</v>
      </c>
      <c r="X340">
        <f t="shared" si="164"/>
        <v>2758.9050799034071</v>
      </c>
      <c r="Y340" s="6">
        <f t="shared" si="165"/>
        <v>5407.4539566106778</v>
      </c>
      <c r="Z340" s="14">
        <f t="shared" si="133"/>
        <v>7.625282510052836E-2</v>
      </c>
    </row>
    <row r="341" spans="1:26" hidden="1" x14ac:dyDescent="0.25">
      <c r="A341" t="str">
        <f>'rockfish harvests'!A348</f>
        <v>SE</v>
      </c>
      <c r="B341">
        <f>'rockfish harvests'!B348</f>
        <v>2019</v>
      </c>
      <c r="C341" t="str">
        <f>'rockfish harvests'!C348</f>
        <v>SSEI</v>
      </c>
      <c r="D341">
        <f>'rockfish harvests'!D348</f>
        <v>35867</v>
      </c>
      <c r="E341">
        <f>'YE harvest'!E349</f>
        <v>14851</v>
      </c>
      <c r="F341" t="s">
        <v>311</v>
      </c>
      <c r="G341" t="s">
        <v>312</v>
      </c>
      <c r="H341" s="13">
        <f>E341*F341</f>
        <v>12348.483425414361</v>
      </c>
      <c r="I341">
        <f>(E341^2)*G341</f>
        <v>30840.603236622206</v>
      </c>
      <c r="K341" s="6"/>
      <c r="M341" s="2">
        <f>'rockfish harvests'!O348</f>
        <v>69950.34860446323</v>
      </c>
      <c r="N341">
        <f>'rockfish harvests'!P348</f>
        <v>111154603.32156514</v>
      </c>
      <c r="O341">
        <v>0.60254924681344146</v>
      </c>
      <c r="P341">
        <v>2.7782326215544765E-4</v>
      </c>
      <c r="Q341" s="13">
        <f>M341*O341</f>
        <v>42148.529865956989</v>
      </c>
      <c r="R341" s="14">
        <f>(M341^2)*P341+(O341^2)*N341-(P341*N341)</f>
        <v>41684934.304837212</v>
      </c>
      <c r="S341">
        <f>SQRT(R341)</f>
        <v>6456.3870937883839</v>
      </c>
      <c r="T341" s="6">
        <f>(1.96*S341)</f>
        <v>12654.518703825232</v>
      </c>
      <c r="V341" s="13">
        <f>Q341+H341</f>
        <v>54497.013291371346</v>
      </c>
      <c r="W341">
        <f>R341+I341</f>
        <v>41715774.908073835</v>
      </c>
      <c r="X341">
        <f>SQRT(W341)</f>
        <v>6458.7750315422691</v>
      </c>
      <c r="Y341" s="6">
        <f>(1.96*X341)</f>
        <v>12659.199061822846</v>
      </c>
      <c r="Z341" s="14">
        <f t="shared" si="133"/>
        <v>0.11851612852634813</v>
      </c>
    </row>
    <row r="342" spans="1:26" hidden="1" x14ac:dyDescent="0.25">
      <c r="A342" t="str">
        <f>'rockfish harvests'!A349</f>
        <v>SE</v>
      </c>
      <c r="B342">
        <f>'rockfish harvests'!B349</f>
        <v>2020</v>
      </c>
      <c r="C342" t="str">
        <f>'rockfish harvests'!C349</f>
        <v>SSEI</v>
      </c>
      <c r="D342">
        <f>'rockfish harvests'!D349</f>
        <v>11107</v>
      </c>
      <c r="E342">
        <f>'YE harvest'!E350</f>
        <v>325</v>
      </c>
      <c r="F342" t="s">
        <v>273</v>
      </c>
      <c r="G342" t="s">
        <v>273</v>
      </c>
      <c r="H342" s="13">
        <f t="shared" ref="H342:H343" si="191">E342*F342</f>
        <v>0</v>
      </c>
      <c r="I342">
        <f t="shared" ref="I342:I343" si="192">(E342^2)*G342</f>
        <v>0</v>
      </c>
      <c r="J342">
        <f t="shared" ref="J342" si="193">SQRT(I342)</f>
        <v>0</v>
      </c>
      <c r="K342" s="6">
        <f t="shared" ref="K342" si="194">(1.96*J342)</f>
        <v>0</v>
      </c>
      <c r="M342" s="2">
        <f>'rockfish harvests'!O349</f>
        <v>15196.649154865238</v>
      </c>
      <c r="N342">
        <f>'rockfish harvests'!P349</f>
        <v>6640608.2621304234</v>
      </c>
      <c r="O342">
        <v>2.7900146842878122E-2</v>
      </c>
      <c r="P342">
        <v>3.9884895072094059E-5</v>
      </c>
      <c r="Q342" s="13">
        <f t="shared" ref="Q342:Q343" si="195">M342*O342</f>
        <v>423.98874294043986</v>
      </c>
      <c r="R342" s="14">
        <f t="shared" ref="R342:R343" si="196">(M342^2)*P342+(O342^2)*N342-(P342*N342)</f>
        <v>14115.25402860063</v>
      </c>
      <c r="S342">
        <f t="shared" ref="S342:S343" si="197">SQRT(R342)</f>
        <v>118.80763455519443</v>
      </c>
      <c r="T342" s="6">
        <f t="shared" ref="T342:T343" si="198">(1.96*S342)</f>
        <v>232.86296372818106</v>
      </c>
      <c r="V342" s="13">
        <f t="shared" ref="V342:V343" si="199">Q342+H342</f>
        <v>423.98874294043986</v>
      </c>
      <c r="W342">
        <f t="shared" ref="W342:W343" si="200">R342+I342</f>
        <v>14115.25402860063</v>
      </c>
      <c r="X342">
        <f t="shared" ref="X342:X343" si="201">SQRT(W342)</f>
        <v>118.80763455519443</v>
      </c>
      <c r="Y342" s="6">
        <f t="shared" ref="Y342:Y343" si="202">(1.96*X342)</f>
        <v>232.86296372818106</v>
      </c>
      <c r="Z342" s="14">
        <f t="shared" ref="Z342:Z343" si="203">X342/V342</f>
        <v>0.28021412486388586</v>
      </c>
    </row>
    <row r="343" spans="1:26" hidden="1" x14ac:dyDescent="0.25">
      <c r="A343" t="str">
        <f>'rockfish harvests'!A350</f>
        <v>SE</v>
      </c>
      <c r="B343">
        <f>'rockfish harvests'!B350</f>
        <v>2021</v>
      </c>
      <c r="C343" t="str">
        <f>'rockfish harvests'!C350</f>
        <v>SSEI</v>
      </c>
      <c r="D343">
        <f>'rockfish harvests'!D350</f>
        <v>28388</v>
      </c>
      <c r="E343">
        <f>'YE harvest'!E351</f>
        <v>1254</v>
      </c>
      <c r="F343" t="s">
        <v>234</v>
      </c>
      <c r="G343" t="s">
        <v>235</v>
      </c>
      <c r="H343" s="13">
        <f t="shared" si="191"/>
        <v>52.799999999999955</v>
      </c>
      <c r="I343">
        <f t="shared" si="192"/>
        <v>28.100735489587993</v>
      </c>
      <c r="K343" s="6"/>
      <c r="M343" s="2">
        <f>'rockfish harvests'!O350</f>
        <v>14186.636497865038</v>
      </c>
      <c r="N343">
        <f>'rockfish harvests'!P350</f>
        <v>6428956.9149598647</v>
      </c>
      <c r="O343" t="s">
        <v>238</v>
      </c>
      <c r="P343" t="s">
        <v>239</v>
      </c>
      <c r="Q343" s="13">
        <f t="shared" si="195"/>
        <v>932.2646841454166</v>
      </c>
      <c r="R343" s="14">
        <f t="shared" si="196"/>
        <v>44875.431720194523</v>
      </c>
      <c r="S343">
        <f t="shared" si="197"/>
        <v>211.83822063120365</v>
      </c>
      <c r="T343" s="6">
        <f t="shared" si="198"/>
        <v>415.20291243715917</v>
      </c>
      <c r="V343" s="13">
        <f t="shared" si="199"/>
        <v>985.06468414541655</v>
      </c>
      <c r="W343">
        <f t="shared" si="200"/>
        <v>44903.532455684108</v>
      </c>
      <c r="X343">
        <f t="shared" si="201"/>
        <v>211.9045361847738</v>
      </c>
      <c r="Y343" s="6">
        <f t="shared" si="202"/>
        <v>415.33289092215665</v>
      </c>
      <c r="Z343" s="14">
        <f t="shared" si="203"/>
        <v>0.21511738223425353</v>
      </c>
    </row>
    <row r="344" spans="1:26" hidden="1" x14ac:dyDescent="0.25">
      <c r="A344" t="str">
        <f>'rockfish harvests'!A351</f>
        <v>SE</v>
      </c>
      <c r="B344">
        <v>2022</v>
      </c>
      <c r="C344" t="str">
        <f>'rockfish harvests'!C351</f>
        <v>SSEI</v>
      </c>
      <c r="D344">
        <f>'rockfish harvests'!D351</f>
        <v>33837</v>
      </c>
      <c r="E344">
        <f>'YE harvest'!E352</f>
        <v>3983</v>
      </c>
      <c r="F344" t="s">
        <v>236</v>
      </c>
      <c r="G344" t="s">
        <v>237</v>
      </c>
      <c r="H344" s="13">
        <f t="shared" ref="H344" si="204">E344*F344</f>
        <v>251.26401869158875</v>
      </c>
      <c r="I344">
        <f t="shared" ref="I344" si="205">(E344^2)*G344</f>
        <v>431.89819408546725</v>
      </c>
      <c r="K344" s="6"/>
      <c r="M344" s="2">
        <f>'rockfish harvests'!O351</f>
        <v>25305.766593391003</v>
      </c>
      <c r="N344">
        <f>'rockfish harvests'!P351</f>
        <v>17493065.751002964</v>
      </c>
      <c r="O344" t="s">
        <v>240</v>
      </c>
      <c r="P344" t="s">
        <v>241</v>
      </c>
      <c r="Q344" s="13">
        <f t="shared" ref="Q344" si="206">M344*O344</f>
        <v>6102.0997459240807</v>
      </c>
      <c r="R344" s="14">
        <f t="shared" ref="R344" si="207">(M344^2)*P344+(O344^2)*N344-(P344*N344)</f>
        <v>1219605.345859919</v>
      </c>
      <c r="S344">
        <f t="shared" ref="S344" si="208">SQRT(R344)</f>
        <v>1104.3574357335215</v>
      </c>
      <c r="T344" s="6"/>
      <c r="V344" s="13">
        <f t="shared" ref="V344" si="209">Q344+H344</f>
        <v>6353.3637646156694</v>
      </c>
      <c r="W344">
        <f t="shared" ref="W344" si="210">R344+I344</f>
        <v>1220037.2440540045</v>
      </c>
      <c r="X344">
        <f t="shared" ref="X344" si="211">SQRT(W344)</f>
        <v>1104.5529611811307</v>
      </c>
      <c r="Y344" s="6">
        <f t="shared" ref="Y344" si="212">(1.96*X344)</f>
        <v>2164.9238039150164</v>
      </c>
      <c r="Z344" s="14">
        <f t="shared" ref="Z344" si="213">X344/V344</f>
        <v>0.17385325350530245</v>
      </c>
    </row>
    <row r="345" spans="1:26" x14ac:dyDescent="0.25">
      <c r="A345" t="str">
        <f>'rockfish harvests'!A352</f>
        <v>SE</v>
      </c>
      <c r="B345">
        <f>'rockfish harvests'!B352</f>
        <v>1998</v>
      </c>
      <c r="C345" t="str">
        <f>'rockfish harvests'!C352</f>
        <v>SSEO</v>
      </c>
      <c r="D345">
        <f>'rockfish harvests'!D352</f>
        <v>3185</v>
      </c>
      <c r="E345">
        <f>'YE harvest'!E353</f>
        <v>1723</v>
      </c>
      <c r="F345" s="32">
        <v>0.94453026799999995</v>
      </c>
      <c r="G345" s="32">
        <v>9.1548599999999997E-4</v>
      </c>
      <c r="H345" s="13">
        <f t="shared" ref="H345:H352" si="214">E345*F345</f>
        <v>1627.4256517639999</v>
      </c>
      <c r="I345">
        <f t="shared" si="157"/>
        <v>2717.8298372939998</v>
      </c>
      <c r="J345">
        <f t="shared" si="160"/>
        <v>52.132809604835224</v>
      </c>
      <c r="K345" s="6">
        <f t="shared" si="161"/>
        <v>102.18030682547703</v>
      </c>
      <c r="M345" s="2">
        <f>'rockfish harvests'!O352</f>
        <v>1543.4215757484271</v>
      </c>
      <c r="N345">
        <f>'rockfish harvests'!P352</f>
        <v>277633.92962977174</v>
      </c>
      <c r="O345" s="32">
        <v>0.33668710600000001</v>
      </c>
      <c r="P345" s="32">
        <v>4.4514749999999999E-3</v>
      </c>
      <c r="Q345" s="13">
        <f t="shared" si="130"/>
        <v>519.65014367669778</v>
      </c>
      <c r="R345" s="14">
        <f t="shared" si="131"/>
        <v>40840.285950188008</v>
      </c>
      <c r="S345">
        <f t="shared" si="162"/>
        <v>202.08979674933619</v>
      </c>
      <c r="T345" s="6">
        <f t="shared" si="163"/>
        <v>396.0960016286989</v>
      </c>
      <c r="V345" s="13">
        <f t="shared" si="158"/>
        <v>2147.0757954406977</v>
      </c>
      <c r="W345">
        <f t="shared" si="159"/>
        <v>43558.115787482006</v>
      </c>
      <c r="X345">
        <f t="shared" si="164"/>
        <v>208.70581158051638</v>
      </c>
      <c r="Y345" s="6">
        <f t="shared" si="165"/>
        <v>409.06339069781211</v>
      </c>
      <c r="Z345" s="14">
        <f t="shared" si="133"/>
        <v>9.720467811322818E-2</v>
      </c>
    </row>
    <row r="346" spans="1:26" x14ac:dyDescent="0.25">
      <c r="A346" t="str">
        <f>'rockfish harvests'!A353</f>
        <v>SE</v>
      </c>
      <c r="B346">
        <f>'rockfish harvests'!B353</f>
        <v>1999</v>
      </c>
      <c r="C346" t="str">
        <f>'rockfish harvests'!C353</f>
        <v>SSEO</v>
      </c>
      <c r="D346">
        <f>'rockfish harvests'!D353</f>
        <v>4616</v>
      </c>
      <c r="E346">
        <f>'YE harvest'!E354</f>
        <v>3048</v>
      </c>
      <c r="F346" s="32">
        <v>0.94453026799999995</v>
      </c>
      <c r="G346" s="32">
        <v>9.1548599999999997E-4</v>
      </c>
      <c r="H346" s="13">
        <f t="shared" si="214"/>
        <v>2878.9282568639996</v>
      </c>
      <c r="I346">
        <f t="shared" si="157"/>
        <v>8505.1432477439994</v>
      </c>
      <c r="J346">
        <f t="shared" si="160"/>
        <v>92.223333531942984</v>
      </c>
      <c r="K346" s="6">
        <f t="shared" si="161"/>
        <v>180.75773372260824</v>
      </c>
      <c r="M346" s="2">
        <f>'rockfish harvests'!O353</f>
        <v>2236.8709556215817</v>
      </c>
      <c r="N346">
        <f>'rockfish harvests'!P353</f>
        <v>583156.69651387446</v>
      </c>
      <c r="O346" s="32">
        <v>0.33668710600000001</v>
      </c>
      <c r="P346" s="32">
        <v>4.4514749999999999E-3</v>
      </c>
      <c r="Q346" s="13">
        <f t="shared" si="130"/>
        <v>753.12560854368485</v>
      </c>
      <c r="R346" s="14">
        <f t="shared" si="131"/>
        <v>85783.05350197271</v>
      </c>
      <c r="S346">
        <f t="shared" si="162"/>
        <v>292.8874416938574</v>
      </c>
      <c r="T346" s="6">
        <f t="shared" si="163"/>
        <v>574.05938571996046</v>
      </c>
      <c r="V346" s="13">
        <f t="shared" si="158"/>
        <v>3632.0538654076845</v>
      </c>
      <c r="W346">
        <f t="shared" si="159"/>
        <v>94288.196749716706</v>
      </c>
      <c r="X346">
        <f t="shared" si="164"/>
        <v>307.06383171861302</v>
      </c>
      <c r="Y346" s="6">
        <f t="shared" si="165"/>
        <v>601.84511016848148</v>
      </c>
      <c r="Z346" s="14">
        <f t="shared" si="133"/>
        <v>8.4542752695146564E-2</v>
      </c>
    </row>
    <row r="347" spans="1:26" x14ac:dyDescent="0.25">
      <c r="A347" t="str">
        <f>'rockfish harvests'!A354</f>
        <v>SE</v>
      </c>
      <c r="B347">
        <f>'rockfish harvests'!B354</f>
        <v>2000</v>
      </c>
      <c r="C347" t="str">
        <f>'rockfish harvests'!C354</f>
        <v>SSEO</v>
      </c>
      <c r="D347">
        <f>'rockfish harvests'!D354</f>
        <v>6910</v>
      </c>
      <c r="E347">
        <f>'YE harvest'!E355</f>
        <v>4760</v>
      </c>
      <c r="F347" s="32">
        <v>0.94453026799999995</v>
      </c>
      <c r="G347" s="32">
        <v>9.1548599999999997E-4</v>
      </c>
      <c r="H347" s="13">
        <f t="shared" si="214"/>
        <v>4495.96407568</v>
      </c>
      <c r="I347">
        <f t="shared" si="157"/>
        <v>20742.715593599998</v>
      </c>
      <c r="J347">
        <f t="shared" si="160"/>
        <v>144.02331614568524</v>
      </c>
      <c r="K347" s="6">
        <f t="shared" si="161"/>
        <v>282.28569964554305</v>
      </c>
      <c r="M347" s="2">
        <f>'rockfish harvests'!O354</f>
        <v>3348.5221627697429</v>
      </c>
      <c r="N347">
        <f>'rockfish harvests'!P354</f>
        <v>1306801.9129460659</v>
      </c>
      <c r="O347" s="32">
        <v>0.33668710600000001</v>
      </c>
      <c r="P347" s="32">
        <v>4.4514749999999999E-3</v>
      </c>
      <c r="Q347" s="13">
        <f t="shared" si="130"/>
        <v>1127.4042363598057</v>
      </c>
      <c r="R347" s="14">
        <f t="shared" si="131"/>
        <v>192232.13775110192</v>
      </c>
      <c r="S347">
        <f t="shared" si="162"/>
        <v>438.44285574188791</v>
      </c>
      <c r="T347" s="6">
        <f t="shared" si="163"/>
        <v>859.34799725410028</v>
      </c>
      <c r="V347" s="13">
        <f t="shared" si="158"/>
        <v>5623.3683120398055</v>
      </c>
      <c r="W347">
        <f t="shared" si="159"/>
        <v>212974.85334470193</v>
      </c>
      <c r="X347">
        <f t="shared" si="164"/>
        <v>461.49198621937296</v>
      </c>
      <c r="Y347" s="6">
        <f t="shared" si="165"/>
        <v>904.52429298997095</v>
      </c>
      <c r="Z347" s="14">
        <f t="shared" si="133"/>
        <v>8.2066825541429383E-2</v>
      </c>
    </row>
    <row r="348" spans="1:26" x14ac:dyDescent="0.25">
      <c r="A348" t="str">
        <f>'rockfish harvests'!A355</f>
        <v>SE</v>
      </c>
      <c r="B348">
        <f>'rockfish harvests'!B355</f>
        <v>2001</v>
      </c>
      <c r="C348" t="str">
        <f>'rockfish harvests'!C355</f>
        <v>SSEO</v>
      </c>
      <c r="D348">
        <f>'rockfish harvests'!D355</f>
        <v>5756</v>
      </c>
      <c r="E348">
        <f>'YE harvest'!E356</f>
        <v>3877</v>
      </c>
      <c r="F348" s="32">
        <v>0.94453026799999995</v>
      </c>
      <c r="G348" s="32">
        <v>9.1548599999999997E-4</v>
      </c>
      <c r="H348" s="13">
        <f t="shared" si="214"/>
        <v>3661.9438490359998</v>
      </c>
      <c r="I348">
        <f t="shared" si="157"/>
        <v>13760.788163694</v>
      </c>
      <c r="J348">
        <f t="shared" si="160"/>
        <v>117.30638586067683</v>
      </c>
      <c r="K348" s="6">
        <f t="shared" si="161"/>
        <v>229.92051628692658</v>
      </c>
      <c r="M348" s="2">
        <f>'rockfish harvests'!O355</f>
        <v>2789.304423864347</v>
      </c>
      <c r="N348">
        <f>'rockfish harvests'!P355</f>
        <v>906766.02050430153</v>
      </c>
      <c r="O348" s="32">
        <v>0.33668710600000001</v>
      </c>
      <c r="P348" s="32">
        <v>4.4514749999999999E-3</v>
      </c>
      <c r="Q348" s="13">
        <f t="shared" ref="Q348:Q365" si="215">M348*O348</f>
        <v>939.12283422388441</v>
      </c>
      <c r="R348" s="14">
        <f t="shared" ref="R348:R365" si="216">(M348^2)*P348+(O348^2)*N348-(P348*N348)</f>
        <v>133386.37542137995</v>
      </c>
      <c r="S348">
        <f t="shared" si="162"/>
        <v>365.22099531842355</v>
      </c>
      <c r="T348" s="6">
        <f t="shared" si="163"/>
        <v>715.83315082411013</v>
      </c>
      <c r="V348" s="13">
        <f t="shared" si="158"/>
        <v>4601.0666832598845</v>
      </c>
      <c r="W348">
        <f t="shared" si="159"/>
        <v>147147.16358507395</v>
      </c>
      <c r="X348">
        <f t="shared" si="164"/>
        <v>383.59765847183422</v>
      </c>
      <c r="Y348" s="6">
        <f t="shared" si="165"/>
        <v>751.85141060479509</v>
      </c>
      <c r="Z348" s="14">
        <f t="shared" si="133"/>
        <v>8.3371462506179744E-2</v>
      </c>
    </row>
    <row r="349" spans="1:26" x14ac:dyDescent="0.25">
      <c r="A349" t="str">
        <f>'rockfish harvests'!A356</f>
        <v>SE</v>
      </c>
      <c r="B349">
        <f>'rockfish harvests'!B356</f>
        <v>2002</v>
      </c>
      <c r="C349" t="str">
        <f>'rockfish harvests'!C356</f>
        <v>SSEO</v>
      </c>
      <c r="D349">
        <f>'rockfish harvests'!D356</f>
        <v>7617</v>
      </c>
      <c r="E349">
        <f>'YE harvest'!E357</f>
        <v>4125</v>
      </c>
      <c r="F349" s="32">
        <v>0.94453026799999995</v>
      </c>
      <c r="G349" s="32">
        <v>9.1548599999999997E-4</v>
      </c>
      <c r="H349" s="13">
        <f t="shared" si="214"/>
        <v>3896.1873554999997</v>
      </c>
      <c r="I349">
        <f t="shared" si="157"/>
        <v>15577.566468749999</v>
      </c>
      <c r="J349">
        <f t="shared" si="160"/>
        <v>124.81012165986378</v>
      </c>
      <c r="K349" s="6">
        <f t="shared" si="161"/>
        <v>244.627838453333</v>
      </c>
      <c r="M349" s="2">
        <f>'rockfish harvests'!O356</f>
        <v>3691.1278312325794</v>
      </c>
      <c r="N349">
        <f>'rockfish harvests'!P356</f>
        <v>1587894.256982432</v>
      </c>
      <c r="O349" s="32">
        <v>0.33668710600000001</v>
      </c>
      <c r="P349" s="32">
        <v>4.4514749999999999E-3</v>
      </c>
      <c r="Q349" s="13">
        <f t="shared" si="215"/>
        <v>1242.7551473737535</v>
      </c>
      <c r="R349" s="14">
        <f t="shared" si="216"/>
        <v>233581.16063228357</v>
      </c>
      <c r="S349">
        <f t="shared" si="162"/>
        <v>483.30234908624595</v>
      </c>
      <c r="T349" s="6">
        <f t="shared" si="163"/>
        <v>947.27260420904202</v>
      </c>
      <c r="V349" s="13">
        <f t="shared" si="158"/>
        <v>5138.9425028737533</v>
      </c>
      <c r="W349">
        <f t="shared" si="159"/>
        <v>249158.72710103358</v>
      </c>
      <c r="X349">
        <f t="shared" si="164"/>
        <v>499.15801816762752</v>
      </c>
      <c r="Y349" s="6">
        <f t="shared" si="165"/>
        <v>978.3497156085499</v>
      </c>
      <c r="Z349" s="14">
        <f t="shared" si="133"/>
        <v>9.713243880204786E-2</v>
      </c>
    </row>
    <row r="350" spans="1:26" x14ac:dyDescent="0.25">
      <c r="A350" t="str">
        <f>'rockfish harvests'!A357</f>
        <v>SE</v>
      </c>
      <c r="B350">
        <f>'rockfish harvests'!B357</f>
        <v>2003</v>
      </c>
      <c r="C350" t="str">
        <f>'rockfish harvests'!C357</f>
        <v>SSEO</v>
      </c>
      <c r="D350">
        <f>'rockfish harvests'!D357</f>
        <v>6896</v>
      </c>
      <c r="E350">
        <f>'YE harvest'!E358</f>
        <v>4090</v>
      </c>
      <c r="F350" s="32">
        <v>0.94453026799999995</v>
      </c>
      <c r="G350" s="32">
        <v>9.1548599999999997E-4</v>
      </c>
      <c r="H350" s="13">
        <f t="shared" si="214"/>
        <v>3863.1287961199996</v>
      </c>
      <c r="I350">
        <f t="shared" si="157"/>
        <v>15314.3413566</v>
      </c>
      <c r="J350">
        <f t="shared" si="160"/>
        <v>123.75112668820434</v>
      </c>
      <c r="K350" s="6">
        <f t="shared" si="161"/>
        <v>242.55220830888049</v>
      </c>
      <c r="M350" s="2">
        <f>'rockfish harvests'!O357</f>
        <v>3341.7378921071122</v>
      </c>
      <c r="N350">
        <f>'rockfish harvests'!P357</f>
        <v>1301511.9872539048</v>
      </c>
      <c r="O350" s="32">
        <v>0.33668710600000001</v>
      </c>
      <c r="P350" s="32">
        <v>4.4514749999999999E-3</v>
      </c>
      <c r="Q350" s="13">
        <f t="shared" si="215"/>
        <v>1125.120059904084</v>
      </c>
      <c r="R350" s="14">
        <f t="shared" si="216"/>
        <v>191453.98330070317</v>
      </c>
      <c r="S350">
        <f t="shared" si="162"/>
        <v>437.5545489429897</v>
      </c>
      <c r="T350" s="6">
        <f t="shared" si="163"/>
        <v>857.60691592825981</v>
      </c>
      <c r="V350" s="13">
        <f t="shared" si="158"/>
        <v>4988.2488560240836</v>
      </c>
      <c r="W350">
        <f t="shared" si="159"/>
        <v>206768.32465730316</v>
      </c>
      <c r="X350">
        <f t="shared" si="164"/>
        <v>454.71785170290286</v>
      </c>
      <c r="Y350" s="6">
        <f t="shared" si="165"/>
        <v>891.24698933768957</v>
      </c>
      <c r="Z350" s="14">
        <f t="shared" si="133"/>
        <v>9.1157812055379026E-2</v>
      </c>
    </row>
    <row r="351" spans="1:26" x14ac:dyDescent="0.25">
      <c r="A351" t="str">
        <f>'rockfish harvests'!A358</f>
        <v>SE</v>
      </c>
      <c r="B351">
        <f>'rockfish harvests'!B358</f>
        <v>2004</v>
      </c>
      <c r="C351" t="str">
        <f>'rockfish harvests'!C358</f>
        <v>SSEO</v>
      </c>
      <c r="D351">
        <f>'rockfish harvests'!D358</f>
        <v>10061</v>
      </c>
      <c r="E351">
        <f>'YE harvest'!E359</f>
        <v>5918</v>
      </c>
      <c r="F351" s="32">
        <v>0.94453026799999995</v>
      </c>
      <c r="G351" s="32">
        <v>9.1548599999999997E-4</v>
      </c>
      <c r="H351" s="13">
        <f t="shared" si="214"/>
        <v>5589.7301260240001</v>
      </c>
      <c r="I351">
        <f t="shared" si="157"/>
        <v>32062.813503863999</v>
      </c>
      <c r="J351">
        <f t="shared" si="160"/>
        <v>179.0609212080179</v>
      </c>
      <c r="K351" s="6">
        <f t="shared" si="161"/>
        <v>350.95940556771507</v>
      </c>
      <c r="M351" s="2">
        <f>'rockfish harvests'!O358</f>
        <v>4875.4676526232088</v>
      </c>
      <c r="N351">
        <f>'rockfish harvests'!P358</f>
        <v>2770358.4485732173</v>
      </c>
      <c r="O351" s="32">
        <v>0.33668710600000001</v>
      </c>
      <c r="P351" s="32">
        <v>4.4514749999999999E-3</v>
      </c>
      <c r="Q351" s="13">
        <f t="shared" si="215"/>
        <v>1641.5070943583216</v>
      </c>
      <c r="R351" s="14">
        <f t="shared" si="216"/>
        <v>407523.06958708528</v>
      </c>
      <c r="S351">
        <f t="shared" si="162"/>
        <v>638.37533597961419</v>
      </c>
      <c r="T351" s="6">
        <f t="shared" si="163"/>
        <v>1251.2156585200437</v>
      </c>
      <c r="V351" s="13">
        <f t="shared" si="158"/>
        <v>7231.2372203823215</v>
      </c>
      <c r="W351">
        <f t="shared" si="159"/>
        <v>439585.88309094927</v>
      </c>
      <c r="X351">
        <f t="shared" si="164"/>
        <v>663.01273222386101</v>
      </c>
      <c r="Y351" s="6">
        <f t="shared" si="165"/>
        <v>1299.5049551587676</v>
      </c>
      <c r="Z351" s="14">
        <f t="shared" si="133"/>
        <v>9.1687316017660253E-2</v>
      </c>
    </row>
    <row r="352" spans="1:26" x14ac:dyDescent="0.25">
      <c r="A352" t="str">
        <f>'rockfish harvests'!A359</f>
        <v>SE</v>
      </c>
      <c r="B352">
        <f>'rockfish harvests'!B359</f>
        <v>2005</v>
      </c>
      <c r="C352" t="str">
        <f>'rockfish harvests'!C359</f>
        <v>SSEO</v>
      </c>
      <c r="D352">
        <f>'rockfish harvests'!D359</f>
        <v>12666</v>
      </c>
      <c r="E352">
        <f>'YE harvest'!E360</f>
        <v>7243</v>
      </c>
      <c r="F352" s="32">
        <v>0.94453026799999995</v>
      </c>
      <c r="G352" s="32">
        <v>9.1548599999999997E-4</v>
      </c>
      <c r="H352" s="13">
        <f t="shared" si="214"/>
        <v>6841.2327311239997</v>
      </c>
      <c r="I352">
        <f t="shared" si="157"/>
        <v>48027.355904814001</v>
      </c>
      <c r="J352">
        <f t="shared" si="160"/>
        <v>219.15144513512567</v>
      </c>
      <c r="K352" s="6">
        <f t="shared" si="161"/>
        <v>429.53683246484633</v>
      </c>
      <c r="M352" s="2">
        <f>'rockfish harvests'!O359</f>
        <v>6137.826586634088</v>
      </c>
      <c r="N352">
        <f>'rockfish harvests'!P359</f>
        <v>4390688.5733686173</v>
      </c>
      <c r="O352" s="32">
        <v>0.33668710600000001</v>
      </c>
      <c r="P352" s="32">
        <v>4.4514749999999999E-3</v>
      </c>
      <c r="Q352" s="13">
        <f t="shared" si="215"/>
        <v>2066.5270705836892</v>
      </c>
      <c r="R352" s="14">
        <f t="shared" si="216"/>
        <v>645875.58550109039</v>
      </c>
      <c r="S352">
        <f t="shared" si="162"/>
        <v>803.66385106031146</v>
      </c>
      <c r="T352" s="6">
        <f t="shared" si="163"/>
        <v>1575.1811480782105</v>
      </c>
      <c r="V352" s="13">
        <f t="shared" si="158"/>
        <v>8907.7598017076889</v>
      </c>
      <c r="W352">
        <f t="shared" si="159"/>
        <v>693902.94140590436</v>
      </c>
      <c r="X352">
        <f t="shared" si="164"/>
        <v>833.00836814878653</v>
      </c>
      <c r="Y352" s="6">
        <f t="shared" si="165"/>
        <v>1632.6964015716217</v>
      </c>
      <c r="Z352" s="14">
        <f t="shared" si="133"/>
        <v>9.3514911346070664E-2</v>
      </c>
    </row>
    <row r="353" spans="1:26" x14ac:dyDescent="0.25">
      <c r="A353" t="str">
        <f>'rockfish harvests'!A360</f>
        <v>SE</v>
      </c>
      <c r="B353">
        <f>'rockfish harvests'!B360</f>
        <v>2006</v>
      </c>
      <c r="C353" t="str">
        <f>'rockfish harvests'!C360</f>
        <v>SSEO</v>
      </c>
      <c r="D353">
        <f>'rockfish harvests'!D360</f>
        <v>12007</v>
      </c>
      <c r="E353">
        <f>'YE harvest'!E361</f>
        <v>7233</v>
      </c>
      <c r="F353">
        <f>IF([2]species_comp_Region1_forR!$H274&gt;49,[2]species_comp_Region1_forR!$AM274,[2]species_comp_Region1_forR!$AO274)</f>
        <v>0.96232876700000003</v>
      </c>
      <c r="G353">
        <f>IF([2]species_comp_Region1_forR!$H274&gt;49,[2]species_comp_Region1_forR!$AN274,[2]species_comp_Region1_forR!$AP274)</f>
        <v>1.24578E-4</v>
      </c>
      <c r="H353" s="13">
        <f t="shared" ref="H353:H365" si="217">E353*F353</f>
        <v>6960.5239717109998</v>
      </c>
      <c r="I353">
        <f t="shared" si="157"/>
        <v>6517.4586510420004</v>
      </c>
      <c r="J353">
        <f t="shared" si="160"/>
        <v>80.730778833366898</v>
      </c>
      <c r="K353" s="6">
        <f t="shared" si="161"/>
        <v>158.23232651339913</v>
      </c>
      <c r="M353" s="2">
        <f>'rockfish harvests'!O360</f>
        <v>5818.4812747288415</v>
      </c>
      <c r="N353">
        <f>'rockfish harvests'!P360</f>
        <v>3945687.5188521035</v>
      </c>
      <c r="O353">
        <f>IF([2]species_comp_Region1_forR!$D296&gt;49,[2]species_comp_Region1_forR!$AI296,[2]species_comp_Region1_forR!$AK296)</f>
        <v>0.514705882</v>
      </c>
      <c r="P353">
        <f>IF([2]species_comp_Region1_forR!$D296&gt;49,[2]species_comp_Region1_forR!$AJ296,[2]species_comp_Region1_forR!$AL296)</f>
        <v>1.8502499999999999E-3</v>
      </c>
      <c r="Q353" s="13">
        <f t="shared" si="215"/>
        <v>2994.8065364097929</v>
      </c>
      <c r="R353" s="14">
        <f t="shared" si="216"/>
        <v>1100639.1962439131</v>
      </c>
      <c r="S353">
        <f t="shared" si="162"/>
        <v>1049.1135287679372</v>
      </c>
      <c r="T353" s="6">
        <f t="shared" si="163"/>
        <v>2056.2625163851567</v>
      </c>
      <c r="V353" s="13">
        <f t="shared" si="158"/>
        <v>9955.3305081207927</v>
      </c>
      <c r="W353">
        <f t="shared" si="159"/>
        <v>1107156.6548949552</v>
      </c>
      <c r="X353">
        <f t="shared" si="164"/>
        <v>1052.2151181649858</v>
      </c>
      <c r="Y353" s="6">
        <f t="shared" si="165"/>
        <v>2062.3416316033722</v>
      </c>
      <c r="Z353" s="14">
        <f t="shared" si="133"/>
        <v>0.10569363993557719</v>
      </c>
    </row>
    <row r="354" spans="1:26" x14ac:dyDescent="0.25">
      <c r="A354" t="str">
        <f>'rockfish harvests'!A361</f>
        <v>SE</v>
      </c>
      <c r="B354">
        <f>'rockfish harvests'!B361</f>
        <v>2007</v>
      </c>
      <c r="C354" t="str">
        <f>'rockfish harvests'!C361</f>
        <v>SSEO</v>
      </c>
      <c r="D354">
        <f>'rockfish harvests'!D361</f>
        <v>12018</v>
      </c>
      <c r="E354">
        <f>'YE harvest'!E362</f>
        <v>6094</v>
      </c>
      <c r="F354">
        <f>IF([2]species_comp_Region1_forR!$H275&gt;49,[2]species_comp_Region1_forR!$AM275,[2]species_comp_Region1_forR!$AO275)</f>
        <v>0.97003154599999997</v>
      </c>
      <c r="G354">
        <f>IF([2]species_comp_Region1_forR!$H275&gt;49,[2]species_comp_Region1_forR!$AN275,[2]species_comp_Region1_forR!$AP275)</f>
        <v>4.5924699999999998E-5</v>
      </c>
      <c r="H354" s="13">
        <f t="shared" si="217"/>
        <v>5911.3722413240002</v>
      </c>
      <c r="I354">
        <f t="shared" si="157"/>
        <v>1705.4980522491999</v>
      </c>
      <c r="J354">
        <f t="shared" si="160"/>
        <v>41.297676111970269</v>
      </c>
      <c r="K354" s="6">
        <f t="shared" si="161"/>
        <v>80.943445179461719</v>
      </c>
      <c r="M354" s="2">
        <f>'rockfish harvests'!O361</f>
        <v>5823.8117731066231</v>
      </c>
      <c r="N354">
        <f>'rockfish harvests'!P361</f>
        <v>3952920.3736786586</v>
      </c>
      <c r="O354">
        <f>IF([2]species_comp_Region1_forR!$D297&gt;49,[2]species_comp_Region1_forR!$AI297,[2]species_comp_Region1_forR!$AK297)</f>
        <v>0.35040431300000002</v>
      </c>
      <c r="P354">
        <f>IF([2]species_comp_Region1_forR!$D297&gt;49,[2]species_comp_Region1_forR!$AJ297,[2]species_comp_Region1_forR!$AL297)</f>
        <v>6.1519199999999997E-4</v>
      </c>
      <c r="Q354" s="13">
        <f t="shared" si="215"/>
        <v>2040.6887633967383</v>
      </c>
      <c r="R354" s="14">
        <f t="shared" si="216"/>
        <v>503785.6728487091</v>
      </c>
      <c r="S354">
        <f t="shared" si="162"/>
        <v>709.77860833411228</v>
      </c>
      <c r="T354" s="6">
        <f t="shared" si="163"/>
        <v>1391.16607233486</v>
      </c>
      <c r="V354" s="13">
        <f t="shared" si="158"/>
        <v>7952.0610047207383</v>
      </c>
      <c r="W354">
        <f t="shared" si="159"/>
        <v>505491.1709009583</v>
      </c>
      <c r="X354">
        <f t="shared" si="164"/>
        <v>710.97902282764881</v>
      </c>
      <c r="Y354" s="6">
        <f t="shared" si="165"/>
        <v>1393.5188847421916</v>
      </c>
      <c r="Z354" s="14">
        <f t="shared" si="133"/>
        <v>8.9408144933191075E-2</v>
      </c>
    </row>
    <row r="355" spans="1:26" x14ac:dyDescent="0.25">
      <c r="A355" t="str">
        <f>'rockfish harvests'!A362</f>
        <v>SE</v>
      </c>
      <c r="B355">
        <f>'rockfish harvests'!B362</f>
        <v>2008</v>
      </c>
      <c r="C355" t="str">
        <f>'rockfish harvests'!C362</f>
        <v>SSEO</v>
      </c>
      <c r="D355">
        <f>'rockfish harvests'!D362</f>
        <v>17754</v>
      </c>
      <c r="E355">
        <f>'YE harvest'!E363</f>
        <v>6953</v>
      </c>
      <c r="F355">
        <f>IF([2]species_comp_Region1_forR!$H276&gt;49,[2]species_comp_Region1_forR!$AM276,[2]species_comp_Region1_forR!$AO276)</f>
        <v>0.95098039199999995</v>
      </c>
      <c r="G355">
        <f>IF([2]species_comp_Region1_forR!$H276&gt;49,[2]species_comp_Region1_forR!$AN276,[2]species_comp_Region1_forR!$AP276)</f>
        <v>5.0836099999999999E-5</v>
      </c>
      <c r="H355" s="13">
        <f t="shared" si="217"/>
        <v>6612.166665576</v>
      </c>
      <c r="I355">
        <f t="shared" si="157"/>
        <v>2457.6310431449001</v>
      </c>
      <c r="J355">
        <f t="shared" si="160"/>
        <v>49.574499928339165</v>
      </c>
      <c r="K355" s="6">
        <f t="shared" si="161"/>
        <v>97.166019859544761</v>
      </c>
      <c r="M355" s="2">
        <f>'rockfish harvests'!O362</f>
        <v>8603.4243817386414</v>
      </c>
      <c r="N355">
        <f>'rockfish harvests'!P362</f>
        <v>8626727.8588684946</v>
      </c>
      <c r="O355">
        <f>IF([2]species_comp_Region1_forR!$D298&gt;49,[2]species_comp_Region1_forR!$AI298,[2]species_comp_Region1_forR!$AK298)</f>
        <v>0.31578947400000001</v>
      </c>
      <c r="P355">
        <f>IF([2]species_comp_Region1_forR!$D298&gt;49,[2]species_comp_Region1_forR!$AJ298,[2]species_comp_Region1_forR!$AL298)</f>
        <v>4.0690499999999999E-4</v>
      </c>
      <c r="Q355" s="13">
        <f t="shared" si="215"/>
        <v>2716.8708601080207</v>
      </c>
      <c r="R355" s="14">
        <f t="shared" si="216"/>
        <v>886891.51861884736</v>
      </c>
      <c r="S355">
        <f t="shared" si="162"/>
        <v>941.74918031227787</v>
      </c>
      <c r="T355" s="6">
        <f t="shared" si="163"/>
        <v>1845.8283934120645</v>
      </c>
      <c r="V355" s="13">
        <f t="shared" si="158"/>
        <v>9329.0375256840198</v>
      </c>
      <c r="W355">
        <f t="shared" si="159"/>
        <v>889349.14966199221</v>
      </c>
      <c r="X355">
        <f t="shared" si="164"/>
        <v>943.0531001285093</v>
      </c>
      <c r="Y355" s="6">
        <f t="shared" si="165"/>
        <v>1848.3840762518782</v>
      </c>
      <c r="Z355" s="14">
        <f t="shared" si="133"/>
        <v>0.10108793083232487</v>
      </c>
    </row>
    <row r="356" spans="1:26" x14ac:dyDescent="0.25">
      <c r="A356" t="str">
        <f>'rockfish harvests'!A363</f>
        <v>SE</v>
      </c>
      <c r="B356">
        <f>'rockfish harvests'!B363</f>
        <v>2009</v>
      </c>
      <c r="C356" t="str">
        <f>'rockfish harvests'!C363</f>
        <v>SSEO</v>
      </c>
      <c r="D356">
        <f>'rockfish harvests'!D363</f>
        <v>9645</v>
      </c>
      <c r="E356">
        <f>'YE harvest'!E364</f>
        <v>3692</v>
      </c>
      <c r="F356">
        <f>IF([2]species_comp_Region1_forR!$H277&gt;49,[2]species_comp_Region1_forR!$AM277,[2]species_comp_Region1_forR!$AO277)</f>
        <v>0.96043165500000005</v>
      </c>
      <c r="G356">
        <f>IF([2]species_comp_Region1_forR!$H277&gt;49,[2]species_comp_Region1_forR!$AN277,[2]species_comp_Region1_forR!$AP277)</f>
        <v>6.8473300000000001E-5</v>
      </c>
      <c r="H356" s="13">
        <f t="shared" si="217"/>
        <v>3545.9136702600003</v>
      </c>
      <c r="I356">
        <f t="shared" si="157"/>
        <v>933.35023993120001</v>
      </c>
      <c r="J356">
        <f t="shared" si="160"/>
        <v>30.550781330944712</v>
      </c>
      <c r="K356" s="6">
        <f t="shared" si="161"/>
        <v>59.879531408651637</v>
      </c>
      <c r="M356" s="2">
        <f>'rockfish harvests'!O363</f>
        <v>4673.8778957907616</v>
      </c>
      <c r="N356">
        <f>'rockfish harvests'!P363</f>
        <v>2545998.4255660125</v>
      </c>
      <c r="O356">
        <f>IF([2]species_comp_Region1_forR!$D299&gt;49,[2]species_comp_Region1_forR!$AI299,[2]species_comp_Region1_forR!$AK299)</f>
        <v>0.31498470899999997</v>
      </c>
      <c r="P356">
        <f>IF([2]species_comp_Region1_forR!$D299&gt;49,[2]species_comp_Region1_forR!$AJ299,[2]species_comp_Region1_forR!$AL299)</f>
        <v>3.3042800000000002E-4</v>
      </c>
      <c r="Q356" s="13">
        <f t="shared" si="215"/>
        <v>1472.2000689071851</v>
      </c>
      <c r="R356" s="14">
        <f t="shared" si="216"/>
        <v>258979.14289187704</v>
      </c>
      <c r="S356">
        <f t="shared" si="162"/>
        <v>508.89993406550667</v>
      </c>
      <c r="T356" s="6">
        <f t="shared" si="163"/>
        <v>997.44387076839303</v>
      </c>
      <c r="V356" s="13">
        <f t="shared" si="158"/>
        <v>5018.1137391671855</v>
      </c>
      <c r="W356">
        <f t="shared" si="159"/>
        <v>259912.49313180824</v>
      </c>
      <c r="X356">
        <f t="shared" si="164"/>
        <v>509.8161365941728</v>
      </c>
      <c r="Y356" s="6">
        <f t="shared" si="165"/>
        <v>999.23962772457867</v>
      </c>
      <c r="Z356" s="14">
        <f t="shared" si="133"/>
        <v>0.10159517362370163</v>
      </c>
    </row>
    <row r="357" spans="1:26" x14ac:dyDescent="0.25">
      <c r="A357" t="str">
        <f>'rockfish harvests'!A364</f>
        <v>SE</v>
      </c>
      <c r="B357">
        <f>'rockfish harvests'!B364</f>
        <v>2010</v>
      </c>
      <c r="C357" t="str">
        <f>'rockfish harvests'!C364</f>
        <v>SSEO</v>
      </c>
      <c r="D357">
        <f>'rockfish harvests'!D364</f>
        <v>12415</v>
      </c>
      <c r="E357">
        <f>'YE harvest'!E365</f>
        <v>4993</v>
      </c>
      <c r="F357">
        <f>IF([2]species_comp_Region1_forR!$H278&gt;49,[2]species_comp_Region1_forR!$AM278,[2]species_comp_Region1_forR!$AO278)</f>
        <v>0.97435897400000004</v>
      </c>
      <c r="G357">
        <f>IF([2]species_comp_Region1_forR!$H278&gt;49,[2]species_comp_Region1_forR!$AN278,[2]species_comp_Region1_forR!$AP278)</f>
        <v>3.5639899999999997E-5</v>
      </c>
      <c r="H357" s="13">
        <f t="shared" si="217"/>
        <v>4864.9743571819999</v>
      </c>
      <c r="I357">
        <f t="shared" si="157"/>
        <v>888.50445335509994</v>
      </c>
      <c r="J357">
        <f t="shared" si="160"/>
        <v>29.807791822862356</v>
      </c>
      <c r="K357" s="6">
        <f t="shared" si="161"/>
        <v>58.42327197281022</v>
      </c>
      <c r="M357" s="2">
        <f>'rockfish harvests'!O364</f>
        <v>6016.1943054683579</v>
      </c>
      <c r="N357">
        <f>'rockfish harvests'!P364</f>
        <v>4218393.7471152442</v>
      </c>
      <c r="O357">
        <f>IF([2]species_comp_Region1_forR!$D300&gt;49,[2]species_comp_Region1_forR!$AI300,[2]species_comp_Region1_forR!$AK300)</f>
        <v>0.40868454700000001</v>
      </c>
      <c r="P357">
        <f>IF([2]species_comp_Region1_forR!$D300&gt;49,[2]species_comp_Region1_forR!$AJ300,[2]species_comp_Region1_forR!$AL300)</f>
        <v>3.0903000000000001E-4</v>
      </c>
      <c r="Q357" s="13">
        <f t="shared" si="215"/>
        <v>2458.7256443943156</v>
      </c>
      <c r="R357" s="14">
        <f t="shared" si="216"/>
        <v>714450.63266634406</v>
      </c>
      <c r="S357">
        <f t="shared" si="162"/>
        <v>845.25181612720837</v>
      </c>
      <c r="T357" s="6">
        <f t="shared" si="163"/>
        <v>1656.6935596093283</v>
      </c>
      <c r="V357" s="13">
        <f t="shared" si="158"/>
        <v>7323.7000015763151</v>
      </c>
      <c r="W357">
        <f t="shared" si="159"/>
        <v>715339.13711969915</v>
      </c>
      <c r="X357">
        <f t="shared" si="164"/>
        <v>845.77723847340508</v>
      </c>
      <c r="Y357" s="6">
        <f t="shared" si="165"/>
        <v>1657.7233874078738</v>
      </c>
      <c r="Z357" s="14">
        <f t="shared" si="133"/>
        <v>0.11548496501650318</v>
      </c>
    </row>
    <row r="358" spans="1:26" x14ac:dyDescent="0.25">
      <c r="A358" t="str">
        <f>'rockfish harvests'!A365</f>
        <v>SE</v>
      </c>
      <c r="B358">
        <f>'rockfish harvests'!B365</f>
        <v>2011</v>
      </c>
      <c r="C358" t="str">
        <f>'rockfish harvests'!C365</f>
        <v>SSEO</v>
      </c>
      <c r="D358">
        <f>'rockfish harvests'!D365</f>
        <v>11926</v>
      </c>
      <c r="E358">
        <f>'YE harvest'!E366</f>
        <v>3783</v>
      </c>
      <c r="F358">
        <f>IF([2]species_comp_Region1_forR!$H279&gt;49,[2]species_comp_Region1_forR!$AM279,[2]species_comp_Region1_forR!$AO279)</f>
        <v>0.93660531700000005</v>
      </c>
      <c r="G358">
        <f>IF([2]species_comp_Region1_forR!$H279&gt;49,[2]species_comp_Region1_forR!$AN279,[2]species_comp_Region1_forR!$AP279)</f>
        <v>1.21672E-4</v>
      </c>
      <c r="H358" s="13">
        <f t="shared" si="217"/>
        <v>3543.1779142110004</v>
      </c>
      <c r="I358">
        <f t="shared" si="157"/>
        <v>1741.2588208079999</v>
      </c>
      <c r="J358">
        <f t="shared" si="160"/>
        <v>41.728393460664165</v>
      </c>
      <c r="K358" s="6">
        <f t="shared" si="161"/>
        <v>81.787651182901769</v>
      </c>
      <c r="M358" s="2">
        <f>'rockfish harvests'!O365</f>
        <v>5499.8326454033777</v>
      </c>
      <c r="N358">
        <f>'rockfish harvests'!P365</f>
        <v>3434887.6393615259</v>
      </c>
      <c r="O358">
        <f>IF([2]species_comp_Region1_forR!$D301&gt;49,[2]species_comp_Region1_forR!$AI301,[2]species_comp_Region1_forR!$AK301)</f>
        <v>0.356164384</v>
      </c>
      <c r="P358">
        <f>IF([2]species_comp_Region1_forR!$D301&gt;49,[2]species_comp_Region1_forR!$AJ301,[2]species_comp_Region1_forR!$AL301)</f>
        <v>4.4963000000000002E-4</v>
      </c>
      <c r="Q358" s="13">
        <f t="shared" si="215"/>
        <v>1958.8445062531844</v>
      </c>
      <c r="R358" s="14">
        <f t="shared" si="216"/>
        <v>447782.08802481735</v>
      </c>
      <c r="S358">
        <f t="shared" si="162"/>
        <v>669.16521728555006</v>
      </c>
      <c r="T358" s="6">
        <f t="shared" si="163"/>
        <v>1311.563825879678</v>
      </c>
      <c r="V358" s="13">
        <f t="shared" si="158"/>
        <v>5502.0224204641845</v>
      </c>
      <c r="W358">
        <f t="shared" si="159"/>
        <v>449523.34684562538</v>
      </c>
      <c r="X358">
        <f t="shared" si="164"/>
        <v>670.46502283536415</v>
      </c>
      <c r="Y358" s="6">
        <f t="shared" si="165"/>
        <v>1314.1114447573136</v>
      </c>
      <c r="Z358" s="14">
        <f t="shared" si="133"/>
        <v>0.12185792270522947</v>
      </c>
    </row>
    <row r="359" spans="1:26" x14ac:dyDescent="0.25">
      <c r="A359" t="str">
        <f>'rockfish harvests'!A366</f>
        <v>SE</v>
      </c>
      <c r="B359">
        <f>'rockfish harvests'!B366</f>
        <v>2012</v>
      </c>
      <c r="C359" t="str">
        <f>'rockfish harvests'!C366</f>
        <v>SSEO</v>
      </c>
      <c r="D359">
        <f>'rockfish harvests'!D366</f>
        <v>14290</v>
      </c>
      <c r="E359">
        <f>'YE harvest'!E367</f>
        <v>4684</v>
      </c>
      <c r="F359">
        <f>IF([2]species_comp_Region1_forR!$H280&gt;49,[2]species_comp_Region1_forR!$AM280,[2]species_comp_Region1_forR!$AO280)</f>
        <v>0.94803149600000003</v>
      </c>
      <c r="G359">
        <f>IF([2]species_comp_Region1_forR!$H280&gt;49,[2]species_comp_Region1_forR!$AN280,[2]species_comp_Region1_forR!$AP280)</f>
        <v>7.7709399999999998E-5</v>
      </c>
      <c r="H359" s="13">
        <f t="shared" si="217"/>
        <v>4440.5795272639998</v>
      </c>
      <c r="I359">
        <f t="shared" si="157"/>
        <v>1704.9330458463999</v>
      </c>
      <c r="J359">
        <f t="shared" si="160"/>
        <v>41.290834889190599</v>
      </c>
      <c r="K359" s="6">
        <f t="shared" si="161"/>
        <v>80.930036382813569</v>
      </c>
      <c r="M359" s="2">
        <f>'rockfish harvests'!O366</f>
        <v>7211.4840486137473</v>
      </c>
      <c r="N359">
        <f>'rockfish harvests'!P366</f>
        <v>3512142.9566568048</v>
      </c>
      <c r="O359">
        <f>IF([2]species_comp_Region1_forR!$D302&gt;49,[2]species_comp_Region1_forR!$AI302,[2]species_comp_Region1_forR!$AK302)</f>
        <v>0.29084967299999998</v>
      </c>
      <c r="P359">
        <f>IF([2]species_comp_Region1_forR!$D302&gt;49,[2]species_comp_Region1_forR!$AJ302,[2]species_comp_Region1_forR!$AL302)</f>
        <v>3.37571E-4</v>
      </c>
      <c r="Q359" s="13">
        <f t="shared" si="215"/>
        <v>2097.4577773840242</v>
      </c>
      <c r="R359" s="14">
        <f t="shared" si="216"/>
        <v>313474.53035823186</v>
      </c>
      <c r="S359">
        <f t="shared" si="162"/>
        <v>559.88796232659968</v>
      </c>
      <c r="T359" s="6">
        <f t="shared" si="163"/>
        <v>1097.3804061601354</v>
      </c>
      <c r="V359" s="13">
        <f t="shared" si="158"/>
        <v>6538.0373046480236</v>
      </c>
      <c r="W359">
        <f t="shared" si="159"/>
        <v>315179.46340407827</v>
      </c>
      <c r="X359">
        <f t="shared" si="164"/>
        <v>561.40846395835388</v>
      </c>
      <c r="Y359" s="6">
        <f t="shared" si="165"/>
        <v>1100.3605893583735</v>
      </c>
      <c r="Z359" s="14">
        <f t="shared" si="133"/>
        <v>8.5868042318944432E-2</v>
      </c>
    </row>
    <row r="360" spans="1:26" x14ac:dyDescent="0.25">
      <c r="A360" t="str">
        <f>'rockfish harvests'!A367</f>
        <v>SE</v>
      </c>
      <c r="B360">
        <f>'rockfish harvests'!B367</f>
        <v>2013</v>
      </c>
      <c r="C360" t="str">
        <f>'rockfish harvests'!C367</f>
        <v>SSEO</v>
      </c>
      <c r="D360">
        <f>'rockfish harvests'!D367</f>
        <v>15619</v>
      </c>
      <c r="E360">
        <f>'YE harvest'!E368</f>
        <v>4475</v>
      </c>
      <c r="F360">
        <f>IF([2]species_comp_Region1_forR!$H281&gt;49,[2]species_comp_Region1_forR!$AM281,[2]species_comp_Region1_forR!$AO281)</f>
        <v>0.94444444400000005</v>
      </c>
      <c r="G360">
        <f>IF([2]species_comp_Region1_forR!$H281&gt;49,[2]species_comp_Region1_forR!$AN281,[2]species_comp_Region1_forR!$AP281)</f>
        <v>7.2975199999999999E-5</v>
      </c>
      <c r="H360" s="13">
        <f t="shared" si="217"/>
        <v>4226.3888869000002</v>
      </c>
      <c r="I360">
        <f t="shared" si="157"/>
        <v>1461.3739894999999</v>
      </c>
      <c r="J360">
        <f t="shared" si="160"/>
        <v>38.227921595347034</v>
      </c>
      <c r="K360" s="6">
        <f t="shared" si="161"/>
        <v>74.926726326880186</v>
      </c>
      <c r="M360" s="2">
        <f>'rockfish harvests'!O367</f>
        <v>7064.6801916454569</v>
      </c>
      <c r="N360">
        <f>'rockfish harvests'!P367</f>
        <v>3429125.8906986257</v>
      </c>
      <c r="O360">
        <f>IF([2]species_comp_Region1_forR!$D303&gt;49,[2]species_comp_Region1_forR!$AI303,[2]species_comp_Region1_forR!$AK303)</f>
        <v>0.29052631600000001</v>
      </c>
      <c r="P360">
        <f>IF([2]species_comp_Region1_forR!$D303&gt;49,[2]species_comp_Region1_forR!$AJ303,[2]species_comp_Region1_forR!$AL303)</f>
        <v>4.3485399999999998E-4</v>
      </c>
      <c r="Q360" s="13">
        <f t="shared" si="215"/>
        <v>2052.4755097969287</v>
      </c>
      <c r="R360" s="14">
        <f t="shared" si="216"/>
        <v>309649.489796079</v>
      </c>
      <c r="S360">
        <f t="shared" si="162"/>
        <v>556.46157980230669</v>
      </c>
      <c r="T360" s="6">
        <f t="shared" si="163"/>
        <v>1090.6646964125212</v>
      </c>
      <c r="V360" s="13">
        <f t="shared" si="158"/>
        <v>6278.8643966969285</v>
      </c>
      <c r="W360">
        <f t="shared" si="159"/>
        <v>311110.86378557899</v>
      </c>
      <c r="X360">
        <f t="shared" si="164"/>
        <v>557.7731293147591</v>
      </c>
      <c r="Y360" s="6">
        <f t="shared" si="165"/>
        <v>1093.2353334569277</v>
      </c>
      <c r="Z360" s="14">
        <f t="shared" si="133"/>
        <v>8.8833440901858352E-2</v>
      </c>
    </row>
    <row r="361" spans="1:26" x14ac:dyDescent="0.25">
      <c r="A361" t="str">
        <f>'rockfish harvests'!A368</f>
        <v>SE</v>
      </c>
      <c r="B361">
        <f>'rockfish harvests'!B368</f>
        <v>2014</v>
      </c>
      <c r="C361" t="str">
        <f>'rockfish harvests'!C368</f>
        <v>SSEO</v>
      </c>
      <c r="D361">
        <f>'rockfish harvests'!D368</f>
        <v>18453</v>
      </c>
      <c r="E361">
        <f>'YE harvest'!E369</f>
        <v>5130</v>
      </c>
      <c r="F361">
        <f>IF([2]species_comp_Region1_forR!$H282&gt;49,[2]species_comp_Region1_forR!$AM282,[2]species_comp_Region1_forR!$AO282)</f>
        <v>0.95788442699999998</v>
      </c>
      <c r="G361">
        <f>IF([2]species_comp_Region1_forR!$H282&gt;49,[2]species_comp_Region1_forR!$AN282,[2]species_comp_Region1_forR!$AP282)</f>
        <v>3.9550800000000001E-5</v>
      </c>
      <c r="H361" s="13">
        <f t="shared" si="217"/>
        <v>4913.9471105100001</v>
      </c>
      <c r="I361">
        <f t="shared" si="157"/>
        <v>1040.85444852</v>
      </c>
      <c r="J361">
        <f t="shared" si="160"/>
        <v>32.262275935215733</v>
      </c>
      <c r="K361" s="6">
        <f t="shared" si="161"/>
        <v>63.234060833022838</v>
      </c>
      <c r="M361" s="2">
        <f>'rockfish harvests'!O368</f>
        <v>5969.0572591587515</v>
      </c>
      <c r="N361">
        <f>'rockfish harvests'!P368</f>
        <v>5648205.4842977012</v>
      </c>
      <c r="O361">
        <f>IF([2]species_comp_Region1_forR!$D304&gt;49,[2]species_comp_Region1_forR!$AI304,[2]species_comp_Region1_forR!$AK304)</f>
        <v>0.33171520999999998</v>
      </c>
      <c r="P361">
        <f>IF([2]species_comp_Region1_forR!$D304&gt;49,[2]species_comp_Region1_forR!$AJ304,[2]species_comp_Region1_forR!$AL304)</f>
        <v>3.5928700000000002E-4</v>
      </c>
      <c r="Q361" s="13">
        <f t="shared" si="215"/>
        <v>1980.0270822238697</v>
      </c>
      <c r="R361" s="14">
        <f t="shared" si="216"/>
        <v>632272.12188311468</v>
      </c>
      <c r="S361">
        <f t="shared" si="162"/>
        <v>795.15540737840342</v>
      </c>
      <c r="T361" s="6">
        <f t="shared" si="163"/>
        <v>1558.5045984616706</v>
      </c>
      <c r="V361" s="13">
        <f t="shared" si="158"/>
        <v>6893.97419273387</v>
      </c>
      <c r="W361">
        <f t="shared" si="159"/>
        <v>633312.97633163468</v>
      </c>
      <c r="X361">
        <f t="shared" si="164"/>
        <v>795.80963573686051</v>
      </c>
      <c r="Y361" s="6">
        <f t="shared" si="165"/>
        <v>1559.7868860442466</v>
      </c>
      <c r="Z361" s="14">
        <f t="shared" si="133"/>
        <v>0.11543554029773279</v>
      </c>
    </row>
    <row r="362" spans="1:26" x14ac:dyDescent="0.25">
      <c r="A362" t="str">
        <f>'rockfish harvests'!A369</f>
        <v>SE</v>
      </c>
      <c r="B362">
        <f>'rockfish harvests'!B369</f>
        <v>2015</v>
      </c>
      <c r="C362" t="str">
        <f>'rockfish harvests'!C369</f>
        <v>SSEO</v>
      </c>
      <c r="D362">
        <f>'rockfish harvests'!D369</f>
        <v>17669</v>
      </c>
      <c r="E362">
        <f>'YE harvest'!E370</f>
        <v>4920</v>
      </c>
      <c r="F362">
        <f>IF([2]species_comp_Region1_forR!$H283&gt;49,[2]species_comp_Region1_forR!$AM283,[2]species_comp_Region1_forR!$AO283)</f>
        <v>0.96391263100000002</v>
      </c>
      <c r="G362">
        <f>IF([2]species_comp_Region1_forR!$H283&gt;49,[2]species_comp_Region1_forR!$AN283,[2]species_comp_Region1_forR!$AP283)</f>
        <v>3.3065699999999998E-5</v>
      </c>
      <c r="H362" s="13">
        <f t="shared" si="217"/>
        <v>4742.4501445200003</v>
      </c>
      <c r="I362">
        <f t="shared" si="157"/>
        <v>800.40156047999994</v>
      </c>
      <c r="J362">
        <f t="shared" si="160"/>
        <v>28.291369010353669</v>
      </c>
      <c r="K362" s="6">
        <f t="shared" si="161"/>
        <v>55.451083260293188</v>
      </c>
      <c r="M362" s="2">
        <f>'rockfish harvests'!O369</f>
        <v>15546.524335519505</v>
      </c>
      <c r="N362">
        <f>'rockfish harvests'!P369</f>
        <v>23591989.047447968</v>
      </c>
      <c r="O362">
        <f>IF([2]species_comp_Region1_forR!$D305&gt;49,[2]species_comp_Region1_forR!$AI305,[2]species_comp_Region1_forR!$AK305)</f>
        <v>0.31470588199999999</v>
      </c>
      <c r="P362">
        <f>IF([2]species_comp_Region1_forR!$D305&gt;49,[2]species_comp_Region1_forR!$AJ305,[2]species_comp_Region1_forR!$AL305)</f>
        <v>3.17623E-4</v>
      </c>
      <c r="Q362" s="13">
        <f t="shared" si="215"/>
        <v>4892.58265304413</v>
      </c>
      <c r="R362" s="14">
        <f t="shared" si="216"/>
        <v>2405820.0401093806</v>
      </c>
      <c r="S362">
        <f t="shared" si="162"/>
        <v>1551.0706109360015</v>
      </c>
      <c r="T362" s="6">
        <f t="shared" si="163"/>
        <v>3040.0983974345627</v>
      </c>
      <c r="V362" s="13">
        <f t="shared" si="158"/>
        <v>9635.0327975641303</v>
      </c>
      <c r="W362">
        <f t="shared" si="159"/>
        <v>2406620.4416698604</v>
      </c>
      <c r="X362">
        <f t="shared" si="164"/>
        <v>1551.3286053154118</v>
      </c>
      <c r="Y362" s="6">
        <f t="shared" si="165"/>
        <v>3040.6040664182069</v>
      </c>
      <c r="Z362" s="14">
        <f t="shared" si="133"/>
        <v>0.16100916705832172</v>
      </c>
    </row>
    <row r="363" spans="1:26" x14ac:dyDescent="0.25">
      <c r="A363" t="str">
        <f>'rockfish harvests'!A370</f>
        <v>SE</v>
      </c>
      <c r="B363">
        <f>'rockfish harvests'!B370</f>
        <v>2016</v>
      </c>
      <c r="C363" t="str">
        <f>'rockfish harvests'!C370</f>
        <v>SSEO</v>
      </c>
      <c r="D363">
        <f>'rockfish harvests'!D370</f>
        <v>17707</v>
      </c>
      <c r="E363">
        <f>'YE harvest'!E371</f>
        <v>4149</v>
      </c>
      <c r="F363">
        <f>IF([2]species_comp_Region1_forR!$H284&gt;49,[2]species_comp_Region1_forR!$AM284,[2]species_comp_Region1_forR!$AO284)</f>
        <v>0.94742376399999995</v>
      </c>
      <c r="G363">
        <f>IF([2]species_comp_Region1_forR!$H284&gt;49,[2]species_comp_Region1_forR!$AN284,[2]species_comp_Region1_forR!$AP284)</f>
        <v>5.2433699999999999E-5</v>
      </c>
      <c r="H363" s="13">
        <f t="shared" si="217"/>
        <v>3930.8611968359996</v>
      </c>
      <c r="I363">
        <f t="shared" si="157"/>
        <v>902.6042509737</v>
      </c>
      <c r="J363">
        <f t="shared" si="160"/>
        <v>30.043372829522653</v>
      </c>
      <c r="K363" s="6">
        <f t="shared" si="161"/>
        <v>58.885010745864399</v>
      </c>
      <c r="M363" s="2">
        <f>'rockfish harvests'!O370</f>
        <v>9530.7617028217246</v>
      </c>
      <c r="N363">
        <f>'rockfish harvests'!P370</f>
        <v>11849070.145310419</v>
      </c>
      <c r="O363">
        <f>IF([2]species_comp_Region1_forR!$D306&gt;49,[2]species_comp_Region1_forR!$AI306,[2]species_comp_Region1_forR!$AK306)</f>
        <v>0.35911602199999998</v>
      </c>
      <c r="P363">
        <f>IF([2]species_comp_Region1_forR!$D306&gt;49,[2]species_comp_Region1_forR!$AJ306,[2]species_comp_Region1_forR!$AL306)</f>
        <v>6.3753900000000001E-4</v>
      </c>
      <c r="Q363" s="13">
        <f t="shared" si="215"/>
        <v>3422.6492293472838</v>
      </c>
      <c r="R363" s="14">
        <f t="shared" si="216"/>
        <v>1578464.1190518867</v>
      </c>
      <c r="S363">
        <f t="shared" si="162"/>
        <v>1256.3694198172313</v>
      </c>
      <c r="T363" s="6">
        <f t="shared" si="163"/>
        <v>2462.4840628417733</v>
      </c>
      <c r="V363" s="13">
        <f t="shared" si="158"/>
        <v>7353.5104261832839</v>
      </c>
      <c r="W363">
        <f t="shared" si="159"/>
        <v>1579366.7233028605</v>
      </c>
      <c r="X363">
        <f t="shared" si="164"/>
        <v>1256.7285798066584</v>
      </c>
      <c r="Y363" s="6">
        <f t="shared" si="165"/>
        <v>2463.1880164210506</v>
      </c>
      <c r="Z363" s="14">
        <f>X363/V363</f>
        <v>0.17090185598049695</v>
      </c>
    </row>
    <row r="364" spans="1:26" x14ac:dyDescent="0.25">
      <c r="A364" t="str">
        <f>'rockfish harvests'!A371</f>
        <v>SE</v>
      </c>
      <c r="B364">
        <f>'rockfish harvests'!B371</f>
        <v>2017</v>
      </c>
      <c r="C364" t="str">
        <f>'rockfish harvests'!C371</f>
        <v>SSEO</v>
      </c>
      <c r="D364">
        <f>'rockfish harvests'!D371</f>
        <v>20760</v>
      </c>
      <c r="E364">
        <f>'YE harvest'!E372</f>
        <v>4370</v>
      </c>
      <c r="F364">
        <f>IF([2]species_comp_Region1_forR!$H285&gt;49,[2]species_comp_Region1_forR!$AM285,[2]species_comp_Region1_forR!$AO285)</f>
        <v>0.89492753599999997</v>
      </c>
      <c r="G364">
        <f>IF([2]species_comp_Region1_forR!$H285&gt;49,[2]species_comp_Region1_forR!$AN285,[2]species_comp_Region1_forR!$AP285)</f>
        <v>1.1370300000000001E-4</v>
      </c>
      <c r="H364" s="13">
        <f t="shared" si="217"/>
        <v>3910.83333232</v>
      </c>
      <c r="I364">
        <f t="shared" si="157"/>
        <v>2171.3748207000003</v>
      </c>
      <c r="J364">
        <f t="shared" si="160"/>
        <v>46.598013055279516</v>
      </c>
      <c r="K364" s="6">
        <f t="shared" si="161"/>
        <v>91.332105588347844</v>
      </c>
      <c r="M364" s="2">
        <f>'rockfish harvests'!O371</f>
        <v>7420.2213327054378</v>
      </c>
      <c r="N364">
        <f>'rockfish harvests'!P371</f>
        <v>9465736.8938175309</v>
      </c>
      <c r="O364">
        <f>IF([2]species_comp_Region1_forR!$D307&gt;49,[2]species_comp_Region1_forR!$AI307,[2]species_comp_Region1_forR!$AK307)</f>
        <v>0.27027026999999998</v>
      </c>
      <c r="P364">
        <f>IF([2]species_comp_Region1_forR!$D307&gt;49,[2]species_comp_Region1_forR!$AJ307,[2]species_comp_Region1_forR!$AL307)</f>
        <v>5.3448299999999999E-4</v>
      </c>
      <c r="Q364" s="13">
        <f t="shared" si="215"/>
        <v>2005.4652230500583</v>
      </c>
      <c r="R364" s="14">
        <f t="shared" si="216"/>
        <v>715803.58550178981</v>
      </c>
      <c r="S364">
        <f t="shared" si="162"/>
        <v>846.05176289739495</v>
      </c>
      <c r="T364" s="6">
        <f t="shared" si="163"/>
        <v>1658.2614552788941</v>
      </c>
      <c r="V364" s="13">
        <f t="shared" si="158"/>
        <v>5916.2985553700582</v>
      </c>
      <c r="W364">
        <f t="shared" si="159"/>
        <v>717974.96032248985</v>
      </c>
      <c r="X364">
        <f t="shared" si="164"/>
        <v>847.3340311367707</v>
      </c>
      <c r="Y364" s="6">
        <f t="shared" si="165"/>
        <v>1660.7747010280705</v>
      </c>
      <c r="Z364" s="14">
        <f>X364/V364</f>
        <v>0.14322029613729845</v>
      </c>
    </row>
    <row r="365" spans="1:26" x14ac:dyDescent="0.25">
      <c r="A365" t="str">
        <f>'rockfish harvests'!A372</f>
        <v>SE</v>
      </c>
      <c r="B365">
        <f>'rockfish harvests'!B372</f>
        <v>2018</v>
      </c>
      <c r="C365" t="str">
        <f>'rockfish harvests'!C372</f>
        <v>SSEO</v>
      </c>
      <c r="D365">
        <f>'rockfish harvests'!D372</f>
        <v>26949</v>
      </c>
      <c r="E365">
        <f>'YE harvest'!E373</f>
        <v>4535</v>
      </c>
      <c r="F365">
        <f>IF([2]species_comp_Region1_forR!$H286&gt;49,[2]species_comp_Region1_forR!$AM286,[2]species_comp_Region1_forR!$AO286)</f>
        <v>0.86350974899999999</v>
      </c>
      <c r="G365">
        <f>IF([2]species_comp_Region1_forR!$H286&gt;49,[2]species_comp_Region1_forR!$AN286,[2]species_comp_Region1_forR!$AP286)</f>
        <v>1.6437999999999999E-4</v>
      </c>
      <c r="H365" s="13">
        <f t="shared" si="217"/>
        <v>3916.0167117149999</v>
      </c>
      <c r="I365">
        <f t="shared" si="157"/>
        <v>3380.6760654999998</v>
      </c>
      <c r="J365">
        <f t="shared" si="160"/>
        <v>58.143581464337061</v>
      </c>
      <c r="K365" s="6">
        <f t="shared" si="161"/>
        <v>113.96141967010064</v>
      </c>
      <c r="M365" s="2">
        <f>'rockfish harvests'!O372</f>
        <v>12867.635899450121</v>
      </c>
      <c r="N365">
        <f>'rockfish harvests'!P372</f>
        <v>12734528.822682161</v>
      </c>
      <c r="O365">
        <f>IF([2]species_comp_Region1_forR!$D308&gt;49,[2]species_comp_Region1_forR!$AI308,[2]species_comp_Region1_forR!$AK308)</f>
        <v>0.24175824200000001</v>
      </c>
      <c r="P365">
        <f>IF([2]species_comp_Region1_forR!$D308&gt;49,[2]species_comp_Region1_forR!$AJ308,[2]species_comp_Region1_forR!$AL308)</f>
        <v>2.8822500000000003E-4</v>
      </c>
      <c r="Q365" s="13">
        <f t="shared" si="215"/>
        <v>3110.8570337471501</v>
      </c>
      <c r="R365" s="14">
        <f t="shared" si="216"/>
        <v>788348.36043433589</v>
      </c>
      <c r="S365">
        <f t="shared" si="162"/>
        <v>887.88983575347675</v>
      </c>
      <c r="T365" s="6">
        <f t="shared" si="163"/>
        <v>1740.2640780768145</v>
      </c>
      <c r="V365" s="13">
        <f t="shared" si="158"/>
        <v>7026.8737454621496</v>
      </c>
      <c r="W365">
        <f t="shared" si="159"/>
        <v>791729.0364998359</v>
      </c>
      <c r="X365">
        <f t="shared" si="164"/>
        <v>889.79156913281429</v>
      </c>
      <c r="Y365" s="6">
        <f t="shared" si="165"/>
        <v>1743.991475500316</v>
      </c>
      <c r="Z365" s="14">
        <f>X365/V365</f>
        <v>0.12662694697018406</v>
      </c>
    </row>
    <row r="366" spans="1:26" x14ac:dyDescent="0.25">
      <c r="A366" t="str">
        <f>'rockfish harvests'!A373</f>
        <v>SE</v>
      </c>
      <c r="B366">
        <f>'rockfish harvests'!B373</f>
        <v>2019</v>
      </c>
      <c r="C366" t="str">
        <f>'rockfish harvests'!C373</f>
        <v>SSEO</v>
      </c>
      <c r="D366">
        <f>'rockfish harvests'!D373</f>
        <v>22912</v>
      </c>
      <c r="E366">
        <f>'YE harvest'!E374</f>
        <v>3570</v>
      </c>
      <c r="F366">
        <v>0.94855305466237938</v>
      </c>
      <c r="G366">
        <v>7.8583183821334134E-5</v>
      </c>
      <c r="H366" s="13">
        <f>E366*F366</f>
        <v>3386.3344051446943</v>
      </c>
      <c r="I366">
        <f>(E366^2)*G366</f>
        <v>1001.5348194845214</v>
      </c>
      <c r="M366" s="2">
        <f>'rockfish harvests'!O373</f>
        <v>16359.985999299963</v>
      </c>
      <c r="N366">
        <f>'rockfish harvests'!P373</f>
        <v>28189042.115738388</v>
      </c>
      <c r="O366">
        <v>0.36546184738955823</v>
      </c>
      <c r="P366">
        <v>4.6659856235848994E-4</v>
      </c>
      <c r="Q366" s="13">
        <f>M366*O366</f>
        <v>5978.9507065714724</v>
      </c>
      <c r="R366" s="14">
        <f>(M366^2)*P366+(O366^2)*N366-(P366*N366)</f>
        <v>3876726.7829032759</v>
      </c>
      <c r="S366">
        <f>SQRT(R366)</f>
        <v>1968.9405229471195</v>
      </c>
      <c r="T366" s="6">
        <f>(1.96*S366)</f>
        <v>3859.1234249763543</v>
      </c>
      <c r="V366" s="13">
        <f>Q366+H366</f>
        <v>9365.2851117161663</v>
      </c>
      <c r="W366">
        <f>R366+I366</f>
        <v>3877728.3177227606</v>
      </c>
      <c r="X366">
        <f>SQRT(W366)</f>
        <v>1969.1948399594085</v>
      </c>
      <c r="Y366" s="6">
        <f>(1.96*X366)</f>
        <v>3859.6218863204404</v>
      </c>
      <c r="Z366" s="14">
        <f>X366/V366</f>
        <v>0.21026533805104394</v>
      </c>
    </row>
    <row r="367" spans="1:26" x14ac:dyDescent="0.25">
      <c r="A367" t="str">
        <f>'rockfish harvests'!A374</f>
        <v>SE</v>
      </c>
      <c r="B367">
        <f>'rockfish harvests'!B374</f>
        <v>2020</v>
      </c>
      <c r="C367" t="str">
        <f>'rockfish harvests'!C374</f>
        <v>SSEO</v>
      </c>
      <c r="D367">
        <f>'rockfish harvests'!D374</f>
        <v>12619</v>
      </c>
      <c r="E367">
        <f>'YE harvest'!E375</f>
        <v>170</v>
      </c>
      <c r="F367" s="26" t="str">
        <f>F242</f>
        <v>0.00735294117647059</v>
      </c>
      <c r="G367" s="26" t="str">
        <f>G242</f>
        <v>2.28446805399873e-06</v>
      </c>
      <c r="H367" s="13">
        <f t="shared" ref="H367:H368" si="218">E367*F367</f>
        <v>1.2500000000000002</v>
      </c>
      <c r="I367">
        <f t="shared" ref="I367:I368" si="219">(E367^2)*G367</f>
        <v>6.6021126760563306E-2</v>
      </c>
      <c r="J367">
        <f t="shared" ref="J367" si="220">SQRT(I367)</f>
        <v>0.25694576618532422</v>
      </c>
      <c r="K367" s="6">
        <f t="shared" ref="K367" si="221">(1.96*J367)</f>
        <v>0.5036137017232355</v>
      </c>
      <c r="M367" s="2">
        <f>'rockfish harvests'!O374</f>
        <v>2769.6225355790575</v>
      </c>
      <c r="N367">
        <f>'rockfish harvests'!P374</f>
        <v>1279455.8924929332</v>
      </c>
      <c r="O367">
        <v>0</v>
      </c>
      <c r="P367">
        <v>0</v>
      </c>
      <c r="Q367" s="13">
        <f t="shared" ref="Q367:Q368" si="222">M367*O367</f>
        <v>0</v>
      </c>
      <c r="R367" s="14">
        <f t="shared" ref="R367:R368" si="223">(M367^2)*P367+(O367^2)*N367-(P367*N367)</f>
        <v>0</v>
      </c>
      <c r="S367">
        <f t="shared" ref="S367:S368" si="224">SQRT(R367)</f>
        <v>0</v>
      </c>
      <c r="T367" s="6">
        <f t="shared" ref="T367:T368" si="225">(1.96*S367)</f>
        <v>0</v>
      </c>
      <c r="V367" s="13">
        <f t="shared" ref="V367:V368" si="226">Q367+H367</f>
        <v>1.2500000000000002</v>
      </c>
      <c r="W367">
        <f t="shared" ref="W367:W368" si="227">R367+I367</f>
        <v>6.6021126760563306E-2</v>
      </c>
      <c r="X367">
        <f t="shared" ref="X367:X368" si="228">SQRT(W367)</f>
        <v>0.25694576618532422</v>
      </c>
      <c r="Y367" s="6">
        <f t="shared" ref="Y367:Y368" si="229">(1.96*X367)</f>
        <v>0.5036137017232355</v>
      </c>
      <c r="Z367" s="14">
        <f t="shared" ref="Z367:Z368" si="230">X367/V367</f>
        <v>0.20555661294825933</v>
      </c>
    </row>
    <row r="368" spans="1:26" x14ac:dyDescent="0.25">
      <c r="A368" t="str">
        <f>'rockfish harvests'!A375</f>
        <v>SE</v>
      </c>
      <c r="B368">
        <f>'rockfish harvests'!B375</f>
        <v>2021</v>
      </c>
      <c r="C368" t="str">
        <f>'rockfish harvests'!C375</f>
        <v>SSEO</v>
      </c>
      <c r="D368">
        <f>'rockfish harvests'!D375</f>
        <v>29399</v>
      </c>
      <c r="E368">
        <f>'YE harvest'!E376</f>
        <v>361</v>
      </c>
      <c r="F368" t="s">
        <v>322</v>
      </c>
      <c r="G368" t="s">
        <v>323</v>
      </c>
      <c r="H368" s="13">
        <f t="shared" si="218"/>
        <v>5.2318840579710129</v>
      </c>
      <c r="I368">
        <f t="shared" si="219"/>
        <v>0.5368726663200134</v>
      </c>
      <c r="M368" s="2">
        <f>'rockfish harvests'!O375</f>
        <v>1670.0870000715477</v>
      </c>
      <c r="N368">
        <f>'rockfish harvests'!P375</f>
        <v>492653.23167840909</v>
      </c>
      <c r="O368">
        <v>5.8479532163742687E-3</v>
      </c>
      <c r="P368">
        <v>3.4198556820902158E-5</v>
      </c>
      <c r="Q368" s="13">
        <f t="shared" si="222"/>
        <v>9.7665906436932612</v>
      </c>
      <c r="R368" s="14">
        <f t="shared" si="223"/>
        <v>95.386292801476756</v>
      </c>
      <c r="S368">
        <f t="shared" si="224"/>
        <v>9.7665906436932612</v>
      </c>
      <c r="T368" s="6">
        <f t="shared" si="225"/>
        <v>19.142517661638792</v>
      </c>
      <c r="V368" s="13">
        <f t="shared" si="226"/>
        <v>14.998474701664275</v>
      </c>
      <c r="W368">
        <f t="shared" si="227"/>
        <v>95.923165467796764</v>
      </c>
      <c r="X368">
        <f t="shared" si="228"/>
        <v>9.7940372404742657</v>
      </c>
      <c r="Y368" s="6">
        <f t="shared" si="229"/>
        <v>19.19631299132956</v>
      </c>
      <c r="Z368" s="14">
        <f t="shared" si="230"/>
        <v>0.65300221757799748</v>
      </c>
    </row>
    <row r="369" spans="1:26" x14ac:dyDescent="0.25">
      <c r="A369" t="s">
        <v>151</v>
      </c>
      <c r="B369">
        <v>2022</v>
      </c>
      <c r="C369" t="s">
        <v>40</v>
      </c>
      <c r="D369">
        <f>'rockfish harvests'!D376</f>
        <v>38456</v>
      </c>
      <c r="E369">
        <f>'YE harvest'!E377</f>
        <v>918</v>
      </c>
      <c r="F369" t="s">
        <v>273</v>
      </c>
      <c r="G369" t="s">
        <v>273</v>
      </c>
      <c r="H369" s="105">
        <f t="shared" ref="H369" si="231">E369*F369</f>
        <v>0</v>
      </c>
      <c r="I369">
        <f t="shared" ref="I369" si="232">(E369^2)*G369</f>
        <v>0</v>
      </c>
      <c r="M369" s="2">
        <f>'rockfish harvests'!O376</f>
        <v>6059.5121025154294</v>
      </c>
      <c r="N369">
        <f>'rockfish harvests'!P376</f>
        <v>7024339.3858510992</v>
      </c>
      <c r="O369" t="s">
        <v>242</v>
      </c>
      <c r="P369" t="s">
        <v>243</v>
      </c>
      <c r="Q369" s="13">
        <f t="shared" ref="Q369" si="233">M369*O369</f>
        <v>119.39925325153528</v>
      </c>
      <c r="R369" s="14">
        <f t="shared" ref="R369" si="234">(M369^2)*P369+(O369^2)*N369-(P369*N369)</f>
        <v>5566.717442127996</v>
      </c>
      <c r="S369">
        <f t="shared" ref="S369" si="235">SQRT(R369)</f>
        <v>74.610437889935994</v>
      </c>
      <c r="V369" s="13">
        <f t="shared" ref="V369" si="236">Q369+H369</f>
        <v>119.39925325153528</v>
      </c>
      <c r="W369">
        <f t="shared" ref="W369" si="237">R369+I369</f>
        <v>5566.717442127996</v>
      </c>
      <c r="X369">
        <f t="shared" ref="X369" si="238">SQRT(W369)</f>
        <v>74.610437889935994</v>
      </c>
      <c r="Y369" s="6">
        <f t="shared" ref="Y369" si="239">(1.96*X369)</f>
        <v>146.23645826427455</v>
      </c>
      <c r="Z369" s="14">
        <f t="shared" ref="Z369" si="240">X369/V369</f>
        <v>0.62488194740009084</v>
      </c>
    </row>
  </sheetData>
  <autoFilter ref="A2:AD369" xr:uid="{D9AD1E09-9A36-4950-AD3E-BD2C87B3CB41}">
    <filterColumn colId="0">
      <filters>
        <filter val="SE"/>
      </filters>
    </filterColumn>
    <filterColumn colId="2">
      <filters>
        <filter val="SSEO"/>
      </filters>
    </filterColumn>
  </autoFilter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3BBC-85DF-4000-BA52-EEB09BE819B8}">
  <sheetPr filterMode="1">
    <tabColor theme="9"/>
  </sheetPr>
  <dimension ref="A1:AD368"/>
  <sheetViews>
    <sheetView zoomScale="70" zoomScaleNormal="70" workbookViewId="0">
      <pane ySplit="2" topLeftCell="A219" activePane="bottomLeft" state="frozen"/>
      <selection pane="bottomLeft" activeCell="M385" sqref="M385"/>
    </sheetView>
  </sheetViews>
  <sheetFormatPr defaultRowHeight="15" x14ac:dyDescent="0.25"/>
  <cols>
    <col min="3" max="3" width="14.85546875" customWidth="1"/>
    <col min="4" max="4" width="14" customWidth="1"/>
    <col min="6" max="6" width="11.85546875" bestFit="1" customWidth="1"/>
    <col min="7" max="7" width="12" bestFit="1" customWidth="1"/>
    <col min="8" max="8" width="9.5703125" style="13" bestFit="1" customWidth="1"/>
    <col min="9" max="9" width="11.42578125" customWidth="1"/>
    <col min="10" max="10" width="9.140625" hidden="1" customWidth="1"/>
    <col min="11" max="11" width="0.42578125" hidden="1" customWidth="1"/>
    <col min="12" max="12" width="1.7109375" customWidth="1"/>
    <col min="14" max="14" width="8.28515625" customWidth="1"/>
    <col min="16" max="16" width="12.28515625" bestFit="1" customWidth="1"/>
    <col min="17" max="17" width="10.5703125" style="13" bestFit="1" customWidth="1"/>
    <col min="18" max="18" width="12.85546875" customWidth="1"/>
    <col min="19" max="19" width="0.140625" style="4" customWidth="1"/>
    <col min="20" max="20" width="5.42578125" style="4" hidden="1" customWidth="1"/>
    <col min="21" max="21" width="14.5703125" customWidth="1"/>
    <col min="22" max="22" width="10.5703125" style="13" bestFit="1" customWidth="1"/>
    <col min="23" max="23" width="11.85546875" customWidth="1"/>
    <col min="24" max="24" width="12.5703125" bestFit="1" customWidth="1"/>
    <col min="25" max="25" width="8" bestFit="1" customWidth="1"/>
  </cols>
  <sheetData>
    <row r="1" spans="1:30" x14ac:dyDescent="0.25">
      <c r="A1" s="110" t="str">
        <f>'rockfish harvests'!A1</f>
        <v>Region</v>
      </c>
      <c r="B1" s="110" t="str">
        <f>'rockfish harvests'!B1</f>
        <v>year</v>
      </c>
      <c r="C1" s="110" t="str">
        <f>'rockfish harvests'!C1</f>
        <v>RptArea</v>
      </c>
      <c r="D1" s="109" t="s">
        <v>16</v>
      </c>
      <c r="E1" s="109"/>
      <c r="F1" s="109"/>
      <c r="G1" s="109"/>
      <c r="H1" s="109"/>
      <c r="I1" s="109"/>
      <c r="J1" s="109"/>
      <c r="K1" s="109"/>
      <c r="M1" s="109" t="s">
        <v>17</v>
      </c>
      <c r="N1" s="109"/>
      <c r="O1" s="109"/>
      <c r="P1" s="109"/>
      <c r="Q1" s="109"/>
      <c r="R1" s="109"/>
      <c r="S1" s="9"/>
      <c r="T1" s="9"/>
      <c r="V1" s="109" t="s">
        <v>29</v>
      </c>
      <c r="W1" s="109"/>
      <c r="X1" s="109"/>
      <c r="Y1" s="109"/>
    </row>
    <row r="2" spans="1:30" s="3" customFormat="1" ht="101.25" customHeight="1" x14ac:dyDescent="0.35">
      <c r="A2" s="110"/>
      <c r="B2" s="110"/>
      <c r="C2" s="110"/>
      <c r="D2" s="3" t="s">
        <v>14</v>
      </c>
      <c r="E2" s="3" t="s">
        <v>78</v>
      </c>
      <c r="F2" s="3" t="s">
        <v>141</v>
      </c>
      <c r="G2" s="3" t="s">
        <v>142</v>
      </c>
      <c r="H2" s="8" t="s">
        <v>143</v>
      </c>
      <c r="I2" s="3" t="s">
        <v>144</v>
      </c>
      <c r="J2" s="3" t="s">
        <v>18</v>
      </c>
      <c r="K2" s="3" t="s">
        <v>24</v>
      </c>
      <c r="M2" s="3" t="s">
        <v>5</v>
      </c>
      <c r="N2" s="3" t="s">
        <v>8</v>
      </c>
      <c r="O2" s="3" t="s">
        <v>145</v>
      </c>
      <c r="P2" s="3" t="s">
        <v>146</v>
      </c>
      <c r="Q2" s="15" t="s">
        <v>147</v>
      </c>
      <c r="R2" s="3" t="s">
        <v>148</v>
      </c>
      <c r="S2" s="3" t="s">
        <v>25</v>
      </c>
      <c r="T2" s="3" t="s">
        <v>26</v>
      </c>
      <c r="V2" s="12" t="s">
        <v>149</v>
      </c>
      <c r="W2" s="3" t="s">
        <v>150</v>
      </c>
      <c r="X2" s="3" t="s">
        <v>27</v>
      </c>
      <c r="Y2" s="3" t="s">
        <v>28</v>
      </c>
    </row>
    <row r="3" spans="1:30" hidden="1" x14ac:dyDescent="0.25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f>'YE harvest'!E3</f>
        <v>87</v>
      </c>
      <c r="F3" s="38"/>
      <c r="G3" s="39"/>
      <c r="H3" s="13">
        <f t="shared" ref="H3:H10" si="0">E3*F3</f>
        <v>0</v>
      </c>
      <c r="I3">
        <f t="shared" ref="I3:I75" si="1">(E3^2)*G3</f>
        <v>0</v>
      </c>
      <c r="J3">
        <f>SQRT(I3)</f>
        <v>0</v>
      </c>
      <c r="K3" s="6">
        <f>(1.96*J3)</f>
        <v>0</v>
      </c>
      <c r="M3" s="2">
        <f>'rockfish harvests'!O2</f>
        <v>113.5015960846614</v>
      </c>
      <c r="N3">
        <f>'rockfish harvests'!P2</f>
        <v>3943.5752117924521</v>
      </c>
      <c r="Q3" s="13" t="e">
        <f>#REF!*M3</f>
        <v>#REF!</v>
      </c>
      <c r="R3" s="14" t="e">
        <f>(M3^2)*#REF!+(#REF!^2)*N3-(#REF!*N3)</f>
        <v>#REF!</v>
      </c>
      <c r="S3" t="e">
        <f>SQRT(R3)</f>
        <v>#REF!</v>
      </c>
      <c r="T3" s="6" t="e">
        <f>(1.96*S3)</f>
        <v>#REF!</v>
      </c>
      <c r="V3" s="13" t="e">
        <f t="shared" ref="V3:W75" si="2">Q3+H3</f>
        <v>#REF!</v>
      </c>
      <c r="W3" t="e">
        <f t="shared" si="2"/>
        <v>#REF!</v>
      </c>
      <c r="X3" t="e">
        <f>SQRT(W3)</f>
        <v>#REF!</v>
      </c>
      <c r="Y3" s="6" t="e">
        <f>(1.96*X3)</f>
        <v>#REF!</v>
      </c>
      <c r="AC3" s="32"/>
      <c r="AD3" t="s">
        <v>84</v>
      </c>
    </row>
    <row r="4" spans="1:30" hidden="1" x14ac:dyDescent="0.25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f>'YE harvest'!E4</f>
        <v>87</v>
      </c>
      <c r="F4" s="38"/>
      <c r="G4" s="39"/>
      <c r="H4" s="13">
        <f t="shared" si="0"/>
        <v>0</v>
      </c>
      <c r="I4">
        <f t="shared" si="1"/>
        <v>0</v>
      </c>
      <c r="J4">
        <f t="shared" ref="J4:J76" si="3">SQRT(I4)</f>
        <v>0</v>
      </c>
      <c r="K4" s="6">
        <f t="shared" ref="K4:K76" si="4">(1.96*J4)</f>
        <v>0</v>
      </c>
      <c r="M4" s="2">
        <f>'rockfish harvests'!O3</f>
        <v>138.05722985297768</v>
      </c>
      <c r="N4">
        <f>'rockfish harvests'!P3</f>
        <v>5834.5115045216135</v>
      </c>
      <c r="Q4" s="13" t="e">
        <f>#REF!*M4</f>
        <v>#REF!</v>
      </c>
      <c r="R4" s="14" t="e">
        <f>(M4^2)*#REF!+(#REF!^2)*N4-(#REF!*N4)</f>
        <v>#REF!</v>
      </c>
      <c r="S4" t="e">
        <f t="shared" ref="S4:S76" si="5">SQRT(R4)</f>
        <v>#REF!</v>
      </c>
      <c r="T4" s="6" t="e">
        <f t="shared" ref="T4:T76" si="6">(1.96*S4)</f>
        <v>#REF!</v>
      </c>
      <c r="V4" s="13" t="e">
        <f t="shared" si="2"/>
        <v>#REF!</v>
      </c>
      <c r="W4" t="e">
        <f t="shared" si="2"/>
        <v>#REF!</v>
      </c>
      <c r="X4" t="e">
        <f t="shared" ref="X4:X76" si="7">SQRT(W4)</f>
        <v>#REF!</v>
      </c>
      <c r="Y4" s="6" t="e">
        <f t="shared" ref="Y4:Y76" si="8">(1.96*X4)</f>
        <v>#REF!</v>
      </c>
      <c r="AD4" s="38" t="s">
        <v>93</v>
      </c>
    </row>
    <row r="5" spans="1:30" hidden="1" x14ac:dyDescent="0.25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f>'YE harvest'!E5</f>
        <v>188</v>
      </c>
      <c r="F5" s="38"/>
      <c r="G5" s="39"/>
      <c r="H5" s="13">
        <f t="shared" si="0"/>
        <v>0</v>
      </c>
      <c r="I5">
        <f t="shared" si="1"/>
        <v>0</v>
      </c>
      <c r="J5">
        <f t="shared" si="3"/>
        <v>0</v>
      </c>
      <c r="K5" s="6">
        <f t="shared" si="4"/>
        <v>0</v>
      </c>
      <c r="M5" s="2">
        <f>'rockfish harvests'!O4</f>
        <v>385.25060978736042</v>
      </c>
      <c r="N5">
        <f>'rockfish harvests'!P4</f>
        <v>45433.151217293431</v>
      </c>
      <c r="Q5" s="13" t="e">
        <f>#REF!*M5</f>
        <v>#REF!</v>
      </c>
      <c r="R5" s="14" t="e">
        <f>(M5^2)*#REF!+(#REF!^2)*N5-(#REF!*N5)</f>
        <v>#REF!</v>
      </c>
      <c r="S5" t="e">
        <f t="shared" si="5"/>
        <v>#REF!</v>
      </c>
      <c r="T5" s="6" t="e">
        <f t="shared" si="6"/>
        <v>#REF!</v>
      </c>
      <c r="V5" s="13" t="e">
        <f t="shared" si="2"/>
        <v>#REF!</v>
      </c>
      <c r="W5" t="e">
        <f t="shared" si="2"/>
        <v>#REF!</v>
      </c>
      <c r="X5" t="e">
        <f t="shared" si="7"/>
        <v>#REF!</v>
      </c>
      <c r="Y5" s="6" t="e">
        <f t="shared" si="8"/>
        <v>#REF!</v>
      </c>
      <c r="AD5" s="27" t="s">
        <v>140</v>
      </c>
    </row>
    <row r="6" spans="1:30" hidden="1" x14ac:dyDescent="0.25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f>'YE harvest'!E6</f>
        <v>58</v>
      </c>
      <c r="F6" s="38"/>
      <c r="G6" s="39"/>
      <c r="H6" s="13">
        <f t="shared" si="0"/>
        <v>0</v>
      </c>
      <c r="I6">
        <f t="shared" si="1"/>
        <v>0</v>
      </c>
      <c r="J6">
        <f t="shared" si="3"/>
        <v>0</v>
      </c>
      <c r="K6" s="6">
        <f t="shared" si="4"/>
        <v>0</v>
      </c>
      <c r="M6" s="2">
        <f>'rockfish harvests'!O5</f>
        <v>145.96960073387947</v>
      </c>
      <c r="N6">
        <f>'rockfish harvests'!P5</f>
        <v>6522.4540899783578</v>
      </c>
      <c r="Q6" s="13" t="e">
        <f>#REF!*M6</f>
        <v>#REF!</v>
      </c>
      <c r="R6" s="14" t="e">
        <f>(M6^2)*#REF!+(#REF!^2)*N6-(#REF!*N6)</f>
        <v>#REF!</v>
      </c>
      <c r="S6" t="e">
        <f t="shared" si="5"/>
        <v>#REF!</v>
      </c>
      <c r="T6" s="6" t="e">
        <f t="shared" si="6"/>
        <v>#REF!</v>
      </c>
      <c r="V6" s="13" t="e">
        <f t="shared" si="2"/>
        <v>#REF!</v>
      </c>
      <c r="W6" t="e">
        <f t="shared" si="2"/>
        <v>#REF!</v>
      </c>
      <c r="X6" t="e">
        <f t="shared" si="7"/>
        <v>#REF!</v>
      </c>
      <c r="Y6" s="6" t="e">
        <f t="shared" si="8"/>
        <v>#REF!</v>
      </c>
    </row>
    <row r="7" spans="1:30" hidden="1" x14ac:dyDescent="0.25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f>'YE harvest'!E7</f>
        <v>54</v>
      </c>
      <c r="F7" s="38"/>
      <c r="G7" s="39"/>
      <c r="H7" s="13">
        <f t="shared" si="0"/>
        <v>0</v>
      </c>
      <c r="I7">
        <f t="shared" si="1"/>
        <v>0</v>
      </c>
      <c r="J7">
        <f t="shared" si="3"/>
        <v>0</v>
      </c>
      <c r="K7" s="6">
        <f t="shared" si="4"/>
        <v>0</v>
      </c>
      <c r="M7" s="2">
        <f>'rockfish harvests'!O6</f>
        <v>94.129929445212042</v>
      </c>
      <c r="N7">
        <f>'rockfish harvests'!P6</f>
        <v>2712.3245630524034</v>
      </c>
      <c r="Q7" s="13" t="e">
        <f>#REF!*M7</f>
        <v>#REF!</v>
      </c>
      <c r="R7" s="14" t="e">
        <f>(M7^2)*#REF!+(#REF!^2)*N7-(#REF!*N7)</f>
        <v>#REF!</v>
      </c>
      <c r="S7" t="e">
        <f t="shared" si="5"/>
        <v>#REF!</v>
      </c>
      <c r="T7" s="6" t="e">
        <f t="shared" si="6"/>
        <v>#REF!</v>
      </c>
      <c r="V7" s="13" t="e">
        <f t="shared" si="2"/>
        <v>#REF!</v>
      </c>
      <c r="W7" t="e">
        <f t="shared" si="2"/>
        <v>#REF!</v>
      </c>
      <c r="X7" t="e">
        <f t="shared" si="7"/>
        <v>#REF!</v>
      </c>
      <c r="Y7" s="6" t="e">
        <f t="shared" si="8"/>
        <v>#REF!</v>
      </c>
    </row>
    <row r="8" spans="1:30" ht="36" hidden="1" x14ac:dyDescent="0.55000000000000004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f>'YE harvest'!E8</f>
        <v>83</v>
      </c>
      <c r="F8" s="38"/>
      <c r="G8" s="39"/>
      <c r="H8" s="13">
        <f t="shared" si="0"/>
        <v>0</v>
      </c>
      <c r="I8">
        <f t="shared" si="1"/>
        <v>0</v>
      </c>
      <c r="J8">
        <f t="shared" si="3"/>
        <v>0</v>
      </c>
      <c r="K8" s="6">
        <f t="shared" si="4"/>
        <v>0</v>
      </c>
      <c r="M8" s="2">
        <f>'rockfish harvests'!O7</f>
        <v>154.70049274039195</v>
      </c>
      <c r="N8">
        <f>'rockfish harvests'!P7</f>
        <v>7326.0450447481962</v>
      </c>
      <c r="Q8" s="13" t="e">
        <f>#REF!*M8</f>
        <v>#REF!</v>
      </c>
      <c r="R8" s="14" t="e">
        <f>(M8^2)*#REF!+(#REF!^2)*N8-(#REF!*N8)</f>
        <v>#REF!</v>
      </c>
      <c r="S8" t="e">
        <f t="shared" si="5"/>
        <v>#REF!</v>
      </c>
      <c r="T8" s="6" t="e">
        <f t="shared" si="6"/>
        <v>#REF!</v>
      </c>
      <c r="V8" s="13" t="e">
        <f t="shared" si="2"/>
        <v>#REF!</v>
      </c>
      <c r="W8" t="e">
        <f t="shared" si="2"/>
        <v>#REF!</v>
      </c>
      <c r="X8" t="e">
        <f t="shared" si="7"/>
        <v>#REF!</v>
      </c>
      <c r="Y8" s="6" t="e">
        <f t="shared" si="8"/>
        <v>#REF!</v>
      </c>
      <c r="AC8" s="97" t="s">
        <v>173</v>
      </c>
    </row>
    <row r="9" spans="1:30" hidden="1" x14ac:dyDescent="0.25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f>'YE harvest'!E9</f>
        <v>130</v>
      </c>
      <c r="F9" s="38"/>
      <c r="G9" s="39"/>
      <c r="H9" s="13">
        <f t="shared" si="0"/>
        <v>0</v>
      </c>
      <c r="I9">
        <f t="shared" si="1"/>
        <v>0</v>
      </c>
      <c r="J9">
        <f t="shared" si="3"/>
        <v>0</v>
      </c>
      <c r="K9" s="6">
        <f t="shared" si="4"/>
        <v>0</v>
      </c>
      <c r="M9" s="2">
        <f>'rockfish harvests'!O8</f>
        <v>127.68929559524418</v>
      </c>
      <c r="N9">
        <f>'rockfish harvests'!P8</f>
        <v>4991.087377424823</v>
      </c>
      <c r="Q9" s="13" t="e">
        <f>#REF!*M9</f>
        <v>#REF!</v>
      </c>
      <c r="R9" s="14" t="e">
        <f>(M9^2)*#REF!+(#REF!^2)*N9-(#REF!*N9)</f>
        <v>#REF!</v>
      </c>
      <c r="S9" t="e">
        <f t="shared" si="5"/>
        <v>#REF!</v>
      </c>
      <c r="T9" s="6" t="e">
        <f t="shared" si="6"/>
        <v>#REF!</v>
      </c>
      <c r="V9" s="13" t="e">
        <f t="shared" si="2"/>
        <v>#REF!</v>
      </c>
      <c r="W9" t="e">
        <f t="shared" si="2"/>
        <v>#REF!</v>
      </c>
      <c r="X9" t="e">
        <f t="shared" si="7"/>
        <v>#REF!</v>
      </c>
      <c r="Y9" s="6" t="e">
        <f t="shared" si="8"/>
        <v>#REF!</v>
      </c>
    </row>
    <row r="10" spans="1:30" hidden="1" x14ac:dyDescent="0.25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f>'YE harvest'!E10</f>
        <v>206</v>
      </c>
      <c r="F10" s="38"/>
      <c r="G10" s="39"/>
      <c r="H10" s="13">
        <f t="shared" si="0"/>
        <v>0</v>
      </c>
      <c r="I10">
        <f t="shared" si="1"/>
        <v>0</v>
      </c>
      <c r="J10">
        <f t="shared" si="3"/>
        <v>0</v>
      </c>
      <c r="K10" s="6">
        <f t="shared" si="4"/>
        <v>0</v>
      </c>
      <c r="M10" s="2">
        <f>'rockfish harvests'!O9</f>
        <v>377.8839196568656</v>
      </c>
      <c r="N10">
        <f>'rockfish harvests'!P9</f>
        <v>43712.235118346529</v>
      </c>
      <c r="Q10" s="13" t="e">
        <f>#REF!*M10</f>
        <v>#REF!</v>
      </c>
      <c r="R10" s="14" t="e">
        <f>(M10^2)*#REF!+(#REF!^2)*N10-(#REF!*N10)</f>
        <v>#REF!</v>
      </c>
      <c r="S10" t="e">
        <f t="shared" si="5"/>
        <v>#REF!</v>
      </c>
      <c r="T10" s="6" t="e">
        <f t="shared" si="6"/>
        <v>#REF!</v>
      </c>
      <c r="V10" s="13" t="e">
        <f t="shared" si="2"/>
        <v>#REF!</v>
      </c>
      <c r="W10" t="e">
        <f t="shared" si="2"/>
        <v>#REF!</v>
      </c>
      <c r="X10" t="e">
        <f t="shared" si="7"/>
        <v>#REF!</v>
      </c>
      <c r="Y10" s="6" t="e">
        <f t="shared" si="8"/>
        <v>#REF!</v>
      </c>
    </row>
    <row r="11" spans="1:30" hidden="1" x14ac:dyDescent="0.25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f>'YE harvest'!E11</f>
        <v>159</v>
      </c>
      <c r="H11" s="13" t="e">
        <f>#REF!</f>
        <v>#REF!</v>
      </c>
      <c r="I11">
        <f t="shared" si="1"/>
        <v>0</v>
      </c>
      <c r="J11">
        <f t="shared" si="3"/>
        <v>0</v>
      </c>
      <c r="K11" s="6">
        <f t="shared" si="4"/>
        <v>0</v>
      </c>
      <c r="M11" s="2">
        <f>'rockfish harvests'!O10</f>
        <v>252.37734706324954</v>
      </c>
      <c r="N11">
        <f>'rockfish harvests'!P10</f>
        <v>19497.859309067106</v>
      </c>
      <c r="Q11" s="13" t="e">
        <f>#REF!*M11</f>
        <v>#REF!</v>
      </c>
      <c r="R11" s="14" t="e">
        <f>(M11^2)*#REF!+(#REF!^2)*N11-(#REF!*N11)</f>
        <v>#REF!</v>
      </c>
      <c r="S11" t="e">
        <f t="shared" si="5"/>
        <v>#REF!</v>
      </c>
      <c r="T11" s="6" t="e">
        <f t="shared" si="6"/>
        <v>#REF!</v>
      </c>
      <c r="V11" s="13" t="e">
        <f t="shared" si="2"/>
        <v>#REF!</v>
      </c>
      <c r="W11" t="e">
        <f t="shared" si="2"/>
        <v>#REF!</v>
      </c>
      <c r="X11" t="e">
        <f t="shared" si="7"/>
        <v>#REF!</v>
      </c>
      <c r="Y11" s="6" t="e">
        <f t="shared" si="8"/>
        <v>#REF!</v>
      </c>
    </row>
    <row r="12" spans="1:30" hidden="1" x14ac:dyDescent="0.25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f>'YE harvest'!E12</f>
        <v>304</v>
      </c>
      <c r="H12" s="13" t="e">
        <f>#REF!</f>
        <v>#REF!</v>
      </c>
      <c r="I12">
        <f t="shared" si="1"/>
        <v>0</v>
      </c>
      <c r="J12">
        <f t="shared" si="3"/>
        <v>0</v>
      </c>
      <c r="K12" s="6">
        <f t="shared" si="4"/>
        <v>0</v>
      </c>
      <c r="M12" s="2">
        <f>'rockfish harvests'!O11</f>
        <v>678.82685350634074</v>
      </c>
      <c r="N12">
        <f>'rockfish harvests'!P11</f>
        <v>141060.11022920778</v>
      </c>
      <c r="Q12" s="13" t="e">
        <f>#REF!*M12</f>
        <v>#REF!</v>
      </c>
      <c r="R12" s="14" t="e">
        <f>(M12^2)*#REF!+(#REF!^2)*N12-(#REF!*N12)</f>
        <v>#REF!</v>
      </c>
      <c r="S12" t="e">
        <f t="shared" si="5"/>
        <v>#REF!</v>
      </c>
      <c r="T12" s="6" t="e">
        <f t="shared" si="6"/>
        <v>#REF!</v>
      </c>
      <c r="V12" s="13" t="e">
        <f t="shared" si="2"/>
        <v>#REF!</v>
      </c>
      <c r="W12" t="e">
        <f t="shared" si="2"/>
        <v>#REF!</v>
      </c>
      <c r="X12" t="e">
        <f t="shared" si="7"/>
        <v>#REF!</v>
      </c>
      <c r="Y12" s="6" t="e">
        <f t="shared" si="8"/>
        <v>#REF!</v>
      </c>
    </row>
    <row r="13" spans="1:30" hidden="1" x14ac:dyDescent="0.25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f>'YE harvest'!E13</f>
        <v>601</v>
      </c>
      <c r="H13" s="13" t="e">
        <f>#REF!</f>
        <v>#REF!</v>
      </c>
      <c r="I13">
        <f t="shared" si="1"/>
        <v>0</v>
      </c>
      <c r="J13">
        <f t="shared" si="3"/>
        <v>0</v>
      </c>
      <c r="K13" s="6">
        <f t="shared" si="4"/>
        <v>0</v>
      </c>
      <c r="M13" s="2">
        <f>'rockfish harvests'!O12</f>
        <v>728.48380179337983</v>
      </c>
      <c r="N13">
        <f>'rockfish harvests'!P12</f>
        <v>162452.3467972634</v>
      </c>
      <c r="Q13" s="13" t="e">
        <f>#REF!*M13</f>
        <v>#REF!</v>
      </c>
      <c r="R13" s="14" t="e">
        <f>(M13^2)*#REF!+(#REF!^2)*N13-(#REF!*N13)</f>
        <v>#REF!</v>
      </c>
      <c r="S13" t="e">
        <f t="shared" si="5"/>
        <v>#REF!</v>
      </c>
      <c r="T13" s="6" t="e">
        <f t="shared" si="6"/>
        <v>#REF!</v>
      </c>
      <c r="V13" s="13" t="e">
        <f t="shared" si="2"/>
        <v>#REF!</v>
      </c>
      <c r="W13" t="e">
        <f t="shared" si="2"/>
        <v>#REF!</v>
      </c>
      <c r="X13" t="e">
        <f t="shared" si="7"/>
        <v>#REF!</v>
      </c>
      <c r="Y13" s="6" t="e">
        <f t="shared" si="8"/>
        <v>#REF!</v>
      </c>
    </row>
    <row r="14" spans="1:30" hidden="1" x14ac:dyDescent="0.25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f>'YE harvest'!E14</f>
        <v>557</v>
      </c>
      <c r="H14" s="13" t="e">
        <f>#REF!</f>
        <v>#REF!</v>
      </c>
      <c r="I14">
        <f t="shared" si="1"/>
        <v>0</v>
      </c>
      <c r="J14">
        <f t="shared" si="3"/>
        <v>0</v>
      </c>
      <c r="K14" s="6">
        <f t="shared" si="4"/>
        <v>0</v>
      </c>
      <c r="M14" s="2">
        <f>'rockfish harvests'!O13</f>
        <v>1026.6983318908196</v>
      </c>
      <c r="N14">
        <f>'rockfish harvests'!P13</f>
        <v>322679.89242321515</v>
      </c>
      <c r="Q14" s="13" t="e">
        <f>#REF!*M14</f>
        <v>#REF!</v>
      </c>
      <c r="R14" s="14" t="e">
        <f>(M14^2)*#REF!+(#REF!^2)*N14-(#REF!*N14)</f>
        <v>#REF!</v>
      </c>
      <c r="S14" t="e">
        <f t="shared" si="5"/>
        <v>#REF!</v>
      </c>
      <c r="T14" s="6" t="e">
        <f t="shared" si="6"/>
        <v>#REF!</v>
      </c>
      <c r="V14" s="13" t="e">
        <f t="shared" si="2"/>
        <v>#REF!</v>
      </c>
      <c r="W14" t="e">
        <f t="shared" si="2"/>
        <v>#REF!</v>
      </c>
      <c r="X14" t="e">
        <f t="shared" si="7"/>
        <v>#REF!</v>
      </c>
      <c r="Y14" s="6" t="e">
        <f t="shared" si="8"/>
        <v>#REF!</v>
      </c>
    </row>
    <row r="15" spans="1:30" hidden="1" x14ac:dyDescent="0.25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f>'YE harvest'!E15</f>
        <v>1061</v>
      </c>
      <c r="H15" s="13" t="e">
        <f>#REF!</f>
        <v>#REF!</v>
      </c>
      <c r="I15">
        <f t="shared" si="1"/>
        <v>0</v>
      </c>
      <c r="J15">
        <f t="shared" si="3"/>
        <v>0</v>
      </c>
      <c r="K15" s="6">
        <f t="shared" si="4"/>
        <v>0</v>
      </c>
      <c r="M15" s="2">
        <f>'rockfish harvests'!O14</f>
        <v>827.25201761705193</v>
      </c>
      <c r="N15">
        <f>'rockfish harvests'!P14</f>
        <v>209489.30732140518</v>
      </c>
      <c r="Q15" s="13" t="e">
        <f>#REF!*M15</f>
        <v>#REF!</v>
      </c>
      <c r="R15" s="14" t="e">
        <f>(M15^2)*#REF!+(#REF!^2)*N15-(#REF!*N15)</f>
        <v>#REF!</v>
      </c>
      <c r="S15" t="e">
        <f t="shared" si="5"/>
        <v>#REF!</v>
      </c>
      <c r="T15" s="6" t="e">
        <f t="shared" si="6"/>
        <v>#REF!</v>
      </c>
      <c r="V15" s="13" t="e">
        <f t="shared" si="2"/>
        <v>#REF!</v>
      </c>
      <c r="W15" t="e">
        <f t="shared" si="2"/>
        <v>#REF!</v>
      </c>
      <c r="X15" t="e">
        <f t="shared" si="7"/>
        <v>#REF!</v>
      </c>
      <c r="Y15" s="6" t="e">
        <f t="shared" si="8"/>
        <v>#REF!</v>
      </c>
    </row>
    <row r="16" spans="1:30" hidden="1" x14ac:dyDescent="0.25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f>'YE harvest'!E16</f>
        <v>487</v>
      </c>
      <c r="H16" s="13" t="e">
        <f>#REF!</f>
        <v>#REF!</v>
      </c>
      <c r="I16">
        <f t="shared" si="1"/>
        <v>0</v>
      </c>
      <c r="J16">
        <f t="shared" si="3"/>
        <v>0</v>
      </c>
      <c r="K16" s="6">
        <f t="shared" si="4"/>
        <v>0</v>
      </c>
      <c r="M16" s="2">
        <f>'rockfish harvests'!O15</f>
        <v>852.74081958488568</v>
      </c>
      <c r="N16">
        <f>'rockfish harvests'!P15</f>
        <v>200039.3867927817</v>
      </c>
      <c r="Q16" s="13" t="e">
        <f>#REF!*M16</f>
        <v>#REF!</v>
      </c>
      <c r="R16" s="14" t="e">
        <f>(M16^2)*#REF!+(#REF!^2)*N16-(#REF!*N16)</f>
        <v>#REF!</v>
      </c>
      <c r="S16" t="e">
        <f t="shared" si="5"/>
        <v>#REF!</v>
      </c>
      <c r="T16" s="6" t="e">
        <f t="shared" si="6"/>
        <v>#REF!</v>
      </c>
      <c r="V16" s="13" t="e">
        <f t="shared" si="2"/>
        <v>#REF!</v>
      </c>
      <c r="W16" t="e">
        <f t="shared" si="2"/>
        <v>#REF!</v>
      </c>
      <c r="X16" t="e">
        <f t="shared" si="7"/>
        <v>#REF!</v>
      </c>
      <c r="Y16" s="6" t="e">
        <f t="shared" si="8"/>
        <v>#REF!</v>
      </c>
    </row>
    <row r="17" spans="1:25" hidden="1" x14ac:dyDescent="0.25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f>'YE harvest'!E17</f>
        <v>564</v>
      </c>
      <c r="H17" s="13" t="e">
        <f>#REF!</f>
        <v>#REF!</v>
      </c>
      <c r="I17">
        <f t="shared" si="1"/>
        <v>0</v>
      </c>
      <c r="J17">
        <f t="shared" si="3"/>
        <v>0</v>
      </c>
      <c r="K17" s="6">
        <f t="shared" si="4"/>
        <v>0</v>
      </c>
      <c r="M17" s="2">
        <f>'rockfish harvests'!O16</f>
        <v>1110.7541899441339</v>
      </c>
      <c r="N17">
        <f>'rockfish harvests'!P16</f>
        <v>261396.56419933448</v>
      </c>
      <c r="Q17" s="13" t="e">
        <f>#REF!*M17</f>
        <v>#REF!</v>
      </c>
      <c r="R17" s="14" t="e">
        <f>(M17^2)*#REF!+(#REF!^2)*N17-(#REF!*N17)</f>
        <v>#REF!</v>
      </c>
      <c r="S17" t="e">
        <f t="shared" si="5"/>
        <v>#REF!</v>
      </c>
      <c r="T17" s="6" t="e">
        <f t="shared" si="6"/>
        <v>#REF!</v>
      </c>
      <c r="V17" s="13" t="e">
        <f t="shared" si="2"/>
        <v>#REF!</v>
      </c>
      <c r="W17" t="e">
        <f t="shared" si="2"/>
        <v>#REF!</v>
      </c>
      <c r="X17" t="e">
        <f t="shared" si="7"/>
        <v>#REF!</v>
      </c>
      <c r="Y17" s="6" t="e">
        <f t="shared" si="8"/>
        <v>#REF!</v>
      </c>
    </row>
    <row r="18" spans="1:25" hidden="1" x14ac:dyDescent="0.25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f>'YE harvest'!E18</f>
        <v>473</v>
      </c>
      <c r="H18" s="13" t="e">
        <f>#REF!</f>
        <v>#REF!</v>
      </c>
      <c r="I18">
        <f t="shared" si="1"/>
        <v>0</v>
      </c>
      <c r="J18">
        <f t="shared" si="3"/>
        <v>0</v>
      </c>
      <c r="K18" s="6">
        <f t="shared" si="4"/>
        <v>0</v>
      </c>
      <c r="M18" s="2">
        <f>'rockfish harvests'!O17</f>
        <v>731.12895692786697</v>
      </c>
      <c r="N18">
        <f>'rockfish harvests'!P17</f>
        <v>125971.00775365347</v>
      </c>
      <c r="Q18" s="13" t="e">
        <f>#REF!*M18</f>
        <v>#REF!</v>
      </c>
      <c r="R18" s="14" t="e">
        <f>(M18^2)*#REF!+(#REF!^2)*N18-(#REF!*N18)</f>
        <v>#REF!</v>
      </c>
      <c r="S18" t="e">
        <f t="shared" si="5"/>
        <v>#REF!</v>
      </c>
      <c r="T18" s="6" t="e">
        <f t="shared" si="6"/>
        <v>#REF!</v>
      </c>
      <c r="V18" s="13" t="e">
        <f t="shared" si="2"/>
        <v>#REF!</v>
      </c>
      <c r="W18" t="e">
        <f t="shared" si="2"/>
        <v>#REF!</v>
      </c>
      <c r="X18" t="e">
        <f t="shared" si="7"/>
        <v>#REF!</v>
      </c>
      <c r="Y18" s="6" t="e">
        <f t="shared" si="8"/>
        <v>#REF!</v>
      </c>
    </row>
    <row r="19" spans="1:25" hidden="1" x14ac:dyDescent="0.25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f>'YE harvest'!E19</f>
        <v>580</v>
      </c>
      <c r="H19" s="13" t="e">
        <f>#REF!</f>
        <v>#REF!</v>
      </c>
      <c r="I19">
        <f t="shared" si="1"/>
        <v>0</v>
      </c>
      <c r="J19">
        <f t="shared" si="3"/>
        <v>0</v>
      </c>
      <c r="K19" s="6">
        <f t="shared" si="4"/>
        <v>0</v>
      </c>
      <c r="M19" s="2">
        <f>'rockfish harvests'!O18</f>
        <v>1234.1607301869994</v>
      </c>
      <c r="N19">
        <f>'rockfish harvests'!P18</f>
        <v>268862.96198516607</v>
      </c>
      <c r="Q19" s="13" t="e">
        <f>#REF!*M19</f>
        <v>#REF!</v>
      </c>
      <c r="R19" s="14" t="e">
        <f>(M19^2)*#REF!+(#REF!^2)*N19-(#REF!*N19)</f>
        <v>#REF!</v>
      </c>
      <c r="S19" t="e">
        <f t="shared" si="5"/>
        <v>#REF!</v>
      </c>
      <c r="T19" s="6" t="e">
        <f t="shared" si="6"/>
        <v>#REF!</v>
      </c>
      <c r="V19" s="13" t="e">
        <f t="shared" si="2"/>
        <v>#REF!</v>
      </c>
      <c r="W19" t="e">
        <f t="shared" si="2"/>
        <v>#REF!</v>
      </c>
      <c r="X19" t="e">
        <f t="shared" si="7"/>
        <v>#REF!</v>
      </c>
      <c r="Y19" s="6" t="e">
        <f t="shared" si="8"/>
        <v>#REF!</v>
      </c>
    </row>
    <row r="20" spans="1:25" hidden="1" x14ac:dyDescent="0.25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f>'YE harvest'!E20</f>
        <v>630</v>
      </c>
      <c r="H20" s="13" t="e">
        <f>#REF!</f>
        <v>#REF!</v>
      </c>
      <c r="I20">
        <f t="shared" si="1"/>
        <v>0</v>
      </c>
      <c r="J20">
        <f t="shared" si="3"/>
        <v>0</v>
      </c>
      <c r="K20" s="6">
        <f t="shared" si="4"/>
        <v>0</v>
      </c>
      <c r="M20" s="2">
        <f>'rockfish harvests'!O19</f>
        <v>1736.4958972529439</v>
      </c>
      <c r="N20">
        <f>'rockfish harvests'!P19</f>
        <v>1075446.4405794584</v>
      </c>
      <c r="Q20" s="13" t="e">
        <f>#REF!*M20</f>
        <v>#REF!</v>
      </c>
      <c r="R20" s="14" t="e">
        <f>(M20^2)*#REF!+(#REF!^2)*N20-(#REF!*N20)</f>
        <v>#REF!</v>
      </c>
      <c r="S20" t="e">
        <f t="shared" si="5"/>
        <v>#REF!</v>
      </c>
      <c r="T20" s="6" t="e">
        <f t="shared" si="6"/>
        <v>#REF!</v>
      </c>
      <c r="V20" s="13" t="e">
        <f t="shared" si="2"/>
        <v>#REF!</v>
      </c>
      <c r="W20" t="e">
        <f t="shared" si="2"/>
        <v>#REF!</v>
      </c>
      <c r="X20" t="e">
        <f t="shared" si="7"/>
        <v>#REF!</v>
      </c>
      <c r="Y20" s="6" t="e">
        <f t="shared" si="8"/>
        <v>#REF!</v>
      </c>
    </row>
    <row r="21" spans="1:25" hidden="1" x14ac:dyDescent="0.25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f>'YE harvest'!E21</f>
        <v>760</v>
      </c>
      <c r="H21" s="13" t="e">
        <f>#REF!</f>
        <v>#REF!</v>
      </c>
      <c r="I21">
        <f t="shared" si="1"/>
        <v>0</v>
      </c>
      <c r="J21">
        <f t="shared" si="3"/>
        <v>0</v>
      </c>
      <c r="K21" s="6">
        <f t="shared" si="4"/>
        <v>0</v>
      </c>
      <c r="M21" s="2">
        <f>'rockfish harvests'!O20</f>
        <v>467.58654422040308</v>
      </c>
      <c r="N21">
        <f>'rockfish harvests'!P20</f>
        <v>63684.114088437818</v>
      </c>
      <c r="Q21" s="13" t="e">
        <f>#REF!*M21</f>
        <v>#REF!</v>
      </c>
      <c r="R21" s="14" t="e">
        <f>(M21^2)*#REF!+(#REF!^2)*N21-(#REF!*N21)</f>
        <v>#REF!</v>
      </c>
      <c r="S21" t="e">
        <f t="shared" si="5"/>
        <v>#REF!</v>
      </c>
      <c r="T21" s="6" t="e">
        <f t="shared" si="6"/>
        <v>#REF!</v>
      </c>
      <c r="V21" s="13" t="e">
        <f t="shared" si="2"/>
        <v>#REF!</v>
      </c>
      <c r="W21" t="e">
        <f t="shared" si="2"/>
        <v>#REF!</v>
      </c>
      <c r="X21" t="e">
        <f t="shared" si="7"/>
        <v>#REF!</v>
      </c>
      <c r="Y21" s="6" t="e">
        <f t="shared" si="8"/>
        <v>#REF!</v>
      </c>
    </row>
    <row r="22" spans="1:25" hidden="1" x14ac:dyDescent="0.25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f>'YE harvest'!E22</f>
        <v>539</v>
      </c>
      <c r="H22" s="13" t="e">
        <f>#REF!</f>
        <v>#REF!</v>
      </c>
      <c r="I22">
        <f t="shared" si="1"/>
        <v>0</v>
      </c>
      <c r="J22">
        <f t="shared" si="3"/>
        <v>0</v>
      </c>
      <c r="K22" s="6">
        <f t="shared" si="4"/>
        <v>0</v>
      </c>
      <c r="M22" s="2">
        <f>'rockfish harvests'!O21</f>
        <v>537.74758244483019</v>
      </c>
      <c r="N22">
        <f>'rockfish harvests'!P21</f>
        <v>89663.784684390819</v>
      </c>
      <c r="Q22" s="13" t="e">
        <f>#REF!*M22</f>
        <v>#REF!</v>
      </c>
      <c r="R22" s="14" t="e">
        <f>(M22^2)*#REF!+(#REF!^2)*N22-(#REF!*N22)</f>
        <v>#REF!</v>
      </c>
      <c r="S22" t="e">
        <f t="shared" si="5"/>
        <v>#REF!</v>
      </c>
      <c r="T22" s="6" t="e">
        <f t="shared" si="6"/>
        <v>#REF!</v>
      </c>
      <c r="V22" s="13" t="e">
        <f t="shared" si="2"/>
        <v>#REF!</v>
      </c>
      <c r="W22" t="e">
        <f t="shared" si="2"/>
        <v>#REF!</v>
      </c>
      <c r="X22" t="e">
        <f t="shared" si="7"/>
        <v>#REF!</v>
      </c>
      <c r="Y22" s="6" t="e">
        <f t="shared" si="8"/>
        <v>#REF!</v>
      </c>
    </row>
    <row r="23" spans="1:25" hidden="1" x14ac:dyDescent="0.25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f>'YE harvest'!E23</f>
        <v>602</v>
      </c>
      <c r="H23" s="13" t="e">
        <f>#REF!</f>
        <v>#REF!</v>
      </c>
      <c r="I23">
        <f t="shared" si="1"/>
        <v>0</v>
      </c>
      <c r="J23">
        <f t="shared" si="3"/>
        <v>0</v>
      </c>
      <c r="K23" s="6">
        <f t="shared" si="4"/>
        <v>0</v>
      </c>
      <c r="M23" s="2">
        <f>'rockfish harvests'!O22</f>
        <v>1496.4016172506736</v>
      </c>
      <c r="N23">
        <f>'rockfish harvests'!P22</f>
        <v>412259.26032139536</v>
      </c>
      <c r="Q23" s="13" t="e">
        <f>#REF!*M23</f>
        <v>#REF!</v>
      </c>
      <c r="R23" s="14" t="e">
        <f>(M23^2)*#REF!+(#REF!^2)*N23-(#REF!*N23)</f>
        <v>#REF!</v>
      </c>
      <c r="S23" t="e">
        <f t="shared" si="5"/>
        <v>#REF!</v>
      </c>
      <c r="T23" s="6" t="e">
        <f t="shared" si="6"/>
        <v>#REF!</v>
      </c>
      <c r="V23" s="13" t="e">
        <f t="shared" si="2"/>
        <v>#REF!</v>
      </c>
      <c r="W23" t="e">
        <f t="shared" si="2"/>
        <v>#REF!</v>
      </c>
      <c r="X23" t="e">
        <f t="shared" si="7"/>
        <v>#REF!</v>
      </c>
      <c r="Y23" s="6" t="e">
        <f t="shared" si="8"/>
        <v>#REF!</v>
      </c>
    </row>
    <row r="24" spans="1:25" hidden="1" x14ac:dyDescent="0.25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f>'YE harvest'!E24</f>
        <v>1020</v>
      </c>
      <c r="I24">
        <f t="shared" ref="I24:I25" si="9">(E24^2)*G24</f>
        <v>0</v>
      </c>
      <c r="J24">
        <f t="shared" ref="J24:J25" si="10">SQRT(I24)</f>
        <v>0</v>
      </c>
      <c r="K24" s="6">
        <f t="shared" ref="K24:K25" si="11">(1.96*J24)</f>
        <v>0</v>
      </c>
      <c r="M24" s="2">
        <f>'rockfish harvests'!O23</f>
        <v>4435.3764258555148</v>
      </c>
      <c r="N24">
        <f>'rockfish harvests'!P23</f>
        <v>3560251.2769631236</v>
      </c>
      <c r="R24" s="14"/>
      <c r="S24"/>
      <c r="T24" s="6"/>
      <c r="Y24" s="6"/>
    </row>
    <row r="25" spans="1:25" hidden="1" x14ac:dyDescent="0.25">
      <c r="A25" t="str">
        <f>'rockfish harvests'!A24</f>
        <v>SC</v>
      </c>
      <c r="B25">
        <f>'rockfish harvests'!B24</f>
        <v>2020</v>
      </c>
      <c r="C25" t="str">
        <f>'rockfish harvests'!C24</f>
        <v>AFOGNAK</v>
      </c>
      <c r="D25">
        <f>'rockfish harvests'!D24</f>
        <v>5835</v>
      </c>
      <c r="E25">
        <f>'YE harvest'!E25</f>
        <v>831</v>
      </c>
      <c r="I25">
        <f t="shared" si="9"/>
        <v>0</v>
      </c>
      <c r="J25">
        <f t="shared" si="10"/>
        <v>0</v>
      </c>
      <c r="K25" s="6">
        <f t="shared" si="11"/>
        <v>0</v>
      </c>
      <c r="M25" s="2">
        <f>'rockfish harvests'!O24</f>
        <v>1752.4199820520489</v>
      </c>
      <c r="N25">
        <f>'rockfish harvests'!P24</f>
        <v>564645.39156800637</v>
      </c>
      <c r="R25" s="14"/>
      <c r="S25"/>
      <c r="T25" s="6"/>
      <c r="Y25" s="6"/>
    </row>
    <row r="26" spans="1:25" hidden="1" x14ac:dyDescent="0.25">
      <c r="A26" t="str">
        <f>'rockfish harvests'!A25</f>
        <v>SC</v>
      </c>
      <c r="B26">
        <f>'rockfish harvests'!B25</f>
        <v>2021</v>
      </c>
      <c r="C26" t="str">
        <f>'rockfish harvests'!C25</f>
        <v>AFOGNAK</v>
      </c>
      <c r="D26">
        <f>'rockfish harvests'!D25</f>
        <v>9007</v>
      </c>
      <c r="E26">
        <f>'YE harvest'!E26</f>
        <v>1077</v>
      </c>
      <c r="K26" s="6"/>
      <c r="M26" s="2">
        <f>'rockfish harvests'!O25</f>
        <v>1406.6827148896191</v>
      </c>
      <c r="N26">
        <f>'rockfish harvests'!P25</f>
        <v>336808.63980312884</v>
      </c>
      <c r="R26" s="14"/>
      <c r="S26"/>
      <c r="T26" s="6"/>
      <c r="Y26" s="6"/>
    </row>
    <row r="27" spans="1:25" hidden="1" x14ac:dyDescent="0.25">
      <c r="A27" t="str">
        <f>'rockfish harvests'!A27</f>
        <v>SC</v>
      </c>
      <c r="B27">
        <f>'rockfish harvests'!B27</f>
        <v>1998</v>
      </c>
      <c r="C27" t="str">
        <f>'rockfish harvests'!C27</f>
        <v>WKMA</v>
      </c>
      <c r="D27">
        <f>'rockfish harvests'!D27</f>
        <v>148</v>
      </c>
      <c r="E27">
        <f>'YE harvest'!E28</f>
        <v>31</v>
      </c>
      <c r="F27" s="38"/>
      <c r="G27" s="39"/>
      <c r="H27" s="13">
        <f t="shared" ref="H27:H34" si="12">E27*F27</f>
        <v>0</v>
      </c>
      <c r="I27">
        <f t="shared" si="1"/>
        <v>0</v>
      </c>
      <c r="J27">
        <f t="shared" si="3"/>
        <v>0</v>
      </c>
      <c r="K27" s="6">
        <f t="shared" si="4"/>
        <v>0</v>
      </c>
      <c r="M27" s="2">
        <f>'rockfish harvests'!O27</f>
        <v>42.686604162511713</v>
      </c>
      <c r="N27">
        <f>'rockfish harvests'!P27</f>
        <v>681.09032990436276</v>
      </c>
      <c r="Q27" s="13" t="e">
        <f>#REF!*M27</f>
        <v>#REF!</v>
      </c>
      <c r="R27" s="14" t="e">
        <f>(M27^2)*#REF!+(#REF!^2)*N27-(#REF!*N27)</f>
        <v>#REF!</v>
      </c>
      <c r="S27" t="e">
        <f t="shared" si="5"/>
        <v>#REF!</v>
      </c>
      <c r="T27" s="6" t="e">
        <f t="shared" si="6"/>
        <v>#REF!</v>
      </c>
      <c r="V27" s="13" t="e">
        <f t="shared" si="2"/>
        <v>#REF!</v>
      </c>
      <c r="W27" t="e">
        <f t="shared" si="2"/>
        <v>#REF!</v>
      </c>
      <c r="X27" t="e">
        <f t="shared" si="7"/>
        <v>#REF!</v>
      </c>
      <c r="Y27" s="6" t="e">
        <f t="shared" si="8"/>
        <v>#REF!</v>
      </c>
    </row>
    <row r="28" spans="1:25" hidden="1" x14ac:dyDescent="0.25">
      <c r="A28" t="str">
        <f>'rockfish harvests'!A28</f>
        <v>SC</v>
      </c>
      <c r="B28">
        <f>'rockfish harvests'!B28</f>
        <v>1999</v>
      </c>
      <c r="C28" t="str">
        <f>'rockfish harvests'!C28</f>
        <v>WKMA</v>
      </c>
      <c r="D28">
        <f>'rockfish harvests'!D28</f>
        <v>228</v>
      </c>
      <c r="E28">
        <f>'YE harvest'!E29</f>
        <v>5</v>
      </c>
      <c r="F28" s="38"/>
      <c r="G28" s="39"/>
      <c r="H28" s="13">
        <f t="shared" si="12"/>
        <v>0</v>
      </c>
      <c r="I28">
        <f t="shared" si="1"/>
        <v>0</v>
      </c>
      <c r="J28">
        <f t="shared" si="3"/>
        <v>0</v>
      </c>
      <c r="K28" s="6">
        <f t="shared" si="4"/>
        <v>0</v>
      </c>
      <c r="M28" s="2">
        <f>'rockfish harvests'!O28</f>
        <v>65.760444250355874</v>
      </c>
      <c r="N28">
        <f>'rockfish harvests'!P28</f>
        <v>1616.4079487649926</v>
      </c>
      <c r="Q28" s="13" t="e">
        <f>#REF!*M28</f>
        <v>#REF!</v>
      </c>
      <c r="R28" s="14" t="e">
        <f>(M28^2)*#REF!+(#REF!^2)*N28-(#REF!*N28)</f>
        <v>#REF!</v>
      </c>
      <c r="S28" t="e">
        <f t="shared" si="5"/>
        <v>#REF!</v>
      </c>
      <c r="T28" s="6" t="e">
        <f t="shared" si="6"/>
        <v>#REF!</v>
      </c>
      <c r="V28" s="13" t="e">
        <f t="shared" si="2"/>
        <v>#REF!</v>
      </c>
      <c r="W28" t="e">
        <f t="shared" si="2"/>
        <v>#REF!</v>
      </c>
      <c r="X28" t="e">
        <f t="shared" si="7"/>
        <v>#REF!</v>
      </c>
      <c r="Y28" s="6" t="e">
        <f t="shared" si="8"/>
        <v>#REF!</v>
      </c>
    </row>
    <row r="29" spans="1:25" hidden="1" x14ac:dyDescent="0.25">
      <c r="A29" t="str">
        <f>'rockfish harvests'!A29</f>
        <v>SC</v>
      </c>
      <c r="B29">
        <f>'rockfish harvests'!B29</f>
        <v>2000</v>
      </c>
      <c r="C29" t="str">
        <f>'rockfish harvests'!C29</f>
        <v>WKMA</v>
      </c>
      <c r="D29">
        <f>'rockfish harvests'!D29</f>
        <v>386</v>
      </c>
      <c r="E29">
        <f>'YE harvest'!E30</f>
        <v>78</v>
      </c>
      <c r="F29" s="38"/>
      <c r="G29" s="39"/>
      <c r="H29" s="13">
        <f t="shared" si="12"/>
        <v>0</v>
      </c>
      <c r="I29">
        <f t="shared" si="1"/>
        <v>0</v>
      </c>
      <c r="J29">
        <f t="shared" si="3"/>
        <v>0</v>
      </c>
      <c r="K29" s="6">
        <f t="shared" si="4"/>
        <v>0</v>
      </c>
      <c r="M29" s="2">
        <f>'rockfish harvests'!O29</f>
        <v>111.33127842384812</v>
      </c>
      <c r="N29">
        <f>'rockfish harvests'!P29</f>
        <v>4632.9316469334572</v>
      </c>
      <c r="Q29" s="13" t="e">
        <f>#REF!*M29</f>
        <v>#REF!</v>
      </c>
      <c r="R29" s="14" t="e">
        <f>(M29^2)*#REF!+(#REF!^2)*N29-(#REF!*N29)</f>
        <v>#REF!</v>
      </c>
      <c r="S29" t="e">
        <f t="shared" si="5"/>
        <v>#REF!</v>
      </c>
      <c r="T29" s="6" t="e">
        <f t="shared" si="6"/>
        <v>#REF!</v>
      </c>
      <c r="V29" s="13" t="e">
        <f t="shared" si="2"/>
        <v>#REF!</v>
      </c>
      <c r="W29" t="e">
        <f t="shared" si="2"/>
        <v>#REF!</v>
      </c>
      <c r="X29" t="e">
        <f t="shared" si="7"/>
        <v>#REF!</v>
      </c>
      <c r="Y29" s="6" t="e">
        <f t="shared" si="8"/>
        <v>#REF!</v>
      </c>
    </row>
    <row r="30" spans="1:25" hidden="1" x14ac:dyDescent="0.25">
      <c r="A30" t="str">
        <f>'rockfish harvests'!A30</f>
        <v>SC</v>
      </c>
      <c r="B30">
        <f>'rockfish harvests'!B30</f>
        <v>2001</v>
      </c>
      <c r="C30" t="str">
        <f>'rockfish harvests'!C30</f>
        <v>WKMA</v>
      </c>
      <c r="D30">
        <f>'rockfish harvests'!D30</f>
        <v>1182</v>
      </c>
      <c r="E30">
        <f>'YE harvest'!E31</f>
        <v>24</v>
      </c>
      <c r="F30" s="38"/>
      <c r="G30" s="39"/>
      <c r="H30" s="13">
        <f t="shared" si="12"/>
        <v>0</v>
      </c>
      <c r="I30">
        <f t="shared" si="1"/>
        <v>0</v>
      </c>
      <c r="J30">
        <f t="shared" si="3"/>
        <v>0</v>
      </c>
      <c r="K30" s="6">
        <f t="shared" si="4"/>
        <v>0</v>
      </c>
      <c r="M30" s="2">
        <f>'rockfish harvests'!O30</f>
        <v>340.91598729789757</v>
      </c>
      <c r="N30">
        <f>'rockfish harvests'!P30</f>
        <v>43442.642717188777</v>
      </c>
      <c r="Q30" s="13" t="e">
        <f>#REF!*M30</f>
        <v>#REF!</v>
      </c>
      <c r="R30" s="14" t="e">
        <f>(M30^2)*#REF!+(#REF!^2)*N30-(#REF!*N30)</f>
        <v>#REF!</v>
      </c>
      <c r="S30" t="e">
        <f t="shared" si="5"/>
        <v>#REF!</v>
      </c>
      <c r="T30" s="6" t="e">
        <f t="shared" si="6"/>
        <v>#REF!</v>
      </c>
      <c r="V30" s="13" t="e">
        <f t="shared" si="2"/>
        <v>#REF!</v>
      </c>
      <c r="W30" t="e">
        <f t="shared" si="2"/>
        <v>#REF!</v>
      </c>
      <c r="X30" t="e">
        <f t="shared" si="7"/>
        <v>#REF!</v>
      </c>
      <c r="Y30" s="6" t="e">
        <f t="shared" si="8"/>
        <v>#REF!</v>
      </c>
    </row>
    <row r="31" spans="1:25" hidden="1" x14ac:dyDescent="0.25">
      <c r="A31" t="str">
        <f>'rockfish harvests'!A31</f>
        <v>SC</v>
      </c>
      <c r="B31">
        <f>'rockfish harvests'!B31</f>
        <v>2002</v>
      </c>
      <c r="C31" t="str">
        <f>'rockfish harvests'!C31</f>
        <v>WKMA</v>
      </c>
      <c r="D31">
        <f>'rockfish harvests'!D31</f>
        <v>880</v>
      </c>
      <c r="E31">
        <f>'YE harvest'!E32</f>
        <v>69</v>
      </c>
      <c r="F31" s="38"/>
      <c r="G31" s="39"/>
      <c r="H31" s="13">
        <f t="shared" si="12"/>
        <v>0</v>
      </c>
      <c r="I31">
        <f t="shared" si="1"/>
        <v>0</v>
      </c>
      <c r="J31">
        <f t="shared" si="3"/>
        <v>0</v>
      </c>
      <c r="K31" s="6">
        <f t="shared" si="4"/>
        <v>0</v>
      </c>
      <c r="M31" s="2">
        <f>'rockfish harvests'!O31</f>
        <v>253.8122409662858</v>
      </c>
      <c r="N31">
        <f>'rockfish harvests'!P31</f>
        <v>24079.453591943871</v>
      </c>
      <c r="Q31" s="13" t="e">
        <f>#REF!*M31</f>
        <v>#REF!</v>
      </c>
      <c r="R31" s="14" t="e">
        <f>(M31^2)*#REF!+(#REF!^2)*N31-(#REF!*N31)</f>
        <v>#REF!</v>
      </c>
      <c r="S31" t="e">
        <f t="shared" si="5"/>
        <v>#REF!</v>
      </c>
      <c r="T31" s="6" t="e">
        <f t="shared" si="6"/>
        <v>#REF!</v>
      </c>
      <c r="V31" s="13" t="e">
        <f t="shared" si="2"/>
        <v>#REF!</v>
      </c>
      <c r="W31" t="e">
        <f t="shared" si="2"/>
        <v>#REF!</v>
      </c>
      <c r="X31" t="e">
        <f t="shared" si="7"/>
        <v>#REF!</v>
      </c>
      <c r="Y31" s="6" t="e">
        <f t="shared" si="8"/>
        <v>#REF!</v>
      </c>
    </row>
    <row r="32" spans="1:25" hidden="1" x14ac:dyDescent="0.25">
      <c r="A32" t="str">
        <f>'rockfish harvests'!A32</f>
        <v>SC</v>
      </c>
      <c r="B32">
        <f>'rockfish harvests'!B32</f>
        <v>2003</v>
      </c>
      <c r="C32" t="str">
        <f>'rockfish harvests'!C32</f>
        <v>WKMA</v>
      </c>
      <c r="D32">
        <f>'rockfish harvests'!D32</f>
        <v>1107</v>
      </c>
      <c r="E32">
        <f>'YE harvest'!E33</f>
        <v>149</v>
      </c>
      <c r="F32" s="38"/>
      <c r="G32" s="39"/>
      <c r="H32" s="13">
        <f t="shared" si="12"/>
        <v>0</v>
      </c>
      <c r="I32">
        <f t="shared" si="1"/>
        <v>0</v>
      </c>
      <c r="J32">
        <f t="shared" si="3"/>
        <v>0</v>
      </c>
      <c r="K32" s="6">
        <f t="shared" si="4"/>
        <v>0</v>
      </c>
      <c r="M32" s="2">
        <f>'rockfish harvests'!O32</f>
        <v>319.28426221554378</v>
      </c>
      <c r="N32">
        <f>'rockfish harvests'!P32</f>
        <v>38104.522630157575</v>
      </c>
      <c r="Q32" s="13" t="e">
        <f>#REF!*M32</f>
        <v>#REF!</v>
      </c>
      <c r="R32" s="14" t="e">
        <f>(M32^2)*#REF!+(#REF!^2)*N32-(#REF!*N32)</f>
        <v>#REF!</v>
      </c>
      <c r="S32" t="e">
        <f t="shared" si="5"/>
        <v>#REF!</v>
      </c>
      <c r="T32" s="6" t="e">
        <f t="shared" si="6"/>
        <v>#REF!</v>
      </c>
      <c r="V32" s="13" t="e">
        <f t="shared" si="2"/>
        <v>#REF!</v>
      </c>
      <c r="W32" t="e">
        <f t="shared" si="2"/>
        <v>#REF!</v>
      </c>
      <c r="X32" t="e">
        <f t="shared" si="7"/>
        <v>#REF!</v>
      </c>
      <c r="Y32" s="6" t="e">
        <f t="shared" si="8"/>
        <v>#REF!</v>
      </c>
    </row>
    <row r="33" spans="1:25" hidden="1" x14ac:dyDescent="0.25">
      <c r="A33" t="str">
        <f>'rockfish harvests'!A33</f>
        <v>SC</v>
      </c>
      <c r="B33">
        <f>'rockfish harvests'!B33</f>
        <v>2004</v>
      </c>
      <c r="C33" t="str">
        <f>'rockfish harvests'!C33</f>
        <v>WKMA</v>
      </c>
      <c r="D33">
        <f>'rockfish harvests'!D33</f>
        <v>810</v>
      </c>
      <c r="E33">
        <f>'YE harvest'!E34</f>
        <v>94</v>
      </c>
      <c r="F33" s="38"/>
      <c r="G33" s="39"/>
      <c r="H33" s="13">
        <f t="shared" si="12"/>
        <v>0</v>
      </c>
      <c r="I33">
        <f t="shared" si="1"/>
        <v>0</v>
      </c>
      <c r="J33">
        <f t="shared" si="3"/>
        <v>0</v>
      </c>
      <c r="K33" s="6">
        <f t="shared" si="4"/>
        <v>0</v>
      </c>
      <c r="M33" s="2">
        <f>'rockfish harvests'!O33</f>
        <v>233.62263088942223</v>
      </c>
      <c r="N33">
        <f>'rockfish harvests'!P33</f>
        <v>20400.993674682817</v>
      </c>
      <c r="Q33" s="13" t="e">
        <f>#REF!*M33</f>
        <v>#REF!</v>
      </c>
      <c r="R33" s="14" t="e">
        <f>(M33^2)*#REF!+(#REF!^2)*N33-(#REF!*N33)</f>
        <v>#REF!</v>
      </c>
      <c r="S33" t="e">
        <f t="shared" si="5"/>
        <v>#REF!</v>
      </c>
      <c r="T33" s="6" t="e">
        <f t="shared" si="6"/>
        <v>#REF!</v>
      </c>
      <c r="V33" s="13" t="e">
        <f t="shared" si="2"/>
        <v>#REF!</v>
      </c>
      <c r="W33" t="e">
        <f t="shared" si="2"/>
        <v>#REF!</v>
      </c>
      <c r="X33" t="e">
        <f t="shared" si="7"/>
        <v>#REF!</v>
      </c>
      <c r="Y33" s="6" t="e">
        <f t="shared" si="8"/>
        <v>#REF!</v>
      </c>
    </row>
    <row r="34" spans="1:25" hidden="1" x14ac:dyDescent="0.25">
      <c r="A34" t="str">
        <f>'rockfish harvests'!A34</f>
        <v>SC</v>
      </c>
      <c r="B34">
        <f>'rockfish harvests'!B34</f>
        <v>2005</v>
      </c>
      <c r="C34" t="str">
        <f>'rockfish harvests'!C34</f>
        <v>WKMA</v>
      </c>
      <c r="D34">
        <f>'rockfish harvests'!D34</f>
        <v>1266</v>
      </c>
      <c r="E34">
        <f>'YE harvest'!E35</f>
        <v>133</v>
      </c>
      <c r="F34" s="38"/>
      <c r="G34" s="39"/>
      <c r="H34" s="13">
        <f t="shared" si="12"/>
        <v>0</v>
      </c>
      <c r="I34">
        <f t="shared" si="1"/>
        <v>0</v>
      </c>
      <c r="J34">
        <f t="shared" si="3"/>
        <v>0</v>
      </c>
      <c r="K34" s="6">
        <f t="shared" si="4"/>
        <v>0</v>
      </c>
      <c r="M34" s="2">
        <f>'rockfish harvests'!O34</f>
        <v>365.14351939013386</v>
      </c>
      <c r="N34">
        <f>'rockfish harvests'!P34</f>
        <v>49836.633162719001</v>
      </c>
      <c r="Q34" s="13" t="e">
        <f>#REF!*M34</f>
        <v>#REF!</v>
      </c>
      <c r="R34" s="14" t="e">
        <f>(M34^2)*#REF!+(#REF!^2)*N34-(#REF!*N34)</f>
        <v>#REF!</v>
      </c>
      <c r="S34" t="e">
        <f t="shared" si="5"/>
        <v>#REF!</v>
      </c>
      <c r="T34" s="6" t="e">
        <f t="shared" si="6"/>
        <v>#REF!</v>
      </c>
      <c r="V34" s="13" t="e">
        <f t="shared" si="2"/>
        <v>#REF!</v>
      </c>
      <c r="W34" t="e">
        <f t="shared" si="2"/>
        <v>#REF!</v>
      </c>
      <c r="X34" t="e">
        <f t="shared" si="7"/>
        <v>#REF!</v>
      </c>
      <c r="Y34" s="6" t="e">
        <f t="shared" si="8"/>
        <v>#REF!</v>
      </c>
    </row>
    <row r="35" spans="1:25" hidden="1" x14ac:dyDescent="0.25">
      <c r="A35" t="str">
        <f>'rockfish harvests'!A35</f>
        <v>SC</v>
      </c>
      <c r="B35">
        <f>'rockfish harvests'!B35</f>
        <v>2006</v>
      </c>
      <c r="C35" t="str">
        <f>'rockfish harvests'!C35</f>
        <v>WKMA</v>
      </c>
      <c r="D35">
        <f>'rockfish harvests'!D35</f>
        <v>737</v>
      </c>
      <c r="E35">
        <f>'YE harvest'!E36</f>
        <v>155</v>
      </c>
      <c r="H35" s="13" t="e">
        <f>#REF!</f>
        <v>#REF!</v>
      </c>
      <c r="I35">
        <f t="shared" si="1"/>
        <v>0</v>
      </c>
      <c r="J35">
        <f t="shared" si="3"/>
        <v>0</v>
      </c>
      <c r="K35" s="6">
        <f t="shared" si="4"/>
        <v>0</v>
      </c>
      <c r="M35" s="2">
        <f>'rockfish harvests'!O35</f>
        <v>212.56775180926445</v>
      </c>
      <c r="N35">
        <f>'rockfish harvests'!P35</f>
        <v>16889.47924597438</v>
      </c>
      <c r="Q35" s="13" t="e">
        <f>#REF!*M35</f>
        <v>#REF!</v>
      </c>
      <c r="R35" s="14" t="e">
        <f>(M35^2)*#REF!+(#REF!^2)*N35-(#REF!*N35)</f>
        <v>#REF!</v>
      </c>
      <c r="S35" t="e">
        <f t="shared" si="5"/>
        <v>#REF!</v>
      </c>
      <c r="T35" s="6" t="e">
        <f t="shared" si="6"/>
        <v>#REF!</v>
      </c>
      <c r="V35" s="13" t="e">
        <f t="shared" si="2"/>
        <v>#REF!</v>
      </c>
      <c r="W35" t="e">
        <f t="shared" si="2"/>
        <v>#REF!</v>
      </c>
      <c r="X35" t="e">
        <f t="shared" si="7"/>
        <v>#REF!</v>
      </c>
      <c r="Y35" s="6" t="e">
        <f t="shared" si="8"/>
        <v>#REF!</v>
      </c>
    </row>
    <row r="36" spans="1:25" hidden="1" x14ac:dyDescent="0.25">
      <c r="A36" t="str">
        <f>'rockfish harvests'!A36</f>
        <v>SC</v>
      </c>
      <c r="B36">
        <f>'rockfish harvests'!B36</f>
        <v>2007</v>
      </c>
      <c r="C36" t="str">
        <f>'rockfish harvests'!C36</f>
        <v>WKMA</v>
      </c>
      <c r="D36">
        <f>'rockfish harvests'!D36</f>
        <v>1645</v>
      </c>
      <c r="E36">
        <f>'YE harvest'!E37</f>
        <v>337</v>
      </c>
      <c r="H36" s="13" t="e">
        <f>#REF!</f>
        <v>#REF!</v>
      </c>
      <c r="I36">
        <f t="shared" si="1"/>
        <v>0</v>
      </c>
      <c r="J36">
        <f t="shared" si="3"/>
        <v>0</v>
      </c>
      <c r="K36" s="6">
        <f t="shared" si="4"/>
        <v>0</v>
      </c>
      <c r="M36" s="2">
        <f>'rockfish harvests'!O36</f>
        <v>474.45583680629579</v>
      </c>
      <c r="N36">
        <f>'rockfish harvests'!P36</f>
        <v>84142.049852969925</v>
      </c>
      <c r="Q36" s="13" t="e">
        <f>#REF!*M36</f>
        <v>#REF!</v>
      </c>
      <c r="R36" s="14" t="e">
        <f>(M36^2)*#REF!+(#REF!^2)*N36-(#REF!*N36)</f>
        <v>#REF!</v>
      </c>
      <c r="S36" t="e">
        <f t="shared" si="5"/>
        <v>#REF!</v>
      </c>
      <c r="T36" s="6" t="e">
        <f t="shared" si="6"/>
        <v>#REF!</v>
      </c>
      <c r="V36" s="13" t="e">
        <f t="shared" si="2"/>
        <v>#REF!</v>
      </c>
      <c r="W36" t="e">
        <f t="shared" si="2"/>
        <v>#REF!</v>
      </c>
      <c r="X36" t="e">
        <f t="shared" si="7"/>
        <v>#REF!</v>
      </c>
      <c r="Y36" s="6" t="e">
        <f t="shared" si="8"/>
        <v>#REF!</v>
      </c>
    </row>
    <row r="37" spans="1:25" hidden="1" x14ac:dyDescent="0.25">
      <c r="A37" t="str">
        <f>'rockfish harvests'!A37</f>
        <v>SC</v>
      </c>
      <c r="B37">
        <f>'rockfish harvests'!B37</f>
        <v>2008</v>
      </c>
      <c r="C37" t="str">
        <f>'rockfish harvests'!C37</f>
        <v>WKMA</v>
      </c>
      <c r="D37">
        <f>'rockfish harvests'!D37</f>
        <v>1196</v>
      </c>
      <c r="E37">
        <f>'YE harvest'!E38</f>
        <v>296</v>
      </c>
      <c r="H37" s="13" t="e">
        <f>#REF!</f>
        <v>#REF!</v>
      </c>
      <c r="I37">
        <f t="shared" si="1"/>
        <v>0</v>
      </c>
      <c r="J37">
        <f t="shared" si="3"/>
        <v>0</v>
      </c>
      <c r="K37" s="6">
        <f t="shared" si="4"/>
        <v>0</v>
      </c>
      <c r="M37" s="2">
        <f>'rockfish harvests'!O37</f>
        <v>344.95390931327029</v>
      </c>
      <c r="N37">
        <f>'rockfish harvests'!P37</f>
        <v>44477.835342425082</v>
      </c>
      <c r="Q37" s="13" t="e">
        <f>#REF!*M37</f>
        <v>#REF!</v>
      </c>
      <c r="R37" s="14" t="e">
        <f>(M37^2)*#REF!+(#REF!^2)*N37-(#REF!*N37)</f>
        <v>#REF!</v>
      </c>
      <c r="S37" t="e">
        <f t="shared" si="5"/>
        <v>#REF!</v>
      </c>
      <c r="T37" s="6" t="e">
        <f t="shared" si="6"/>
        <v>#REF!</v>
      </c>
      <c r="V37" s="13" t="e">
        <f t="shared" si="2"/>
        <v>#REF!</v>
      </c>
      <c r="W37" t="e">
        <f t="shared" si="2"/>
        <v>#REF!</v>
      </c>
      <c r="X37" t="e">
        <f t="shared" si="7"/>
        <v>#REF!</v>
      </c>
      <c r="Y37" s="6" t="e">
        <f t="shared" si="8"/>
        <v>#REF!</v>
      </c>
    </row>
    <row r="38" spans="1:25" hidden="1" x14ac:dyDescent="0.25">
      <c r="A38" t="str">
        <f>'rockfish harvests'!A38</f>
        <v>SC</v>
      </c>
      <c r="B38">
        <f>'rockfish harvests'!B38</f>
        <v>2009</v>
      </c>
      <c r="C38" t="str">
        <f>'rockfish harvests'!C38</f>
        <v>WKMA</v>
      </c>
      <c r="D38">
        <f>'rockfish harvests'!D38</f>
        <v>1849</v>
      </c>
      <c r="E38">
        <f>'YE harvest'!E39</f>
        <v>332</v>
      </c>
      <c r="H38" s="13" t="e">
        <f>#REF!</f>
        <v>#REF!</v>
      </c>
      <c r="I38">
        <f t="shared" si="1"/>
        <v>0</v>
      </c>
      <c r="J38">
        <f t="shared" si="3"/>
        <v>0</v>
      </c>
      <c r="K38" s="6">
        <f t="shared" si="4"/>
        <v>0</v>
      </c>
      <c r="M38" s="2">
        <f>'rockfish harvests'!O38</f>
        <v>533.29412903029834</v>
      </c>
      <c r="N38">
        <f>'rockfish harvests'!P38</f>
        <v>106305.34609967883</v>
      </c>
      <c r="Q38" s="13" t="e">
        <f>#REF!*M38</f>
        <v>#REF!</v>
      </c>
      <c r="R38" s="14" t="e">
        <f>(M38^2)*#REF!+(#REF!^2)*N38-(#REF!*N38)</f>
        <v>#REF!</v>
      </c>
      <c r="S38" t="e">
        <f t="shared" si="5"/>
        <v>#REF!</v>
      </c>
      <c r="T38" s="6" t="e">
        <f t="shared" si="6"/>
        <v>#REF!</v>
      </c>
      <c r="V38" s="13" t="e">
        <f t="shared" si="2"/>
        <v>#REF!</v>
      </c>
      <c r="W38" t="e">
        <f t="shared" si="2"/>
        <v>#REF!</v>
      </c>
      <c r="X38" t="e">
        <f t="shared" si="7"/>
        <v>#REF!</v>
      </c>
      <c r="Y38" s="6" t="e">
        <f t="shared" si="8"/>
        <v>#REF!</v>
      </c>
    </row>
    <row r="39" spans="1:25" hidden="1" x14ac:dyDescent="0.25">
      <c r="A39" t="str">
        <f>'rockfish harvests'!A39</f>
        <v>SC</v>
      </c>
      <c r="B39">
        <f>'rockfish harvests'!B39</f>
        <v>2010</v>
      </c>
      <c r="C39" t="str">
        <f>'rockfish harvests'!C39</f>
        <v>WKMA</v>
      </c>
      <c r="D39">
        <f>'rockfish harvests'!D39</f>
        <v>1266</v>
      </c>
      <c r="E39">
        <f>'YE harvest'!E40</f>
        <v>473</v>
      </c>
      <c r="H39" s="13" t="e">
        <f>#REF!</f>
        <v>#REF!</v>
      </c>
      <c r="I39">
        <f t="shared" si="1"/>
        <v>0</v>
      </c>
      <c r="J39">
        <f t="shared" si="3"/>
        <v>0</v>
      </c>
      <c r="K39" s="6">
        <f t="shared" si="4"/>
        <v>0</v>
      </c>
      <c r="M39" s="2">
        <f>'rockfish harvests'!O39</f>
        <v>365.14351939013386</v>
      </c>
      <c r="N39">
        <f>'rockfish harvests'!P39</f>
        <v>49836.633162719001</v>
      </c>
      <c r="Q39" s="13" t="e">
        <f>#REF!*M39</f>
        <v>#REF!</v>
      </c>
      <c r="R39" s="14" t="e">
        <f>(M39^2)*#REF!+(#REF!^2)*N39-(#REF!*N39)</f>
        <v>#REF!</v>
      </c>
      <c r="S39" t="e">
        <f t="shared" si="5"/>
        <v>#REF!</v>
      </c>
      <c r="T39" s="6" t="e">
        <f t="shared" si="6"/>
        <v>#REF!</v>
      </c>
      <c r="V39" s="13" t="e">
        <f t="shared" si="2"/>
        <v>#REF!</v>
      </c>
      <c r="W39" t="e">
        <f t="shared" si="2"/>
        <v>#REF!</v>
      </c>
      <c r="X39" t="e">
        <f t="shared" si="7"/>
        <v>#REF!</v>
      </c>
      <c r="Y39" s="6" t="e">
        <f t="shared" si="8"/>
        <v>#REF!</v>
      </c>
    </row>
    <row r="40" spans="1:25" hidden="1" x14ac:dyDescent="0.25">
      <c r="A40" t="str">
        <f>'rockfish harvests'!A40</f>
        <v>SC</v>
      </c>
      <c r="B40">
        <f>'rockfish harvests'!B40</f>
        <v>2011</v>
      </c>
      <c r="C40" t="str">
        <f>'rockfish harvests'!C40</f>
        <v>WKMA</v>
      </c>
      <c r="D40">
        <f>'rockfish harvests'!D40</f>
        <v>1366</v>
      </c>
      <c r="E40">
        <f>'YE harvest'!E41</f>
        <v>249</v>
      </c>
      <c r="H40" s="13" t="e">
        <f>#REF!</f>
        <v>#REF!</v>
      </c>
      <c r="I40">
        <f t="shared" si="1"/>
        <v>0</v>
      </c>
      <c r="J40">
        <f t="shared" si="3"/>
        <v>0</v>
      </c>
      <c r="K40" s="6">
        <f t="shared" si="4"/>
        <v>0</v>
      </c>
      <c r="M40" s="2">
        <f>'rockfish harvests'!O40</f>
        <v>321.1685166498487</v>
      </c>
      <c r="N40">
        <f>'rockfish harvests'!P40</f>
        <v>51469.344301835146</v>
      </c>
      <c r="Q40" s="13" t="e">
        <f>#REF!*M40</f>
        <v>#REF!</v>
      </c>
      <c r="R40" s="14" t="e">
        <f>(M40^2)*#REF!+(#REF!^2)*N40-(#REF!*N40)</f>
        <v>#REF!</v>
      </c>
      <c r="S40" t="e">
        <f t="shared" si="5"/>
        <v>#REF!</v>
      </c>
      <c r="T40" s="6" t="e">
        <f t="shared" si="6"/>
        <v>#REF!</v>
      </c>
      <c r="V40" s="13" t="e">
        <f t="shared" si="2"/>
        <v>#REF!</v>
      </c>
      <c r="W40" t="e">
        <f t="shared" si="2"/>
        <v>#REF!</v>
      </c>
      <c r="X40" t="e">
        <f t="shared" si="7"/>
        <v>#REF!</v>
      </c>
      <c r="Y40" s="6" t="e">
        <f t="shared" si="8"/>
        <v>#REF!</v>
      </c>
    </row>
    <row r="41" spans="1:25" hidden="1" x14ac:dyDescent="0.25">
      <c r="A41" t="str">
        <f>'rockfish harvests'!A41</f>
        <v>SC</v>
      </c>
      <c r="B41">
        <f>'rockfish harvests'!B41</f>
        <v>2012</v>
      </c>
      <c r="C41" t="str">
        <f>'rockfish harvests'!C41</f>
        <v>WKMA</v>
      </c>
      <c r="D41">
        <f>'rockfish harvests'!D41</f>
        <v>1747</v>
      </c>
      <c r="E41">
        <f>'YE harvest'!E42</f>
        <v>425</v>
      </c>
      <c r="H41" s="13" t="e">
        <f>#REF!</f>
        <v>#REF!</v>
      </c>
      <c r="I41">
        <f t="shared" si="1"/>
        <v>0</v>
      </c>
      <c r="J41">
        <f t="shared" si="3"/>
        <v>0</v>
      </c>
      <c r="K41" s="6">
        <f t="shared" si="4"/>
        <v>0</v>
      </c>
      <c r="M41" s="2">
        <f>'rockfish harvests'!O41</f>
        <v>1124.7026143790849</v>
      </c>
      <c r="N41">
        <f>'rockfish harvests'!P41</f>
        <v>412684.87548151758</v>
      </c>
      <c r="Q41" s="13" t="e">
        <f>#REF!*M41</f>
        <v>#REF!</v>
      </c>
      <c r="R41" s="14" t="e">
        <f>(M41^2)*#REF!+(#REF!^2)*N41-(#REF!*N41)</f>
        <v>#REF!</v>
      </c>
      <c r="S41" t="e">
        <f t="shared" si="5"/>
        <v>#REF!</v>
      </c>
      <c r="T41" s="6" t="e">
        <f t="shared" si="6"/>
        <v>#REF!</v>
      </c>
      <c r="V41" s="13" t="e">
        <f t="shared" si="2"/>
        <v>#REF!</v>
      </c>
      <c r="W41" t="e">
        <f t="shared" si="2"/>
        <v>#REF!</v>
      </c>
      <c r="X41" t="e">
        <f t="shared" si="7"/>
        <v>#REF!</v>
      </c>
      <c r="Y41" s="6" t="e">
        <f t="shared" si="8"/>
        <v>#REF!</v>
      </c>
    </row>
    <row r="42" spans="1:25" hidden="1" x14ac:dyDescent="0.25">
      <c r="A42" t="str">
        <f>'rockfish harvests'!A42</f>
        <v>SC</v>
      </c>
      <c r="B42">
        <f>'rockfish harvests'!B42</f>
        <v>2013</v>
      </c>
      <c r="C42" t="str">
        <f>'rockfish harvests'!C42</f>
        <v>WKMA</v>
      </c>
      <c r="D42">
        <f>'rockfish harvests'!D42</f>
        <v>1983</v>
      </c>
      <c r="E42">
        <f>'YE harvest'!E43</f>
        <v>357</v>
      </c>
      <c r="H42" s="13" t="e">
        <f>#REF!</f>
        <v>#REF!</v>
      </c>
      <c r="I42">
        <f t="shared" si="1"/>
        <v>0</v>
      </c>
      <c r="J42">
        <f t="shared" si="3"/>
        <v>0</v>
      </c>
      <c r="K42" s="6">
        <f t="shared" si="4"/>
        <v>0</v>
      </c>
      <c r="M42" s="2">
        <f>'rockfish harvests'!O42</f>
        <v>401.95945945945914</v>
      </c>
      <c r="N42">
        <f>'rockfish harvests'!P42</f>
        <v>69446.330827502126</v>
      </c>
      <c r="Q42" s="13" t="e">
        <f>#REF!*M42</f>
        <v>#REF!</v>
      </c>
      <c r="R42" s="14" t="e">
        <f>(M42^2)*#REF!+(#REF!^2)*N42-(#REF!*N42)</f>
        <v>#REF!</v>
      </c>
      <c r="S42" t="e">
        <f t="shared" si="5"/>
        <v>#REF!</v>
      </c>
      <c r="T42" s="6" t="e">
        <f t="shared" si="6"/>
        <v>#REF!</v>
      </c>
      <c r="V42" s="13" t="e">
        <f t="shared" si="2"/>
        <v>#REF!</v>
      </c>
      <c r="W42" t="e">
        <f t="shared" si="2"/>
        <v>#REF!</v>
      </c>
      <c r="X42" t="e">
        <f t="shared" si="7"/>
        <v>#REF!</v>
      </c>
      <c r="Y42" s="6" t="e">
        <f t="shared" si="8"/>
        <v>#REF!</v>
      </c>
    </row>
    <row r="43" spans="1:25" hidden="1" x14ac:dyDescent="0.25">
      <c r="A43" t="str">
        <f>'rockfish harvests'!A43</f>
        <v>SC</v>
      </c>
      <c r="B43">
        <f>'rockfish harvests'!B43</f>
        <v>2014</v>
      </c>
      <c r="C43" t="str">
        <f>'rockfish harvests'!C43</f>
        <v>WKMA</v>
      </c>
      <c r="D43">
        <f>'rockfish harvests'!D43</f>
        <v>2396</v>
      </c>
      <c r="E43">
        <f>'YE harvest'!E44</f>
        <v>639</v>
      </c>
      <c r="H43" s="13" t="e">
        <f>#REF!</f>
        <v>#REF!</v>
      </c>
      <c r="I43">
        <f t="shared" si="1"/>
        <v>0</v>
      </c>
      <c r="J43">
        <f t="shared" si="3"/>
        <v>0</v>
      </c>
      <c r="K43" s="6">
        <f t="shared" si="4"/>
        <v>0</v>
      </c>
      <c r="M43" s="2">
        <f>'rockfish harvests'!O43</f>
        <v>806.87092451987473</v>
      </c>
      <c r="N43">
        <f>'rockfish harvests'!P43</f>
        <v>244720.20702808804</v>
      </c>
      <c r="Q43" s="13" t="e">
        <f>#REF!*M43</f>
        <v>#REF!</v>
      </c>
      <c r="R43" s="14" t="e">
        <f>(M43^2)*#REF!+(#REF!^2)*N43-(#REF!*N43)</f>
        <v>#REF!</v>
      </c>
      <c r="S43" t="e">
        <f t="shared" si="5"/>
        <v>#REF!</v>
      </c>
      <c r="T43" s="6" t="e">
        <f t="shared" si="6"/>
        <v>#REF!</v>
      </c>
      <c r="V43" s="13" t="e">
        <f t="shared" si="2"/>
        <v>#REF!</v>
      </c>
      <c r="W43" t="e">
        <f t="shared" si="2"/>
        <v>#REF!</v>
      </c>
      <c r="X43" t="e">
        <f t="shared" si="7"/>
        <v>#REF!</v>
      </c>
      <c r="Y43" s="6" t="e">
        <f t="shared" si="8"/>
        <v>#REF!</v>
      </c>
    </row>
    <row r="44" spans="1:25" hidden="1" x14ac:dyDescent="0.25">
      <c r="A44" t="str">
        <f>'rockfish harvests'!A44</f>
        <v>SC</v>
      </c>
      <c r="B44">
        <f>'rockfish harvests'!B44</f>
        <v>2015</v>
      </c>
      <c r="C44" t="str">
        <f>'rockfish harvests'!C44</f>
        <v>WKMA</v>
      </c>
      <c r="D44">
        <f>'rockfish harvests'!D44</f>
        <v>2031</v>
      </c>
      <c r="E44">
        <f>'YE harvest'!E45</f>
        <v>367</v>
      </c>
      <c r="H44" s="13" t="e">
        <f>#REF!</f>
        <v>#REF!</v>
      </c>
      <c r="I44">
        <f t="shared" si="1"/>
        <v>0</v>
      </c>
      <c r="J44">
        <f t="shared" si="3"/>
        <v>0</v>
      </c>
      <c r="K44" s="6">
        <f t="shared" si="4"/>
        <v>0</v>
      </c>
      <c r="M44" s="2">
        <f>'rockfish harvests'!O44</f>
        <v>924.55105533371352</v>
      </c>
      <c r="N44">
        <f>'rockfish harvests'!P44</f>
        <v>669754.36895301775</v>
      </c>
      <c r="Q44" s="13" t="e">
        <f>#REF!*M44</f>
        <v>#REF!</v>
      </c>
      <c r="R44" s="14" t="e">
        <f>(M44^2)*#REF!+(#REF!^2)*N44-(#REF!*N44)</f>
        <v>#REF!</v>
      </c>
      <c r="S44" t="e">
        <f t="shared" si="5"/>
        <v>#REF!</v>
      </c>
      <c r="T44" s="6" t="e">
        <f t="shared" si="6"/>
        <v>#REF!</v>
      </c>
      <c r="V44" s="13" t="e">
        <f t="shared" si="2"/>
        <v>#REF!</v>
      </c>
      <c r="W44" t="e">
        <f t="shared" si="2"/>
        <v>#REF!</v>
      </c>
      <c r="X44" t="e">
        <f t="shared" si="7"/>
        <v>#REF!</v>
      </c>
      <c r="Y44" s="6" t="e">
        <f t="shared" si="8"/>
        <v>#REF!</v>
      </c>
    </row>
    <row r="45" spans="1:25" hidden="1" x14ac:dyDescent="0.25">
      <c r="A45" t="str">
        <f>'rockfish harvests'!A45</f>
        <v>SC</v>
      </c>
      <c r="B45">
        <f>'rockfish harvests'!B45</f>
        <v>2016</v>
      </c>
      <c r="C45" t="str">
        <f>'rockfish harvests'!C45</f>
        <v>WKMA</v>
      </c>
      <c r="D45">
        <f>'rockfish harvests'!D45</f>
        <v>3337</v>
      </c>
      <c r="E45">
        <f>'YE harvest'!E46</f>
        <v>693</v>
      </c>
      <c r="H45" s="13" t="e">
        <f>#REF!</f>
        <v>#REF!</v>
      </c>
      <c r="I45">
        <f t="shared" si="1"/>
        <v>0</v>
      </c>
      <c r="J45">
        <f t="shared" si="3"/>
        <v>0</v>
      </c>
      <c r="K45" s="6">
        <f t="shared" si="4"/>
        <v>0</v>
      </c>
      <c r="M45" s="2">
        <f>'rockfish harvests'!O45</f>
        <v>295.12697145138736</v>
      </c>
      <c r="N45">
        <f>'rockfish harvests'!P45</f>
        <v>25370.25919469192</v>
      </c>
      <c r="Q45" s="13" t="e">
        <f>#REF!*M45</f>
        <v>#REF!</v>
      </c>
      <c r="R45" s="14" t="e">
        <f>(M45^2)*#REF!+(#REF!^2)*N45-(#REF!*N45)</f>
        <v>#REF!</v>
      </c>
      <c r="S45" t="e">
        <f t="shared" si="5"/>
        <v>#REF!</v>
      </c>
      <c r="T45" s="6" t="e">
        <f t="shared" si="6"/>
        <v>#REF!</v>
      </c>
      <c r="V45" s="13" t="e">
        <f t="shared" si="2"/>
        <v>#REF!</v>
      </c>
      <c r="W45" t="e">
        <f t="shared" si="2"/>
        <v>#REF!</v>
      </c>
      <c r="X45" t="e">
        <f t="shared" si="7"/>
        <v>#REF!</v>
      </c>
      <c r="Y45" s="6" t="e">
        <f t="shared" si="8"/>
        <v>#REF!</v>
      </c>
    </row>
    <row r="46" spans="1:25" hidden="1" x14ac:dyDescent="0.25">
      <c r="A46" t="str">
        <f>'rockfish harvests'!A46</f>
        <v>SC</v>
      </c>
      <c r="B46">
        <f>'rockfish harvests'!B46</f>
        <v>2017</v>
      </c>
      <c r="C46" t="str">
        <f>'rockfish harvests'!C46</f>
        <v>WKMA</v>
      </c>
      <c r="D46">
        <f>'rockfish harvests'!D46</f>
        <v>2899</v>
      </c>
      <c r="E46">
        <f>'YE harvest'!E47</f>
        <v>598</v>
      </c>
      <c r="H46" s="13" t="e">
        <f>#REF!</f>
        <v>#REF!</v>
      </c>
      <c r="I46">
        <f t="shared" si="1"/>
        <v>0</v>
      </c>
      <c r="J46">
        <f t="shared" si="3"/>
        <v>0</v>
      </c>
      <c r="K46" s="6">
        <f t="shared" si="4"/>
        <v>0</v>
      </c>
      <c r="M46" s="2">
        <f>'rockfish harvests'!O46</f>
        <v>997.88339552238813</v>
      </c>
      <c r="N46">
        <f>'rockfish harvests'!P46</f>
        <v>341376.2270959196</v>
      </c>
      <c r="Q46" s="13" t="e">
        <f>#REF!*M46</f>
        <v>#REF!</v>
      </c>
      <c r="R46" s="14" t="e">
        <f>(M46^2)*#REF!+(#REF!^2)*N46-(#REF!*N46)</f>
        <v>#REF!</v>
      </c>
      <c r="S46" t="e">
        <f t="shared" si="5"/>
        <v>#REF!</v>
      </c>
      <c r="T46" s="6" t="e">
        <f t="shared" si="6"/>
        <v>#REF!</v>
      </c>
      <c r="V46" s="13" t="e">
        <f t="shared" si="2"/>
        <v>#REF!</v>
      </c>
      <c r="W46" t="e">
        <f t="shared" si="2"/>
        <v>#REF!</v>
      </c>
      <c r="X46" t="e">
        <f t="shared" si="7"/>
        <v>#REF!</v>
      </c>
      <c r="Y46" s="6" t="e">
        <f t="shared" si="8"/>
        <v>#REF!</v>
      </c>
    </row>
    <row r="47" spans="1:25" hidden="1" x14ac:dyDescent="0.25">
      <c r="A47" t="str">
        <f>'rockfish harvests'!A47</f>
        <v>SC</v>
      </c>
      <c r="B47">
        <f>'rockfish harvests'!B47</f>
        <v>2018</v>
      </c>
      <c r="C47" t="str">
        <f>'rockfish harvests'!C47</f>
        <v>WKMA</v>
      </c>
      <c r="D47">
        <f>'rockfish harvests'!D47</f>
        <v>4291</v>
      </c>
      <c r="E47">
        <f>'YE harvest'!E48</f>
        <v>708</v>
      </c>
      <c r="H47" s="13" t="e">
        <f>#REF!</f>
        <v>#REF!</v>
      </c>
      <c r="I47">
        <f t="shared" si="1"/>
        <v>0</v>
      </c>
      <c r="J47">
        <f t="shared" si="3"/>
        <v>0</v>
      </c>
      <c r="K47" s="6">
        <f t="shared" si="4"/>
        <v>0</v>
      </c>
      <c r="M47" s="2">
        <f>'rockfish harvests'!O47</f>
        <v>688.36627310061613</v>
      </c>
      <c r="N47">
        <f>'rockfish harvests'!P47</f>
        <v>176905.35655507445</v>
      </c>
      <c r="Q47" s="13" t="e">
        <f>#REF!*M47</f>
        <v>#REF!</v>
      </c>
      <c r="R47" s="14" t="e">
        <f>(M47^2)*#REF!+(#REF!^2)*N47-(#REF!*N47)</f>
        <v>#REF!</v>
      </c>
      <c r="S47" t="e">
        <f t="shared" si="5"/>
        <v>#REF!</v>
      </c>
      <c r="T47" s="6" t="e">
        <f t="shared" si="6"/>
        <v>#REF!</v>
      </c>
      <c r="V47" s="13" t="e">
        <f t="shared" si="2"/>
        <v>#REF!</v>
      </c>
      <c r="W47" t="e">
        <f t="shared" si="2"/>
        <v>#REF!</v>
      </c>
      <c r="X47" t="e">
        <f t="shared" si="7"/>
        <v>#REF!</v>
      </c>
      <c r="Y47" s="6" t="e">
        <f t="shared" si="8"/>
        <v>#REF!</v>
      </c>
    </row>
    <row r="48" spans="1:25" hidden="1" x14ac:dyDescent="0.25">
      <c r="A48" t="str">
        <f>'rockfish harvests'!A48</f>
        <v>SC</v>
      </c>
      <c r="B48">
        <f>'rockfish harvests'!B48</f>
        <v>2019</v>
      </c>
      <c r="C48" t="str">
        <f>'rockfish harvests'!C48</f>
        <v>WKMA</v>
      </c>
      <c r="D48">
        <f>'rockfish harvests'!D48</f>
        <v>6954</v>
      </c>
      <c r="E48">
        <f>'YE harvest'!E49</f>
        <v>1310</v>
      </c>
      <c r="I48">
        <f t="shared" ref="I48:I49" si="13">(E48^2)*G48</f>
        <v>0</v>
      </c>
      <c r="J48">
        <f t="shared" ref="J48:J49" si="14">SQRT(I48)</f>
        <v>0</v>
      </c>
      <c r="K48" s="6">
        <f t="shared" ref="K48:K49" si="15">(1.96*J48)</f>
        <v>0</v>
      </c>
      <c r="M48" s="2">
        <f>'rockfish harvests'!O48</f>
        <v>4547.8631178707237</v>
      </c>
      <c r="N48">
        <f>'rockfish harvests'!P48</f>
        <v>3743126.0537553802</v>
      </c>
      <c r="R48" s="14"/>
      <c r="S48"/>
      <c r="T48" s="6"/>
      <c r="Y48" s="6"/>
    </row>
    <row r="49" spans="1:25" hidden="1" x14ac:dyDescent="0.25">
      <c r="A49" t="str">
        <f>'rockfish harvests'!A49</f>
        <v>SC</v>
      </c>
      <c r="B49">
        <f>'rockfish harvests'!B49</f>
        <v>2020</v>
      </c>
      <c r="C49" t="str">
        <f>'rockfish harvests'!C49</f>
        <v>WKMA</v>
      </c>
      <c r="D49">
        <f>'rockfish harvests'!D49</f>
        <v>4035</v>
      </c>
      <c r="E49">
        <f>'YE harvest'!E50</f>
        <v>579</v>
      </c>
      <c r="I49">
        <f t="shared" si="13"/>
        <v>0</v>
      </c>
      <c r="J49">
        <f t="shared" si="14"/>
        <v>0</v>
      </c>
      <c r="K49" s="6">
        <f t="shared" si="15"/>
        <v>0</v>
      </c>
      <c r="M49" s="2">
        <f>'rockfish harvests'!O49</f>
        <v>763.28309305373477</v>
      </c>
      <c r="N49">
        <f>'rockfish harvests'!P49</f>
        <v>145836.37674785985</v>
      </c>
      <c r="R49" s="14"/>
      <c r="S49"/>
      <c r="T49" s="6"/>
      <c r="Y49" s="6"/>
    </row>
    <row r="50" spans="1:25" hidden="1" x14ac:dyDescent="0.25">
      <c r="A50" t="str">
        <f>'rockfish harvests'!A50</f>
        <v>SC</v>
      </c>
      <c r="B50">
        <f>'rockfish harvests'!B50</f>
        <v>2021</v>
      </c>
      <c r="C50" t="str">
        <f>'rockfish harvests'!C50</f>
        <v>WKMA</v>
      </c>
      <c r="D50">
        <f>'rockfish harvests'!D50</f>
        <v>7924</v>
      </c>
      <c r="E50">
        <f>'YE harvest'!E51</f>
        <v>1031</v>
      </c>
      <c r="K50" s="6"/>
      <c r="M50" s="2">
        <f>'rockfish harvests'!O50</f>
        <v>1237.5434476279934</v>
      </c>
      <c r="N50">
        <f>'rockfish harvests'!P50</f>
        <v>260682.47263099358</v>
      </c>
      <c r="R50" s="14"/>
      <c r="S50"/>
      <c r="T50" s="6"/>
      <c r="Y50" s="6"/>
    </row>
    <row r="51" spans="1:25" hidden="1" x14ac:dyDescent="0.25">
      <c r="A51" t="str">
        <f>'rockfish harvests'!A52</f>
        <v>SC</v>
      </c>
      <c r="B51">
        <f>'rockfish harvests'!B52</f>
        <v>1998</v>
      </c>
      <c r="C51" t="str">
        <f>'rockfish harvests'!C52</f>
        <v>SKMA</v>
      </c>
      <c r="D51">
        <f>'rockfish harvests'!D52</f>
        <v>27</v>
      </c>
      <c r="E51">
        <f>'YE harvest'!E53</f>
        <v>5</v>
      </c>
      <c r="F51" s="38"/>
      <c r="G51" s="39"/>
      <c r="H51" s="13">
        <f t="shared" ref="H51:H58" si="16">E51*F51</f>
        <v>0</v>
      </c>
      <c r="I51">
        <f t="shared" si="1"/>
        <v>0</v>
      </c>
      <c r="J51">
        <f t="shared" si="3"/>
        <v>0</v>
      </c>
      <c r="K51" s="6">
        <f t="shared" si="4"/>
        <v>0</v>
      </c>
      <c r="M51" s="2">
        <f>'rockfish harvests'!O52</f>
        <v>7.9215011476053405</v>
      </c>
      <c r="N51">
        <f>'rockfish harvests'!P52</f>
        <v>23.019267226088481</v>
      </c>
      <c r="Q51" s="13" t="e">
        <f>#REF!*M51</f>
        <v>#REF!</v>
      </c>
      <c r="R51" s="14" t="e">
        <f>(M51^2)*#REF!+(#REF!^2)*N51-(#REF!*N51)</f>
        <v>#REF!</v>
      </c>
      <c r="S51" t="e">
        <f t="shared" si="5"/>
        <v>#REF!</v>
      </c>
      <c r="T51" s="6" t="e">
        <f t="shared" si="6"/>
        <v>#REF!</v>
      </c>
      <c r="V51" s="13" t="e">
        <f t="shared" si="2"/>
        <v>#REF!</v>
      </c>
      <c r="W51" t="e">
        <f t="shared" si="2"/>
        <v>#REF!</v>
      </c>
      <c r="X51" t="e">
        <f t="shared" si="7"/>
        <v>#REF!</v>
      </c>
      <c r="Y51" s="6" t="e">
        <f t="shared" si="8"/>
        <v>#REF!</v>
      </c>
    </row>
    <row r="52" spans="1:25" hidden="1" x14ac:dyDescent="0.25">
      <c r="A52" t="str">
        <f>'rockfish harvests'!A53</f>
        <v>SC</v>
      </c>
      <c r="B52">
        <f>'rockfish harvests'!B53</f>
        <v>1999</v>
      </c>
      <c r="C52" t="str">
        <f>'rockfish harvests'!C53</f>
        <v>SKMA</v>
      </c>
      <c r="D52">
        <f>'rockfish harvests'!D53</f>
        <v>88</v>
      </c>
      <c r="E52">
        <f>'YE harvest'!E54</f>
        <v>15</v>
      </c>
      <c r="F52" s="38"/>
      <c r="G52" s="39"/>
      <c r="H52" s="13">
        <f t="shared" si="16"/>
        <v>0</v>
      </c>
      <c r="I52">
        <f t="shared" si="1"/>
        <v>0</v>
      </c>
      <c r="J52">
        <f t="shared" si="3"/>
        <v>0</v>
      </c>
      <c r="K52" s="6">
        <f t="shared" si="4"/>
        <v>0</v>
      </c>
      <c r="M52" s="2">
        <f>'rockfish harvests'!O53</f>
        <v>25.818225962565563</v>
      </c>
      <c r="N52">
        <f>'rockfish harvests'!P53</f>
        <v>244.52840246752979</v>
      </c>
      <c r="Q52" s="13" t="e">
        <f>#REF!*M52</f>
        <v>#REF!</v>
      </c>
      <c r="R52" s="14" t="e">
        <f>(M52^2)*#REF!+(#REF!^2)*N52-(#REF!*N52)</f>
        <v>#REF!</v>
      </c>
      <c r="S52" t="e">
        <f t="shared" si="5"/>
        <v>#REF!</v>
      </c>
      <c r="T52" s="6" t="e">
        <f t="shared" si="6"/>
        <v>#REF!</v>
      </c>
      <c r="V52" s="13" t="e">
        <f t="shared" si="2"/>
        <v>#REF!</v>
      </c>
      <c r="W52" t="e">
        <f t="shared" si="2"/>
        <v>#REF!</v>
      </c>
      <c r="X52" t="e">
        <f t="shared" si="7"/>
        <v>#REF!</v>
      </c>
      <c r="Y52" s="6" t="e">
        <f t="shared" si="8"/>
        <v>#REF!</v>
      </c>
    </row>
    <row r="53" spans="1:25" hidden="1" x14ac:dyDescent="0.25">
      <c r="A53" t="str">
        <f>'rockfish harvests'!A54</f>
        <v>SC</v>
      </c>
      <c r="B53">
        <f>'rockfish harvests'!B54</f>
        <v>2000</v>
      </c>
      <c r="C53" t="str">
        <f>'rockfish harvests'!C54</f>
        <v>SKMA</v>
      </c>
      <c r="D53">
        <f>'rockfish harvests'!D54</f>
        <v>65</v>
      </c>
      <c r="E53">
        <f>'YE harvest'!E55</f>
        <v>60</v>
      </c>
      <c r="F53" s="38"/>
      <c r="G53" s="39"/>
      <c r="H53" s="13">
        <f t="shared" si="16"/>
        <v>0</v>
      </c>
      <c r="I53">
        <f t="shared" si="1"/>
        <v>0</v>
      </c>
      <c r="J53">
        <f t="shared" si="3"/>
        <v>0</v>
      </c>
      <c r="K53" s="6">
        <f t="shared" si="4"/>
        <v>0</v>
      </c>
      <c r="M53" s="2">
        <f>'rockfish harvests'!O54</f>
        <v>19.070280540531371</v>
      </c>
      <c r="N53">
        <f>'rockfish harvests'!P54</f>
        <v>133.41070511690512</v>
      </c>
      <c r="Q53" s="13" t="e">
        <f>#REF!*M53</f>
        <v>#REF!</v>
      </c>
      <c r="R53" s="14" t="e">
        <f>(M53^2)*#REF!+(#REF!^2)*N53-(#REF!*N53)</f>
        <v>#REF!</v>
      </c>
      <c r="S53" t="e">
        <f t="shared" si="5"/>
        <v>#REF!</v>
      </c>
      <c r="T53" s="6" t="e">
        <f t="shared" si="6"/>
        <v>#REF!</v>
      </c>
      <c r="V53" s="13" t="e">
        <f t="shared" si="2"/>
        <v>#REF!</v>
      </c>
      <c r="W53" t="e">
        <f t="shared" si="2"/>
        <v>#REF!</v>
      </c>
      <c r="X53" t="e">
        <f t="shared" si="7"/>
        <v>#REF!</v>
      </c>
      <c r="Y53" s="6" t="e">
        <f t="shared" si="8"/>
        <v>#REF!</v>
      </c>
    </row>
    <row r="54" spans="1:25" hidden="1" x14ac:dyDescent="0.25">
      <c r="A54" t="str">
        <f>'rockfish harvests'!A55</f>
        <v>SC</v>
      </c>
      <c r="B54">
        <f>'rockfish harvests'!B55</f>
        <v>2001</v>
      </c>
      <c r="C54" t="str">
        <f>'rockfish harvests'!C55</f>
        <v>SKMA</v>
      </c>
      <c r="D54">
        <f>'rockfish harvests'!D55</f>
        <v>27</v>
      </c>
      <c r="E54">
        <f>'YE harvest'!E56</f>
        <v>19</v>
      </c>
      <c r="F54" s="38"/>
      <c r="G54" s="39"/>
      <c r="H54" s="13">
        <f t="shared" si="16"/>
        <v>0</v>
      </c>
      <c r="I54">
        <f t="shared" si="1"/>
        <v>0</v>
      </c>
      <c r="J54">
        <f t="shared" si="3"/>
        <v>0</v>
      </c>
      <c r="K54" s="6">
        <f t="shared" si="4"/>
        <v>0</v>
      </c>
      <c r="M54" s="2">
        <f>'rockfish harvests'!O55</f>
        <v>7.9215011476053405</v>
      </c>
      <c r="N54">
        <f>'rockfish harvests'!P55</f>
        <v>23.019267226088481</v>
      </c>
      <c r="Q54" s="13" t="e">
        <f>#REF!*M54</f>
        <v>#REF!</v>
      </c>
      <c r="R54" s="14" t="e">
        <f>(M54^2)*#REF!+(#REF!^2)*N54-(#REF!*N54)</f>
        <v>#REF!</v>
      </c>
      <c r="S54" t="e">
        <f t="shared" si="5"/>
        <v>#REF!</v>
      </c>
      <c r="T54" s="6" t="e">
        <f t="shared" si="6"/>
        <v>#REF!</v>
      </c>
      <c r="V54" s="13" t="e">
        <f t="shared" si="2"/>
        <v>#REF!</v>
      </c>
      <c r="W54" t="e">
        <f t="shared" si="2"/>
        <v>#REF!</v>
      </c>
      <c r="X54" t="e">
        <f t="shared" si="7"/>
        <v>#REF!</v>
      </c>
      <c r="Y54" s="6" t="e">
        <f t="shared" si="8"/>
        <v>#REF!</v>
      </c>
    </row>
    <row r="55" spans="1:25" hidden="1" x14ac:dyDescent="0.25">
      <c r="A55" t="str">
        <f>'rockfish harvests'!A56</f>
        <v>SC</v>
      </c>
      <c r="B55">
        <f>'rockfish harvests'!B56</f>
        <v>2002</v>
      </c>
      <c r="C55" t="str">
        <f>'rockfish harvests'!C56</f>
        <v>SKMA</v>
      </c>
      <c r="D55">
        <f>'rockfish harvests'!D56</f>
        <v>99</v>
      </c>
      <c r="E55">
        <f>'YE harvest'!E57</f>
        <v>11</v>
      </c>
      <c r="F55" s="38"/>
      <c r="G55" s="39"/>
      <c r="H55" s="13">
        <f t="shared" si="16"/>
        <v>0</v>
      </c>
      <c r="I55">
        <f t="shared" si="1"/>
        <v>0</v>
      </c>
      <c r="J55">
        <f t="shared" si="3"/>
        <v>0</v>
      </c>
      <c r="K55" s="6">
        <f t="shared" si="4"/>
        <v>0</v>
      </c>
      <c r="M55" s="2">
        <f>'rockfish harvests'!O56</f>
        <v>29.045504207886239</v>
      </c>
      <c r="N55">
        <f>'rockfish harvests'!P56</f>
        <v>309.48125937296737</v>
      </c>
      <c r="Q55" s="13" t="e">
        <f>#REF!*M55</f>
        <v>#REF!</v>
      </c>
      <c r="R55" s="14" t="e">
        <f>(M55^2)*#REF!+(#REF!^2)*N55-(#REF!*N55)</f>
        <v>#REF!</v>
      </c>
      <c r="S55" t="e">
        <f t="shared" si="5"/>
        <v>#REF!</v>
      </c>
      <c r="T55" s="6" t="e">
        <f t="shared" si="6"/>
        <v>#REF!</v>
      </c>
      <c r="V55" s="13" t="e">
        <f t="shared" si="2"/>
        <v>#REF!</v>
      </c>
      <c r="W55" t="e">
        <f t="shared" si="2"/>
        <v>#REF!</v>
      </c>
      <c r="X55" t="e">
        <f t="shared" si="7"/>
        <v>#REF!</v>
      </c>
      <c r="Y55" s="6" t="e">
        <f t="shared" si="8"/>
        <v>#REF!</v>
      </c>
    </row>
    <row r="56" spans="1:25" hidden="1" x14ac:dyDescent="0.25">
      <c r="A56" t="str">
        <f>'rockfish harvests'!A57</f>
        <v>SC</v>
      </c>
      <c r="B56">
        <f>'rockfish harvests'!B57</f>
        <v>2003</v>
      </c>
      <c r="C56" t="str">
        <f>'rockfish harvests'!C57</f>
        <v>SKMA</v>
      </c>
      <c r="D56">
        <f>'rockfish harvests'!D57</f>
        <v>144</v>
      </c>
      <c r="E56">
        <f>'YE harvest'!E58</f>
        <v>40</v>
      </c>
      <c r="F56" s="38"/>
      <c r="G56" s="39"/>
      <c r="H56" s="13">
        <f t="shared" si="16"/>
        <v>0</v>
      </c>
      <c r="I56">
        <f t="shared" si="1"/>
        <v>0</v>
      </c>
      <c r="J56">
        <f t="shared" si="3"/>
        <v>0</v>
      </c>
      <c r="K56" s="6">
        <f t="shared" si="4"/>
        <v>0</v>
      </c>
      <c r="M56" s="2">
        <f>'rockfish harvests'!O57</f>
        <v>42.248006120561826</v>
      </c>
      <c r="N56">
        <f>'rockfish harvests'!P57</f>
        <v>654.77026776429454</v>
      </c>
      <c r="Q56" s="13" t="e">
        <f>#REF!*M56</f>
        <v>#REF!</v>
      </c>
      <c r="R56" s="14" t="e">
        <f>(M56^2)*#REF!+(#REF!^2)*N56-(#REF!*N56)</f>
        <v>#REF!</v>
      </c>
      <c r="S56" t="e">
        <f t="shared" si="5"/>
        <v>#REF!</v>
      </c>
      <c r="T56" s="6" t="e">
        <f t="shared" si="6"/>
        <v>#REF!</v>
      </c>
      <c r="V56" s="13" t="e">
        <f t="shared" si="2"/>
        <v>#REF!</v>
      </c>
      <c r="W56" t="e">
        <f t="shared" si="2"/>
        <v>#REF!</v>
      </c>
      <c r="X56" t="e">
        <f t="shared" si="7"/>
        <v>#REF!</v>
      </c>
      <c r="Y56" s="6" t="e">
        <f t="shared" si="8"/>
        <v>#REF!</v>
      </c>
    </row>
    <row r="57" spans="1:25" hidden="1" x14ac:dyDescent="0.25">
      <c r="A57" t="str">
        <f>'rockfish harvests'!A58</f>
        <v>SC</v>
      </c>
      <c r="B57">
        <f>'rockfish harvests'!B58</f>
        <v>2004</v>
      </c>
      <c r="C57" t="str">
        <f>'rockfish harvests'!C58</f>
        <v>SKMA</v>
      </c>
      <c r="D57">
        <f>'rockfish harvests'!D58</f>
        <v>200</v>
      </c>
      <c r="E57">
        <f>'YE harvest'!E59</f>
        <v>41</v>
      </c>
      <c r="F57" s="38"/>
      <c r="G57" s="39"/>
      <c r="H57" s="13">
        <f t="shared" si="16"/>
        <v>0</v>
      </c>
      <c r="I57">
        <f t="shared" si="1"/>
        <v>0</v>
      </c>
      <c r="J57">
        <f t="shared" si="3"/>
        <v>0</v>
      </c>
      <c r="K57" s="6">
        <f t="shared" si="4"/>
        <v>0</v>
      </c>
      <c r="M57" s="2">
        <f>'rockfish harvests'!O58</f>
        <v>58.677786278558074</v>
      </c>
      <c r="N57">
        <f>'rockfish harvests'!P58</f>
        <v>1263.059930100877</v>
      </c>
      <c r="Q57" s="13" t="e">
        <f>#REF!*M57</f>
        <v>#REF!</v>
      </c>
      <c r="R57" s="14" t="e">
        <f>(M57^2)*#REF!+(#REF!^2)*N57-(#REF!*N57)</f>
        <v>#REF!</v>
      </c>
      <c r="S57" t="e">
        <f t="shared" si="5"/>
        <v>#REF!</v>
      </c>
      <c r="T57" s="6" t="e">
        <f t="shared" si="6"/>
        <v>#REF!</v>
      </c>
      <c r="V57" s="13" t="e">
        <f t="shared" si="2"/>
        <v>#REF!</v>
      </c>
      <c r="W57" t="e">
        <f t="shared" si="2"/>
        <v>#REF!</v>
      </c>
      <c r="X57" t="e">
        <f t="shared" si="7"/>
        <v>#REF!</v>
      </c>
      <c r="Y57" s="6" t="e">
        <f t="shared" si="8"/>
        <v>#REF!</v>
      </c>
    </row>
    <row r="58" spans="1:25" hidden="1" x14ac:dyDescent="0.25">
      <c r="A58" t="str">
        <f>'rockfish harvests'!A59</f>
        <v>SC</v>
      </c>
      <c r="B58">
        <f>'rockfish harvests'!B59</f>
        <v>2005</v>
      </c>
      <c r="C58" t="str">
        <f>'rockfish harvests'!C59</f>
        <v>SKMA</v>
      </c>
      <c r="D58">
        <f>'rockfish harvests'!D59</f>
        <v>287</v>
      </c>
      <c r="E58">
        <f>'YE harvest'!E60</f>
        <v>159</v>
      </c>
      <c r="F58" s="38"/>
      <c r="G58" s="39"/>
      <c r="H58" s="13">
        <f t="shared" si="16"/>
        <v>0</v>
      </c>
      <c r="I58">
        <f t="shared" si="1"/>
        <v>0</v>
      </c>
      <c r="J58">
        <f t="shared" si="3"/>
        <v>0</v>
      </c>
      <c r="K58" s="6">
        <f t="shared" si="4"/>
        <v>0</v>
      </c>
      <c r="M58" s="2">
        <f>'rockfish harvests'!O59</f>
        <v>84.202623309730882</v>
      </c>
      <c r="N58">
        <f>'rockfish harvests'!P59</f>
        <v>2600.9245845619785</v>
      </c>
      <c r="Q58" s="13" t="e">
        <f>#REF!*M58</f>
        <v>#REF!</v>
      </c>
      <c r="R58" s="14" t="e">
        <f>(M58^2)*#REF!+(#REF!^2)*N58-(#REF!*N58)</f>
        <v>#REF!</v>
      </c>
      <c r="S58" t="e">
        <f t="shared" si="5"/>
        <v>#REF!</v>
      </c>
      <c r="T58" s="6" t="e">
        <f t="shared" si="6"/>
        <v>#REF!</v>
      </c>
      <c r="V58" s="13" t="e">
        <f t="shared" si="2"/>
        <v>#REF!</v>
      </c>
      <c r="W58" t="e">
        <f t="shared" si="2"/>
        <v>#REF!</v>
      </c>
      <c r="X58" t="e">
        <f t="shared" si="7"/>
        <v>#REF!</v>
      </c>
      <c r="Y58" s="6" t="e">
        <f t="shared" si="8"/>
        <v>#REF!</v>
      </c>
    </row>
    <row r="59" spans="1:25" hidden="1" x14ac:dyDescent="0.25">
      <c r="A59" t="str">
        <f>'rockfish harvests'!A60</f>
        <v>SC</v>
      </c>
      <c r="B59">
        <f>'rockfish harvests'!B60</f>
        <v>2006</v>
      </c>
      <c r="C59" t="str">
        <f>'rockfish harvests'!C60</f>
        <v>SKMA</v>
      </c>
      <c r="D59">
        <f>'rockfish harvests'!D60</f>
        <v>303</v>
      </c>
      <c r="E59">
        <f>'YE harvest'!E61</f>
        <v>112</v>
      </c>
      <c r="G59" s="16"/>
      <c r="H59" s="13" t="e">
        <f>#REF!</f>
        <v>#REF!</v>
      </c>
      <c r="I59">
        <f t="shared" si="1"/>
        <v>0</v>
      </c>
      <c r="J59">
        <f t="shared" si="3"/>
        <v>0</v>
      </c>
      <c r="K59" s="6">
        <f t="shared" si="4"/>
        <v>0</v>
      </c>
      <c r="M59" s="2">
        <f>'rockfish harvests'!O60</f>
        <v>88.896846212015475</v>
      </c>
      <c r="N59">
        <f>'rockfish harvests'!P60</f>
        <v>2899.0067280657854</v>
      </c>
      <c r="Q59" s="13" t="e">
        <f>#REF!*M59</f>
        <v>#REF!</v>
      </c>
      <c r="R59" s="14" t="e">
        <f>(M59^2)*#REF!+(#REF!^2)*N59-(#REF!*N59)</f>
        <v>#REF!</v>
      </c>
      <c r="S59" t="e">
        <f t="shared" si="5"/>
        <v>#REF!</v>
      </c>
      <c r="T59" s="6" t="e">
        <f t="shared" si="6"/>
        <v>#REF!</v>
      </c>
      <c r="V59" s="13" t="e">
        <f t="shared" si="2"/>
        <v>#REF!</v>
      </c>
      <c r="W59" t="e">
        <f t="shared" si="2"/>
        <v>#REF!</v>
      </c>
      <c r="X59" t="e">
        <f t="shared" si="7"/>
        <v>#REF!</v>
      </c>
      <c r="Y59" s="6" t="e">
        <f t="shared" si="8"/>
        <v>#REF!</v>
      </c>
    </row>
    <row r="60" spans="1:25" hidden="1" x14ac:dyDescent="0.25">
      <c r="A60" t="str">
        <f>'rockfish harvests'!A61</f>
        <v>SC</v>
      </c>
      <c r="B60">
        <f>'rockfish harvests'!B61</f>
        <v>2007</v>
      </c>
      <c r="C60" t="str">
        <f>'rockfish harvests'!C61</f>
        <v>SKMA</v>
      </c>
      <c r="D60">
        <f>'rockfish harvests'!D61</f>
        <v>1148</v>
      </c>
      <c r="E60">
        <f>'YE harvest'!E62</f>
        <v>179</v>
      </c>
      <c r="G60" s="16"/>
      <c r="H60" s="13" t="e">
        <f>#REF!</f>
        <v>#REF!</v>
      </c>
      <c r="I60">
        <f t="shared" si="1"/>
        <v>0</v>
      </c>
      <c r="J60">
        <f t="shared" si="3"/>
        <v>0</v>
      </c>
      <c r="K60" s="6">
        <f t="shared" si="4"/>
        <v>0</v>
      </c>
      <c r="M60" s="2">
        <f>'rockfish harvests'!O61</f>
        <v>336.81049323892353</v>
      </c>
      <c r="N60">
        <f>'rockfish harvests'!P61</f>
        <v>41614.793352991655</v>
      </c>
      <c r="Q60" s="13" t="e">
        <f>#REF!*M60</f>
        <v>#REF!</v>
      </c>
      <c r="R60" s="14" t="e">
        <f>(M60^2)*#REF!+(#REF!^2)*N60-(#REF!*N60)</f>
        <v>#REF!</v>
      </c>
      <c r="S60" t="e">
        <f t="shared" si="5"/>
        <v>#REF!</v>
      </c>
      <c r="T60" s="6" t="e">
        <f t="shared" si="6"/>
        <v>#REF!</v>
      </c>
      <c r="V60" s="13" t="e">
        <f t="shared" si="2"/>
        <v>#REF!</v>
      </c>
      <c r="W60" t="e">
        <f t="shared" si="2"/>
        <v>#REF!</v>
      </c>
      <c r="X60" t="e">
        <f t="shared" si="7"/>
        <v>#REF!</v>
      </c>
      <c r="Y60" s="6" t="e">
        <f t="shared" si="8"/>
        <v>#REF!</v>
      </c>
    </row>
    <row r="61" spans="1:25" hidden="1" x14ac:dyDescent="0.25">
      <c r="A61" t="str">
        <f>'rockfish harvests'!A62</f>
        <v>SC</v>
      </c>
      <c r="B61">
        <f>'rockfish harvests'!B62</f>
        <v>2008</v>
      </c>
      <c r="C61" t="str">
        <f>'rockfish harvests'!C62</f>
        <v>SKMA</v>
      </c>
      <c r="D61">
        <f>'rockfish harvests'!D62</f>
        <v>1130</v>
      </c>
      <c r="E61">
        <f>'YE harvest'!E63</f>
        <v>88</v>
      </c>
      <c r="G61" s="16"/>
      <c r="H61" s="13" t="e">
        <f>#REF!</f>
        <v>#REF!</v>
      </c>
      <c r="I61">
        <f t="shared" si="1"/>
        <v>0</v>
      </c>
      <c r="J61">
        <f t="shared" si="3"/>
        <v>0</v>
      </c>
      <c r="K61" s="6">
        <f t="shared" si="4"/>
        <v>0</v>
      </c>
      <c r="M61" s="2">
        <f>'rockfish harvests'!O62</f>
        <v>331.52949247385322</v>
      </c>
      <c r="N61">
        <f>'rockfish harvests'!P62</f>
        <v>40320.030618645244</v>
      </c>
      <c r="Q61" s="13" t="e">
        <f>#REF!*M61</f>
        <v>#REF!</v>
      </c>
      <c r="R61" s="14" t="e">
        <f>(M61^2)*#REF!+(#REF!^2)*N61-(#REF!*N61)</f>
        <v>#REF!</v>
      </c>
      <c r="S61" t="e">
        <f t="shared" si="5"/>
        <v>#REF!</v>
      </c>
      <c r="T61" s="6" t="e">
        <f t="shared" si="6"/>
        <v>#REF!</v>
      </c>
      <c r="V61" s="13" t="e">
        <f t="shared" si="2"/>
        <v>#REF!</v>
      </c>
      <c r="W61" t="e">
        <f t="shared" si="2"/>
        <v>#REF!</v>
      </c>
      <c r="X61" t="e">
        <f t="shared" si="7"/>
        <v>#REF!</v>
      </c>
      <c r="Y61" s="6" t="e">
        <f t="shared" si="8"/>
        <v>#REF!</v>
      </c>
    </row>
    <row r="62" spans="1:25" hidden="1" x14ac:dyDescent="0.25">
      <c r="A62" t="str">
        <f>'rockfish harvests'!A63</f>
        <v>SC</v>
      </c>
      <c r="B62">
        <f>'rockfish harvests'!B63</f>
        <v>2009</v>
      </c>
      <c r="C62" t="str">
        <f>'rockfish harvests'!C63</f>
        <v>SKMA</v>
      </c>
      <c r="D62">
        <f>'rockfish harvests'!D63</f>
        <v>810</v>
      </c>
      <c r="E62">
        <f>'YE harvest'!E64</f>
        <v>89</v>
      </c>
      <c r="G62" s="16"/>
      <c r="H62" s="13" t="e">
        <f>#REF!</f>
        <v>#REF!</v>
      </c>
      <c r="I62">
        <f t="shared" si="1"/>
        <v>0</v>
      </c>
      <c r="J62">
        <f t="shared" si="3"/>
        <v>0</v>
      </c>
      <c r="K62" s="6">
        <f t="shared" si="4"/>
        <v>0</v>
      </c>
      <c r="M62" s="2">
        <f>'rockfish harvests'!O63</f>
        <v>237.64503442816022</v>
      </c>
      <c r="N62">
        <f>'rockfish harvests'!P63</f>
        <v>20717.340503479634</v>
      </c>
      <c r="Q62" s="13" t="e">
        <f>#REF!*M62</f>
        <v>#REF!</v>
      </c>
      <c r="R62" s="14" t="e">
        <f>(M62^2)*#REF!+(#REF!^2)*N62-(#REF!*N62)</f>
        <v>#REF!</v>
      </c>
      <c r="S62" t="e">
        <f t="shared" si="5"/>
        <v>#REF!</v>
      </c>
      <c r="T62" s="6" t="e">
        <f t="shared" si="6"/>
        <v>#REF!</v>
      </c>
      <c r="V62" s="13" t="e">
        <f t="shared" si="2"/>
        <v>#REF!</v>
      </c>
      <c r="W62" t="e">
        <f t="shared" si="2"/>
        <v>#REF!</v>
      </c>
      <c r="X62" t="e">
        <f t="shared" si="7"/>
        <v>#REF!</v>
      </c>
      <c r="Y62" s="6" t="e">
        <f t="shared" si="8"/>
        <v>#REF!</v>
      </c>
    </row>
    <row r="63" spans="1:25" hidden="1" x14ac:dyDescent="0.25">
      <c r="A63" t="str">
        <f>'rockfish harvests'!A64</f>
        <v>SC</v>
      </c>
      <c r="B63">
        <f>'rockfish harvests'!B64</f>
        <v>2010</v>
      </c>
      <c r="C63" t="str">
        <f>'rockfish harvests'!C64</f>
        <v>SKMA</v>
      </c>
      <c r="D63">
        <f>'rockfish harvests'!D64</f>
        <v>644</v>
      </c>
      <c r="E63">
        <f>'YE harvest'!E65</f>
        <v>244</v>
      </c>
      <c r="G63" s="16"/>
      <c r="H63" s="13" t="e">
        <f>#REF!</f>
        <v>#REF!</v>
      </c>
      <c r="I63">
        <f t="shared" si="1"/>
        <v>0</v>
      </c>
      <c r="J63">
        <f t="shared" si="3"/>
        <v>0</v>
      </c>
      <c r="K63" s="6">
        <f t="shared" si="4"/>
        <v>0</v>
      </c>
      <c r="M63" s="2">
        <f>'rockfish harvests'!O64</f>
        <v>188.94247181695698</v>
      </c>
      <c r="N63">
        <f>'rockfish harvests'!P64</f>
        <v>13095.910579257932</v>
      </c>
      <c r="Q63" s="13" t="e">
        <f>#REF!*M63</f>
        <v>#REF!</v>
      </c>
      <c r="R63" s="14" t="e">
        <f>(M63^2)*#REF!+(#REF!^2)*N63-(#REF!*N63)</f>
        <v>#REF!</v>
      </c>
      <c r="S63" t="e">
        <f t="shared" si="5"/>
        <v>#REF!</v>
      </c>
      <c r="T63" s="6" t="e">
        <f t="shared" si="6"/>
        <v>#REF!</v>
      </c>
      <c r="V63" s="13" t="e">
        <f t="shared" si="2"/>
        <v>#REF!</v>
      </c>
      <c r="W63" t="e">
        <f t="shared" si="2"/>
        <v>#REF!</v>
      </c>
      <c r="X63" t="e">
        <f t="shared" si="7"/>
        <v>#REF!</v>
      </c>
      <c r="Y63" s="6" t="e">
        <f t="shared" si="8"/>
        <v>#REF!</v>
      </c>
    </row>
    <row r="64" spans="1:25" hidden="1" x14ac:dyDescent="0.25">
      <c r="A64" t="str">
        <f>'rockfish harvests'!A65</f>
        <v>SC</v>
      </c>
      <c r="B64">
        <f>'rockfish harvests'!B65</f>
        <v>2011</v>
      </c>
      <c r="C64" t="str">
        <f>'rockfish harvests'!C65</f>
        <v>SKMA</v>
      </c>
      <c r="D64">
        <f>'rockfish harvests'!D65</f>
        <v>689</v>
      </c>
      <c r="E64">
        <f>'YE harvest'!E66</f>
        <v>137</v>
      </c>
      <c r="G64" s="16"/>
      <c r="H64" s="13" t="e">
        <f>#REF!</f>
        <v>#REF!</v>
      </c>
      <c r="I64">
        <f t="shared" si="1"/>
        <v>0</v>
      </c>
      <c r="J64">
        <f t="shared" si="3"/>
        <v>0</v>
      </c>
      <c r="K64" s="6">
        <f t="shared" si="4"/>
        <v>0</v>
      </c>
      <c r="M64" s="2">
        <f>'rockfish harvests'!O65</f>
        <v>161.99495459132186</v>
      </c>
      <c r="N64">
        <f>'rockfish harvests'!P65</f>
        <v>13094.402331197241</v>
      </c>
      <c r="Q64" s="13" t="e">
        <f>#REF!*M64</f>
        <v>#REF!</v>
      </c>
      <c r="R64" s="14" t="e">
        <f>(M64^2)*#REF!+(#REF!^2)*N64-(#REF!*N64)</f>
        <v>#REF!</v>
      </c>
      <c r="S64" t="e">
        <f t="shared" si="5"/>
        <v>#REF!</v>
      </c>
      <c r="T64" s="6" t="e">
        <f t="shared" si="6"/>
        <v>#REF!</v>
      </c>
      <c r="V64" s="13" t="e">
        <f t="shared" si="2"/>
        <v>#REF!</v>
      </c>
      <c r="W64" t="e">
        <f t="shared" si="2"/>
        <v>#REF!</v>
      </c>
      <c r="X64" t="e">
        <f t="shared" si="7"/>
        <v>#REF!</v>
      </c>
      <c r="Y64" s="6" t="e">
        <f t="shared" si="8"/>
        <v>#REF!</v>
      </c>
    </row>
    <row r="65" spans="1:25" hidden="1" x14ac:dyDescent="0.25">
      <c r="A65" t="str">
        <f>'rockfish harvests'!A66</f>
        <v>SC</v>
      </c>
      <c r="B65">
        <f>'rockfish harvests'!B66</f>
        <v>2012</v>
      </c>
      <c r="C65" t="str">
        <f>'rockfish harvests'!C66</f>
        <v>SKMA</v>
      </c>
      <c r="D65">
        <f>'rockfish harvests'!D66</f>
        <v>918</v>
      </c>
      <c r="E65">
        <f>'YE harvest'!E67</f>
        <v>350</v>
      </c>
      <c r="G65" s="16"/>
      <c r="H65" s="13" t="e">
        <f>#REF!</f>
        <v>#REF!</v>
      </c>
      <c r="I65">
        <f t="shared" si="1"/>
        <v>0</v>
      </c>
      <c r="J65">
        <f t="shared" si="3"/>
        <v>0</v>
      </c>
      <c r="K65" s="6">
        <f t="shared" si="4"/>
        <v>0</v>
      </c>
      <c r="M65" s="2">
        <f>'rockfish harvests'!O66</f>
        <v>591</v>
      </c>
      <c r="N65">
        <f>'rockfish harvests'!P66</f>
        <v>113950.9906442892</v>
      </c>
      <c r="Q65" s="13" t="e">
        <f>#REF!*M65</f>
        <v>#REF!</v>
      </c>
      <c r="R65" s="14" t="e">
        <f>(M65^2)*#REF!+(#REF!^2)*N65-(#REF!*N65)</f>
        <v>#REF!</v>
      </c>
      <c r="S65" t="e">
        <f t="shared" si="5"/>
        <v>#REF!</v>
      </c>
      <c r="T65" s="6" t="e">
        <f t="shared" si="6"/>
        <v>#REF!</v>
      </c>
      <c r="V65" s="13" t="e">
        <f t="shared" si="2"/>
        <v>#REF!</v>
      </c>
      <c r="W65" t="e">
        <f t="shared" si="2"/>
        <v>#REF!</v>
      </c>
      <c r="X65" t="e">
        <f t="shared" si="7"/>
        <v>#REF!</v>
      </c>
      <c r="Y65" s="6" t="e">
        <f t="shared" si="8"/>
        <v>#REF!</v>
      </c>
    </row>
    <row r="66" spans="1:25" hidden="1" x14ac:dyDescent="0.25">
      <c r="A66" t="str">
        <f>'rockfish harvests'!A67</f>
        <v>SC</v>
      </c>
      <c r="B66">
        <f>'rockfish harvests'!B67</f>
        <v>2013</v>
      </c>
      <c r="C66" t="str">
        <f>'rockfish harvests'!C67</f>
        <v>SKMA</v>
      </c>
      <c r="D66">
        <f>'rockfish harvests'!D67</f>
        <v>1035</v>
      </c>
      <c r="E66">
        <f>'YE harvest'!E68</f>
        <v>167</v>
      </c>
      <c r="G66" s="16"/>
      <c r="H66" s="13" t="e">
        <f>#REF!</f>
        <v>#REF!</v>
      </c>
      <c r="I66">
        <f t="shared" si="1"/>
        <v>0</v>
      </c>
      <c r="J66">
        <f t="shared" si="3"/>
        <v>0</v>
      </c>
      <c r="K66" s="6">
        <f t="shared" si="4"/>
        <v>0</v>
      </c>
      <c r="M66" s="2">
        <f>'rockfish harvests'!O67</f>
        <v>209.79729729729729</v>
      </c>
      <c r="N66">
        <f>'rockfish harvests'!P67</f>
        <v>18918.407507863983</v>
      </c>
      <c r="Q66" s="13" t="e">
        <f>#REF!*M66</f>
        <v>#REF!</v>
      </c>
      <c r="R66" s="14" t="e">
        <f>(M66^2)*#REF!+(#REF!^2)*N66-(#REF!*N66)</f>
        <v>#REF!</v>
      </c>
      <c r="S66" t="e">
        <f t="shared" si="5"/>
        <v>#REF!</v>
      </c>
      <c r="T66" s="6" t="e">
        <f t="shared" si="6"/>
        <v>#REF!</v>
      </c>
      <c r="V66" s="13" t="e">
        <f t="shared" si="2"/>
        <v>#REF!</v>
      </c>
      <c r="W66" t="e">
        <f t="shared" si="2"/>
        <v>#REF!</v>
      </c>
      <c r="X66" t="e">
        <f t="shared" si="7"/>
        <v>#REF!</v>
      </c>
      <c r="Y66" s="6" t="e">
        <f t="shared" si="8"/>
        <v>#REF!</v>
      </c>
    </row>
    <row r="67" spans="1:25" hidden="1" x14ac:dyDescent="0.25">
      <c r="A67" t="str">
        <f>'rockfish harvests'!A68</f>
        <v>SC</v>
      </c>
      <c r="B67">
        <f>'rockfish harvests'!B68</f>
        <v>2014</v>
      </c>
      <c r="C67" t="str">
        <f>'rockfish harvests'!C68</f>
        <v>SKMA</v>
      </c>
      <c r="D67">
        <f>'rockfish harvests'!D68</f>
        <v>653</v>
      </c>
      <c r="E67">
        <f>'YE harvest'!E69</f>
        <v>96</v>
      </c>
      <c r="G67" s="16"/>
      <c r="H67" s="13" t="e">
        <f>#REF!</f>
        <v>#REF!</v>
      </c>
      <c r="I67">
        <f t="shared" si="1"/>
        <v>0</v>
      </c>
      <c r="J67">
        <f t="shared" si="3"/>
        <v>0</v>
      </c>
      <c r="K67" s="6">
        <f t="shared" si="4"/>
        <v>0</v>
      </c>
      <c r="M67" s="2">
        <f>'rockfish harvests'!O68</f>
        <v>219.90263510495754</v>
      </c>
      <c r="N67">
        <f>'rockfish harvests'!P68</f>
        <v>18177.015037346606</v>
      </c>
      <c r="Q67" s="13" t="e">
        <f>#REF!*M67</f>
        <v>#REF!</v>
      </c>
      <c r="R67" s="14" t="e">
        <f>(M67^2)*#REF!+(#REF!^2)*N67-(#REF!*N67)</f>
        <v>#REF!</v>
      </c>
      <c r="S67" t="e">
        <f t="shared" si="5"/>
        <v>#REF!</v>
      </c>
      <c r="T67" s="6" t="e">
        <f t="shared" si="6"/>
        <v>#REF!</v>
      </c>
      <c r="V67" s="13" t="e">
        <f t="shared" si="2"/>
        <v>#REF!</v>
      </c>
      <c r="W67" t="e">
        <f t="shared" si="2"/>
        <v>#REF!</v>
      </c>
      <c r="X67" t="e">
        <f t="shared" si="7"/>
        <v>#REF!</v>
      </c>
      <c r="Y67" s="6" t="e">
        <f t="shared" si="8"/>
        <v>#REF!</v>
      </c>
    </row>
    <row r="68" spans="1:25" hidden="1" x14ac:dyDescent="0.25">
      <c r="A68" t="str">
        <f>'rockfish harvests'!A69</f>
        <v>SC</v>
      </c>
      <c r="B68">
        <f>'rockfish harvests'!B69</f>
        <v>2015</v>
      </c>
      <c r="C68" t="str">
        <f>'rockfish harvests'!C69</f>
        <v>SKMA</v>
      </c>
      <c r="D68">
        <f>'rockfish harvests'!D69</f>
        <v>619</v>
      </c>
      <c r="E68">
        <f>'YE harvest'!E70</f>
        <v>72</v>
      </c>
      <c r="G68" s="16"/>
      <c r="H68" s="13" t="e">
        <f>#REF!</f>
        <v>#REF!</v>
      </c>
      <c r="I68">
        <f t="shared" si="1"/>
        <v>0</v>
      </c>
      <c r="J68">
        <f t="shared" si="3"/>
        <v>0</v>
      </c>
      <c r="K68" s="6">
        <f t="shared" si="4"/>
        <v>0</v>
      </c>
      <c r="M68" s="2">
        <f>'rockfish harvests'!O69</f>
        <v>281.78094694808897</v>
      </c>
      <c r="N68">
        <f>'rockfish harvests'!P69</f>
        <v>62212.407283949418</v>
      </c>
      <c r="Q68" s="13" t="e">
        <f>#REF!*M68</f>
        <v>#REF!</v>
      </c>
      <c r="R68" s="14" t="e">
        <f>(M68^2)*#REF!+(#REF!^2)*N68-(#REF!*N68)</f>
        <v>#REF!</v>
      </c>
      <c r="S68" t="e">
        <f t="shared" si="5"/>
        <v>#REF!</v>
      </c>
      <c r="T68" s="6" t="e">
        <f t="shared" si="6"/>
        <v>#REF!</v>
      </c>
      <c r="V68" s="13" t="e">
        <f t="shared" si="2"/>
        <v>#REF!</v>
      </c>
      <c r="W68" t="e">
        <f t="shared" si="2"/>
        <v>#REF!</v>
      </c>
      <c r="X68" t="e">
        <f t="shared" si="7"/>
        <v>#REF!</v>
      </c>
      <c r="Y68" s="6" t="e">
        <f t="shared" si="8"/>
        <v>#REF!</v>
      </c>
    </row>
    <row r="69" spans="1:25" hidden="1" x14ac:dyDescent="0.25">
      <c r="A69" t="str">
        <f>'rockfish harvests'!A70</f>
        <v>SC</v>
      </c>
      <c r="B69">
        <f>'rockfish harvests'!B70</f>
        <v>2016</v>
      </c>
      <c r="C69" t="str">
        <f>'rockfish harvests'!C70</f>
        <v>SKMA</v>
      </c>
      <c r="D69">
        <f>'rockfish harvests'!D70</f>
        <v>804</v>
      </c>
      <c r="E69">
        <f>'YE harvest'!E71</f>
        <v>91</v>
      </c>
      <c r="G69" s="16"/>
      <c r="H69" s="13" t="e">
        <f>#REF!</f>
        <v>#REF!</v>
      </c>
      <c r="I69">
        <f t="shared" si="1"/>
        <v>0</v>
      </c>
      <c r="J69">
        <f t="shared" si="3"/>
        <v>0</v>
      </c>
      <c r="K69" s="6">
        <f t="shared" si="4"/>
        <v>0</v>
      </c>
      <c r="M69" s="2">
        <f>'rockfish harvests'!O70</f>
        <v>94.418789808917268</v>
      </c>
      <c r="N69">
        <f>'rockfish harvests'!P70</f>
        <v>4384.8563398414108</v>
      </c>
      <c r="Q69" s="13" t="e">
        <f>#REF!*M69</f>
        <v>#REF!</v>
      </c>
      <c r="R69" s="14" t="e">
        <f>(M69^2)*#REF!+(#REF!^2)*N69-(#REF!*N69)</f>
        <v>#REF!</v>
      </c>
      <c r="S69" t="e">
        <f t="shared" si="5"/>
        <v>#REF!</v>
      </c>
      <c r="T69" s="6" t="e">
        <f t="shared" si="6"/>
        <v>#REF!</v>
      </c>
      <c r="V69" s="13" t="e">
        <f t="shared" si="2"/>
        <v>#REF!</v>
      </c>
      <c r="W69" t="e">
        <f t="shared" si="2"/>
        <v>#REF!</v>
      </c>
      <c r="X69" t="e">
        <f t="shared" si="7"/>
        <v>#REF!</v>
      </c>
      <c r="Y69" s="6" t="e">
        <f t="shared" si="8"/>
        <v>#REF!</v>
      </c>
    </row>
    <row r="70" spans="1:25" hidden="1" x14ac:dyDescent="0.25">
      <c r="A70" t="str">
        <f>'rockfish harvests'!A71</f>
        <v>SC</v>
      </c>
      <c r="B70">
        <f>'rockfish harvests'!B71</f>
        <v>2017</v>
      </c>
      <c r="C70" t="str">
        <f>'rockfish harvests'!C71</f>
        <v>SKMA</v>
      </c>
      <c r="D70">
        <f>'rockfish harvests'!D71</f>
        <v>666</v>
      </c>
      <c r="E70">
        <f>'YE harvest'!E72</f>
        <v>59</v>
      </c>
      <c r="G70" s="16"/>
      <c r="H70" s="13" t="e">
        <f>#REF!</f>
        <v>#REF!</v>
      </c>
      <c r="I70">
        <f t="shared" si="1"/>
        <v>0</v>
      </c>
      <c r="J70">
        <f t="shared" si="3"/>
        <v>0</v>
      </c>
      <c r="K70" s="6">
        <f t="shared" si="4"/>
        <v>0</v>
      </c>
      <c r="M70" s="2">
        <f>'rockfish harvests'!O71</f>
        <v>229.24813432835822</v>
      </c>
      <c r="N70">
        <f>'rockfish harvests'!P71</f>
        <v>18017.117128178837</v>
      </c>
      <c r="Q70" s="13" t="e">
        <f>#REF!*M70</f>
        <v>#REF!</v>
      </c>
      <c r="R70" s="14" t="e">
        <f>(M70^2)*#REF!+(#REF!^2)*N70-(#REF!*N70)</f>
        <v>#REF!</v>
      </c>
      <c r="S70" t="e">
        <f t="shared" si="5"/>
        <v>#REF!</v>
      </c>
      <c r="T70" s="6" t="e">
        <f t="shared" si="6"/>
        <v>#REF!</v>
      </c>
      <c r="V70" s="13" t="e">
        <f t="shared" si="2"/>
        <v>#REF!</v>
      </c>
      <c r="W70" t="e">
        <f t="shared" si="2"/>
        <v>#REF!</v>
      </c>
      <c r="X70" t="e">
        <f t="shared" si="7"/>
        <v>#REF!</v>
      </c>
      <c r="Y70" s="6" t="e">
        <f t="shared" si="8"/>
        <v>#REF!</v>
      </c>
    </row>
    <row r="71" spans="1:25" hidden="1" x14ac:dyDescent="0.25">
      <c r="A71" t="str">
        <f>'rockfish harvests'!A72</f>
        <v>SC</v>
      </c>
      <c r="B71">
        <f>'rockfish harvests'!B72</f>
        <v>2018</v>
      </c>
      <c r="C71" t="str">
        <f>'rockfish harvests'!C72</f>
        <v>SKMA</v>
      </c>
      <c r="D71">
        <f>'rockfish harvests'!D72</f>
        <v>671</v>
      </c>
      <c r="E71">
        <f>'YE harvest'!E73</f>
        <v>72</v>
      </c>
      <c r="G71" s="16"/>
      <c r="H71" s="13" t="e">
        <f>#REF!</f>
        <v>#REF!</v>
      </c>
      <c r="I71">
        <f t="shared" si="1"/>
        <v>0</v>
      </c>
      <c r="J71">
        <f t="shared" si="3"/>
        <v>0</v>
      </c>
      <c r="K71" s="6">
        <f t="shared" si="4"/>
        <v>0</v>
      </c>
      <c r="M71" s="2">
        <f>'rockfish harvests'!O72</f>
        <v>107.64245379876797</v>
      </c>
      <c r="N71">
        <f>'rockfish harvests'!P72</f>
        <v>4325.8254808581805</v>
      </c>
      <c r="Q71" s="13" t="e">
        <f>#REF!*M71</f>
        <v>#REF!</v>
      </c>
      <c r="R71" s="14" t="e">
        <f>(M71^2)*#REF!+(#REF!^2)*N71-(#REF!*N71)</f>
        <v>#REF!</v>
      </c>
      <c r="S71" t="e">
        <f t="shared" si="5"/>
        <v>#REF!</v>
      </c>
      <c r="T71" s="6" t="e">
        <f t="shared" si="6"/>
        <v>#REF!</v>
      </c>
      <c r="V71" s="13" t="e">
        <f t="shared" si="2"/>
        <v>#REF!</v>
      </c>
      <c r="W71" t="e">
        <f t="shared" si="2"/>
        <v>#REF!</v>
      </c>
      <c r="X71" t="e">
        <f t="shared" si="7"/>
        <v>#REF!</v>
      </c>
      <c r="Y71" s="6" t="e">
        <f t="shared" si="8"/>
        <v>#REF!</v>
      </c>
    </row>
    <row r="72" spans="1:25" hidden="1" x14ac:dyDescent="0.25">
      <c r="A72" t="str">
        <f>'rockfish harvests'!A73</f>
        <v>SC</v>
      </c>
      <c r="B72">
        <f>'rockfish harvests'!B73</f>
        <v>2019</v>
      </c>
      <c r="C72" t="str">
        <f>'rockfish harvests'!C73</f>
        <v>SKMA</v>
      </c>
      <c r="D72">
        <f>'rockfish harvests'!D73</f>
        <v>716</v>
      </c>
      <c r="E72">
        <f>'YE harvest'!E74</f>
        <v>128</v>
      </c>
      <c r="G72" s="16"/>
      <c r="I72">
        <f t="shared" ref="I72:I73" si="17">(E72^2)*G72</f>
        <v>0</v>
      </c>
      <c r="J72">
        <f t="shared" ref="J72:J73" si="18">SQRT(I72)</f>
        <v>0</v>
      </c>
      <c r="K72" s="6">
        <f t="shared" ref="K72:K73" si="19">(1.96*J72)</f>
        <v>0</v>
      </c>
      <c r="M72" s="2">
        <f>'rockfish harvests'!O73</f>
        <v>230.32441288913162</v>
      </c>
      <c r="N72">
        <f>'rockfish harvests'!P73</f>
        <v>30814.691102249373</v>
      </c>
      <c r="R72" s="14"/>
      <c r="S72"/>
      <c r="T72" s="6"/>
      <c r="Y72" s="6"/>
    </row>
    <row r="73" spans="1:25" hidden="1" x14ac:dyDescent="0.25">
      <c r="A73" t="str">
        <f>'rockfish harvests'!A74</f>
        <v>SC</v>
      </c>
      <c r="B73">
        <f>'rockfish harvests'!B74</f>
        <v>2020</v>
      </c>
      <c r="C73" t="str">
        <f>'rockfish harvests'!C74</f>
        <v>SKMA</v>
      </c>
      <c r="D73">
        <f>'rockfish harvests'!D74</f>
        <v>302</v>
      </c>
      <c r="E73">
        <f>'YE harvest'!E75</f>
        <v>47</v>
      </c>
      <c r="G73" s="16"/>
      <c r="I73">
        <f t="shared" si="17"/>
        <v>0</v>
      </c>
      <c r="J73">
        <f t="shared" si="18"/>
        <v>0</v>
      </c>
      <c r="K73" s="6">
        <f t="shared" si="19"/>
        <v>0</v>
      </c>
      <c r="M73" s="2">
        <f>'rockfish harvests'!O74</f>
        <v>57.128003494975985</v>
      </c>
      <c r="N73">
        <f>'rockfish harvests'!P74</f>
        <v>816.94472651239755</v>
      </c>
      <c r="R73" s="14"/>
      <c r="S73"/>
      <c r="T73" s="6"/>
      <c r="Y73" s="6"/>
    </row>
    <row r="74" spans="1:25" hidden="1" x14ac:dyDescent="0.25">
      <c r="A74" t="str">
        <f>'rockfish harvests'!A75</f>
        <v>SC</v>
      </c>
      <c r="B74">
        <f>'rockfish harvests'!B75</f>
        <v>2021</v>
      </c>
      <c r="C74" t="str">
        <f>'rockfish harvests'!C75</f>
        <v>SKMA</v>
      </c>
      <c r="D74">
        <f>'rockfish harvests'!D75</f>
        <v>1622</v>
      </c>
      <c r="E74">
        <f>'YE harvest'!E76</f>
        <v>194</v>
      </c>
      <c r="G74" s="16"/>
      <c r="K74" s="6"/>
      <c r="M74" s="2">
        <f>'rockfish harvests'!O75</f>
        <v>253.31845937059643</v>
      </c>
      <c r="N74">
        <f>'rockfish harvests'!P75</f>
        <v>10922.563990757333</v>
      </c>
      <c r="R74" s="14"/>
      <c r="S74"/>
      <c r="T74" s="6"/>
      <c r="Y74" s="6"/>
    </row>
    <row r="75" spans="1:25" hidden="1" x14ac:dyDescent="0.25">
      <c r="A75" t="str">
        <f>'rockfish harvests'!A77</f>
        <v>SC</v>
      </c>
      <c r="B75">
        <f>'rockfish harvests'!B77</f>
        <v>1998</v>
      </c>
      <c r="C75" t="str">
        <f>'rockfish harvests'!C77</f>
        <v>CI</v>
      </c>
      <c r="D75">
        <f>'rockfish harvests'!D77</f>
        <v>994</v>
      </c>
      <c r="E75">
        <f>'YE harvest'!E78</f>
        <v>271</v>
      </c>
      <c r="F75" s="38"/>
      <c r="G75" s="39"/>
      <c r="H75" s="13">
        <f t="shared" ref="H75:H82" si="20">E75*F75</f>
        <v>0</v>
      </c>
      <c r="I75">
        <f t="shared" si="1"/>
        <v>0</v>
      </c>
      <c r="J75">
        <f t="shared" si="3"/>
        <v>0</v>
      </c>
      <c r="K75" s="6">
        <f t="shared" si="4"/>
        <v>0</v>
      </c>
      <c r="M75" s="2">
        <f>'rockfish harvests'!O77</f>
        <v>692.47589516408812</v>
      </c>
      <c r="N75">
        <f>'rockfish harvests'!P77</f>
        <v>44240.136597187789</v>
      </c>
      <c r="O75" s="32"/>
      <c r="P75" s="32"/>
      <c r="Q75" s="13">
        <f t="shared" ref="Q75:Q95" si="21">M75*O75</f>
        <v>0</v>
      </c>
      <c r="R75" s="14">
        <f t="shared" ref="R75:R95" si="22">(M75^2)*P75+(O75^2)*N75-(P75*N75)</f>
        <v>0</v>
      </c>
      <c r="S75">
        <f t="shared" si="5"/>
        <v>0</v>
      </c>
      <c r="T75" s="6">
        <f t="shared" si="6"/>
        <v>0</v>
      </c>
      <c r="V75" s="13">
        <f t="shared" si="2"/>
        <v>0</v>
      </c>
      <c r="W75" s="14">
        <f t="shared" si="2"/>
        <v>0</v>
      </c>
      <c r="X75">
        <f t="shared" si="7"/>
        <v>0</v>
      </c>
      <c r="Y75" s="6">
        <f t="shared" si="8"/>
        <v>0</v>
      </c>
    </row>
    <row r="76" spans="1:25" hidden="1" x14ac:dyDescent="0.25">
      <c r="A76" t="str">
        <f>'rockfish harvests'!A78</f>
        <v>SC</v>
      </c>
      <c r="B76">
        <f>'rockfish harvests'!B78</f>
        <v>1999</v>
      </c>
      <c r="C76" t="str">
        <f>'rockfish harvests'!C78</f>
        <v>CI</v>
      </c>
      <c r="D76">
        <f>'rockfish harvests'!D78</f>
        <v>911</v>
      </c>
      <c r="E76">
        <f>'YE harvest'!E79</f>
        <v>102</v>
      </c>
      <c r="F76" s="38"/>
      <c r="G76" s="39"/>
      <c r="H76" s="13">
        <f t="shared" si="20"/>
        <v>0</v>
      </c>
      <c r="I76">
        <f t="shared" ref="I76:I148" si="23">(E76^2)*G76</f>
        <v>0</v>
      </c>
      <c r="J76">
        <f t="shared" si="3"/>
        <v>0</v>
      </c>
      <c r="K76" s="6">
        <f t="shared" si="4"/>
        <v>0</v>
      </c>
      <c r="M76" s="2">
        <f>'rockfish harvests'!O78</f>
        <v>634.65346126205668</v>
      </c>
      <c r="N76">
        <f>'rockfish harvests'!P78</f>
        <v>37160.4054962316</v>
      </c>
      <c r="Q76" s="13">
        <f t="shared" si="21"/>
        <v>0</v>
      </c>
      <c r="R76" s="14">
        <f t="shared" si="22"/>
        <v>0</v>
      </c>
      <c r="S76">
        <f t="shared" si="5"/>
        <v>0</v>
      </c>
      <c r="T76" s="6">
        <f t="shared" si="6"/>
        <v>0</v>
      </c>
      <c r="V76" s="13">
        <f t="shared" ref="V76:W148" si="24">Q76+H76</f>
        <v>0</v>
      </c>
      <c r="W76">
        <f t="shared" si="24"/>
        <v>0</v>
      </c>
      <c r="X76">
        <f t="shared" si="7"/>
        <v>0</v>
      </c>
      <c r="Y76" s="6">
        <f t="shared" si="8"/>
        <v>0</v>
      </c>
    </row>
    <row r="77" spans="1:25" hidden="1" x14ac:dyDescent="0.25">
      <c r="A77" t="str">
        <f>'rockfish harvests'!A79</f>
        <v>SC</v>
      </c>
      <c r="B77">
        <f>'rockfish harvests'!B79</f>
        <v>2000</v>
      </c>
      <c r="C77" t="str">
        <f>'rockfish harvests'!C79</f>
        <v>CI</v>
      </c>
      <c r="D77">
        <f>'rockfish harvests'!D79</f>
        <v>1400</v>
      </c>
      <c r="E77">
        <f>'YE harvest'!E80</f>
        <v>175</v>
      </c>
      <c r="F77" s="38"/>
      <c r="G77" s="39"/>
      <c r="H77" s="13">
        <f t="shared" si="20"/>
        <v>0</v>
      </c>
      <c r="I77">
        <f t="shared" si="23"/>
        <v>0</v>
      </c>
      <c r="J77">
        <f t="shared" ref="J77:J149" si="25">SQRT(I77)</f>
        <v>0</v>
      </c>
      <c r="K77" s="6">
        <f t="shared" ref="K77:K149" si="26">(1.96*J77)</f>
        <v>0</v>
      </c>
      <c r="M77" s="2">
        <f>'rockfish harvests'!O79</f>
        <v>975.31816220294104</v>
      </c>
      <c r="N77">
        <f>'rockfish harvests'!P79</f>
        <v>87760.635979344952</v>
      </c>
      <c r="O77" s="32"/>
      <c r="P77" s="32"/>
      <c r="Q77" s="13">
        <f t="shared" si="21"/>
        <v>0</v>
      </c>
      <c r="R77" s="14">
        <f t="shared" si="22"/>
        <v>0</v>
      </c>
      <c r="S77">
        <f t="shared" ref="S77:S149" si="27">SQRT(R77)</f>
        <v>0</v>
      </c>
      <c r="T77" s="6">
        <f t="shared" ref="T77:T149" si="28">(1.96*S77)</f>
        <v>0</v>
      </c>
      <c r="V77" s="13">
        <f t="shared" si="24"/>
        <v>0</v>
      </c>
      <c r="W77">
        <f t="shared" si="24"/>
        <v>0</v>
      </c>
      <c r="X77">
        <f t="shared" ref="X77:X149" si="29">SQRT(W77)</f>
        <v>0</v>
      </c>
      <c r="Y77" s="6">
        <f t="shared" ref="Y77:Y149" si="30">(1.96*X77)</f>
        <v>0</v>
      </c>
    </row>
    <row r="78" spans="1:25" hidden="1" x14ac:dyDescent="0.25">
      <c r="A78" t="str">
        <f>'rockfish harvests'!A80</f>
        <v>SC</v>
      </c>
      <c r="B78">
        <f>'rockfish harvests'!B80</f>
        <v>2001</v>
      </c>
      <c r="C78" t="str">
        <f>'rockfish harvests'!C80</f>
        <v>CI</v>
      </c>
      <c r="D78">
        <f>'rockfish harvests'!D80</f>
        <v>763</v>
      </c>
      <c r="E78">
        <f>'YE harvest'!E81</f>
        <v>69</v>
      </c>
      <c r="F78" s="38"/>
      <c r="G78" s="39"/>
      <c r="H78" s="13">
        <f t="shared" si="20"/>
        <v>0</v>
      </c>
      <c r="I78">
        <f t="shared" si="23"/>
        <v>0</v>
      </c>
      <c r="J78">
        <f t="shared" si="25"/>
        <v>0</v>
      </c>
      <c r="K78" s="6">
        <f t="shared" si="26"/>
        <v>0</v>
      </c>
      <c r="M78" s="2">
        <f>'rockfish harvests'!O80</f>
        <v>531.54839840060276</v>
      </c>
      <c r="N78">
        <f>'rockfish harvests'!P80</f>
        <v>26067.102901764931</v>
      </c>
      <c r="Q78" s="13">
        <f t="shared" si="21"/>
        <v>0</v>
      </c>
      <c r="R78" s="14">
        <f t="shared" si="22"/>
        <v>0</v>
      </c>
      <c r="S78">
        <f t="shared" si="27"/>
        <v>0</v>
      </c>
      <c r="T78" s="6">
        <f t="shared" si="28"/>
        <v>0</v>
      </c>
      <c r="V78" s="13">
        <f t="shared" si="24"/>
        <v>0</v>
      </c>
      <c r="W78">
        <f t="shared" si="24"/>
        <v>0</v>
      </c>
      <c r="X78">
        <f t="shared" si="29"/>
        <v>0</v>
      </c>
      <c r="Y78" s="6">
        <f t="shared" si="30"/>
        <v>0</v>
      </c>
    </row>
    <row r="79" spans="1:25" hidden="1" x14ac:dyDescent="0.25">
      <c r="A79" t="str">
        <f>'rockfish harvests'!A81</f>
        <v>SC</v>
      </c>
      <c r="B79">
        <f>'rockfish harvests'!B81</f>
        <v>2002</v>
      </c>
      <c r="C79" t="str">
        <f>'rockfish harvests'!C81</f>
        <v>CI</v>
      </c>
      <c r="D79">
        <f>'rockfish harvests'!D81</f>
        <v>2378</v>
      </c>
      <c r="E79">
        <f>'YE harvest'!E82</f>
        <v>271</v>
      </c>
      <c r="F79" s="38"/>
      <c r="G79" s="39"/>
      <c r="H79" s="13">
        <f t="shared" si="20"/>
        <v>0</v>
      </c>
      <c r="I79">
        <f t="shared" si="23"/>
        <v>0</v>
      </c>
      <c r="J79">
        <f t="shared" si="25"/>
        <v>0</v>
      </c>
      <c r="K79" s="6">
        <f t="shared" si="26"/>
        <v>0</v>
      </c>
      <c r="M79" s="2">
        <f>'rockfish harvests'!O81</f>
        <v>1656.6475640847098</v>
      </c>
      <c r="N79">
        <f>'rockfish harvests'!P81</f>
        <v>253202.15113746023</v>
      </c>
      <c r="O79" s="32"/>
      <c r="P79" s="32"/>
      <c r="Q79" s="13">
        <f t="shared" si="21"/>
        <v>0</v>
      </c>
      <c r="R79" s="14">
        <f t="shared" si="22"/>
        <v>0</v>
      </c>
      <c r="S79">
        <f t="shared" si="27"/>
        <v>0</v>
      </c>
      <c r="T79" s="6">
        <f t="shared" si="28"/>
        <v>0</v>
      </c>
      <c r="V79" s="13">
        <f t="shared" si="24"/>
        <v>0</v>
      </c>
      <c r="W79">
        <f t="shared" si="24"/>
        <v>0</v>
      </c>
      <c r="X79">
        <f t="shared" si="29"/>
        <v>0</v>
      </c>
      <c r="Y79" s="6">
        <f t="shared" si="30"/>
        <v>0</v>
      </c>
    </row>
    <row r="80" spans="1:25" hidden="1" x14ac:dyDescent="0.25">
      <c r="A80" t="str">
        <f>'rockfish harvests'!A82</f>
        <v>SC</v>
      </c>
      <c r="B80">
        <f>'rockfish harvests'!B82</f>
        <v>2003</v>
      </c>
      <c r="C80" t="str">
        <f>'rockfish harvests'!C82</f>
        <v>CI</v>
      </c>
      <c r="D80">
        <f>'rockfish harvests'!D82</f>
        <v>4623</v>
      </c>
      <c r="E80">
        <f>'YE harvest'!E83</f>
        <v>376</v>
      </c>
      <c r="F80" s="38"/>
      <c r="G80" s="39"/>
      <c r="H80" s="13">
        <f t="shared" si="20"/>
        <v>0</v>
      </c>
      <c r="I80">
        <f t="shared" si="23"/>
        <v>0</v>
      </c>
      <c r="J80">
        <f t="shared" si="25"/>
        <v>0</v>
      </c>
      <c r="K80" s="6">
        <f t="shared" si="26"/>
        <v>0</v>
      </c>
      <c r="M80" s="2">
        <f>'rockfish harvests'!O82</f>
        <v>3220.6399027601401</v>
      </c>
      <c r="N80">
        <f>'rockfish harvests'!P82</f>
        <v>956954.91493500082</v>
      </c>
      <c r="O80" s="32"/>
      <c r="P80" s="32"/>
      <c r="Q80" s="13">
        <f t="shared" si="21"/>
        <v>0</v>
      </c>
      <c r="R80" s="14">
        <f t="shared" si="22"/>
        <v>0</v>
      </c>
      <c r="S80">
        <f t="shared" si="27"/>
        <v>0</v>
      </c>
      <c r="T80" s="6">
        <f t="shared" si="28"/>
        <v>0</v>
      </c>
      <c r="V80" s="13">
        <f t="shared" si="24"/>
        <v>0</v>
      </c>
      <c r="W80">
        <f t="shared" si="24"/>
        <v>0</v>
      </c>
      <c r="X80">
        <f t="shared" si="29"/>
        <v>0</v>
      </c>
      <c r="Y80" s="6">
        <f t="shared" si="30"/>
        <v>0</v>
      </c>
    </row>
    <row r="81" spans="1:25" hidden="1" x14ac:dyDescent="0.25">
      <c r="A81" t="str">
        <f>'rockfish harvests'!A83</f>
        <v>SC</v>
      </c>
      <c r="B81">
        <f>'rockfish harvests'!B83</f>
        <v>2004</v>
      </c>
      <c r="C81" t="str">
        <f>'rockfish harvests'!C83</f>
        <v>CI</v>
      </c>
      <c r="D81">
        <f>'rockfish harvests'!D83</f>
        <v>4736</v>
      </c>
      <c r="E81">
        <f>'YE harvest'!E84</f>
        <v>266</v>
      </c>
      <c r="F81" s="38"/>
      <c r="G81" s="39"/>
      <c r="H81" s="13">
        <f t="shared" si="20"/>
        <v>0</v>
      </c>
      <c r="I81">
        <f t="shared" si="23"/>
        <v>0</v>
      </c>
      <c r="J81">
        <f t="shared" si="25"/>
        <v>0</v>
      </c>
      <c r="K81" s="6">
        <f t="shared" si="26"/>
        <v>0</v>
      </c>
      <c r="M81" s="2">
        <f>'rockfish harvests'!O83</f>
        <v>3299.3620115665199</v>
      </c>
      <c r="N81">
        <f>'rockfish harvests'!P83</f>
        <v>1004308.3600935558</v>
      </c>
      <c r="O81" s="32"/>
      <c r="P81" s="32"/>
      <c r="Q81" s="13">
        <f t="shared" si="21"/>
        <v>0</v>
      </c>
      <c r="R81" s="14">
        <f t="shared" si="22"/>
        <v>0</v>
      </c>
      <c r="S81">
        <f t="shared" si="27"/>
        <v>0</v>
      </c>
      <c r="T81" s="6">
        <f t="shared" si="28"/>
        <v>0</v>
      </c>
      <c r="V81" s="13">
        <f t="shared" si="24"/>
        <v>0</v>
      </c>
      <c r="W81">
        <f t="shared" si="24"/>
        <v>0</v>
      </c>
      <c r="X81">
        <f t="shared" si="29"/>
        <v>0</v>
      </c>
      <c r="Y81" s="6">
        <f t="shared" si="30"/>
        <v>0</v>
      </c>
    </row>
    <row r="82" spans="1:25" hidden="1" x14ac:dyDescent="0.25">
      <c r="A82" t="str">
        <f>'rockfish harvests'!A84</f>
        <v>SC</v>
      </c>
      <c r="B82">
        <f>'rockfish harvests'!B84</f>
        <v>2005</v>
      </c>
      <c r="C82" t="str">
        <f>'rockfish harvests'!C84</f>
        <v>CI</v>
      </c>
      <c r="D82">
        <f>'rockfish harvests'!D84</f>
        <v>3615</v>
      </c>
      <c r="E82">
        <f>'YE harvest'!E85</f>
        <v>155</v>
      </c>
      <c r="F82" s="38"/>
      <c r="G82" s="39"/>
      <c r="H82" s="13">
        <f t="shared" si="20"/>
        <v>0</v>
      </c>
      <c r="I82">
        <f t="shared" si="23"/>
        <v>0</v>
      </c>
      <c r="J82">
        <f t="shared" si="25"/>
        <v>0</v>
      </c>
      <c r="K82" s="6">
        <f t="shared" si="26"/>
        <v>0</v>
      </c>
      <c r="M82" s="2">
        <f>'rockfish harvests'!O84</f>
        <v>2518.4108259740224</v>
      </c>
      <c r="N82">
        <f>'rockfish harvests'!P84</f>
        <v>585140.68220468122</v>
      </c>
      <c r="O82" s="32"/>
      <c r="P82" s="32"/>
      <c r="Q82" s="13">
        <f t="shared" si="21"/>
        <v>0</v>
      </c>
      <c r="R82" s="14">
        <f t="shared" si="22"/>
        <v>0</v>
      </c>
      <c r="S82">
        <f t="shared" si="27"/>
        <v>0</v>
      </c>
      <c r="T82" s="6">
        <f t="shared" si="28"/>
        <v>0</v>
      </c>
      <c r="V82" s="13">
        <f t="shared" si="24"/>
        <v>0</v>
      </c>
      <c r="W82">
        <f t="shared" si="24"/>
        <v>0</v>
      </c>
      <c r="X82">
        <f t="shared" si="29"/>
        <v>0</v>
      </c>
      <c r="Y82" s="6">
        <f t="shared" si="30"/>
        <v>0</v>
      </c>
    </row>
    <row r="83" spans="1:25" hidden="1" x14ac:dyDescent="0.25">
      <c r="A83" t="str">
        <f>'rockfish harvests'!A85</f>
        <v>SC</v>
      </c>
      <c r="B83">
        <f>'rockfish harvests'!B85</f>
        <v>2006</v>
      </c>
      <c r="C83" t="str">
        <f>'rockfish harvests'!C85</f>
        <v>CI</v>
      </c>
      <c r="D83">
        <f>'rockfish harvests'!D85</f>
        <v>2463</v>
      </c>
      <c r="E83">
        <f>'YE harvest'!E86</f>
        <v>213</v>
      </c>
      <c r="H83" s="13" t="e">
        <f>#REF!</f>
        <v>#REF!</v>
      </c>
      <c r="I83">
        <f t="shared" si="23"/>
        <v>0</v>
      </c>
      <c r="J83">
        <f t="shared" si="25"/>
        <v>0</v>
      </c>
      <c r="K83" s="6">
        <f t="shared" si="26"/>
        <v>0</v>
      </c>
      <c r="M83" s="2">
        <f>'rockfish harvests'!O85</f>
        <v>1715.8633096470312</v>
      </c>
      <c r="N83">
        <f>'rockfish harvests'!P85</f>
        <v>271626.73547213408</v>
      </c>
      <c r="O83" s="32"/>
      <c r="P83" s="32"/>
      <c r="Q83" s="13">
        <f t="shared" si="21"/>
        <v>0</v>
      </c>
      <c r="R83" s="14">
        <f t="shared" si="22"/>
        <v>0</v>
      </c>
      <c r="S83">
        <f t="shared" si="27"/>
        <v>0</v>
      </c>
      <c r="T83" s="6">
        <f t="shared" si="28"/>
        <v>0</v>
      </c>
      <c r="V83" s="13" t="e">
        <f t="shared" si="24"/>
        <v>#REF!</v>
      </c>
      <c r="W83">
        <f t="shared" si="24"/>
        <v>0</v>
      </c>
      <c r="X83">
        <f t="shared" si="29"/>
        <v>0</v>
      </c>
      <c r="Y83" s="6">
        <f t="shared" si="30"/>
        <v>0</v>
      </c>
    </row>
    <row r="84" spans="1:25" hidden="1" x14ac:dyDescent="0.25">
      <c r="A84" t="str">
        <f>'rockfish harvests'!A86</f>
        <v>SC</v>
      </c>
      <c r="B84">
        <f>'rockfish harvests'!B86</f>
        <v>2007</v>
      </c>
      <c r="C84" t="str">
        <f>'rockfish harvests'!C86</f>
        <v>CI</v>
      </c>
      <c r="D84">
        <f>'rockfish harvests'!D86</f>
        <v>2559</v>
      </c>
      <c r="E84">
        <f>'YE harvest'!E87</f>
        <v>194</v>
      </c>
      <c r="H84" s="13" t="e">
        <f>#REF!</f>
        <v>#REF!</v>
      </c>
      <c r="I84">
        <f t="shared" si="23"/>
        <v>0</v>
      </c>
      <c r="J84">
        <f t="shared" si="25"/>
        <v>0</v>
      </c>
      <c r="K84" s="6">
        <f t="shared" si="26"/>
        <v>0</v>
      </c>
      <c r="M84" s="2">
        <f>'rockfish harvests'!O86</f>
        <v>1782.7422693409471</v>
      </c>
      <c r="N84">
        <f>'rockfish harvests'!P86</f>
        <v>293213.70268298819</v>
      </c>
      <c r="O84" s="32"/>
      <c r="P84" s="32"/>
      <c r="Q84" s="13">
        <f t="shared" si="21"/>
        <v>0</v>
      </c>
      <c r="R84" s="14">
        <f t="shared" si="22"/>
        <v>0</v>
      </c>
      <c r="S84">
        <f t="shared" si="27"/>
        <v>0</v>
      </c>
      <c r="T84" s="6">
        <f t="shared" si="28"/>
        <v>0</v>
      </c>
      <c r="V84" s="13" t="e">
        <f t="shared" si="24"/>
        <v>#REF!</v>
      </c>
      <c r="W84">
        <f t="shared" si="24"/>
        <v>0</v>
      </c>
      <c r="X84">
        <f t="shared" si="29"/>
        <v>0</v>
      </c>
      <c r="Y84" s="6">
        <f t="shared" si="30"/>
        <v>0</v>
      </c>
    </row>
    <row r="85" spans="1:25" hidden="1" x14ac:dyDescent="0.25">
      <c r="A85" t="str">
        <f>'rockfish harvests'!A87</f>
        <v>SC</v>
      </c>
      <c r="B85">
        <f>'rockfish harvests'!B87</f>
        <v>2008</v>
      </c>
      <c r="C85" t="str">
        <f>'rockfish harvests'!C87</f>
        <v>CI</v>
      </c>
      <c r="D85">
        <f>'rockfish harvests'!D87</f>
        <v>2163</v>
      </c>
      <c r="E85">
        <f>'YE harvest'!E88</f>
        <v>157</v>
      </c>
      <c r="H85" s="13" t="e">
        <f>#REF!</f>
        <v>#REF!</v>
      </c>
      <c r="I85">
        <f t="shared" si="23"/>
        <v>0</v>
      </c>
      <c r="J85">
        <f t="shared" si="25"/>
        <v>0</v>
      </c>
      <c r="K85" s="6">
        <f t="shared" si="26"/>
        <v>0</v>
      </c>
      <c r="M85" s="2">
        <f>'rockfish harvests'!O87</f>
        <v>1506.8665606035438</v>
      </c>
      <c r="N85">
        <f>'rockfish harvests'!P87</f>
        <v>209486.83209859589</v>
      </c>
      <c r="O85" s="32"/>
      <c r="P85" s="32"/>
      <c r="Q85" s="13">
        <f t="shared" si="21"/>
        <v>0</v>
      </c>
      <c r="R85" s="14">
        <f t="shared" si="22"/>
        <v>0</v>
      </c>
      <c r="S85">
        <f t="shared" si="27"/>
        <v>0</v>
      </c>
      <c r="T85" s="6">
        <f t="shared" si="28"/>
        <v>0</v>
      </c>
      <c r="V85" s="13" t="e">
        <f t="shared" si="24"/>
        <v>#REF!</v>
      </c>
      <c r="W85">
        <f t="shared" si="24"/>
        <v>0</v>
      </c>
      <c r="X85">
        <f t="shared" si="29"/>
        <v>0</v>
      </c>
      <c r="Y85" s="6">
        <f t="shared" si="30"/>
        <v>0</v>
      </c>
    </row>
    <row r="86" spans="1:25" hidden="1" x14ac:dyDescent="0.25">
      <c r="A86" t="str">
        <f>'rockfish harvests'!A88</f>
        <v>SC</v>
      </c>
      <c r="B86">
        <f>'rockfish harvests'!B88</f>
        <v>2009</v>
      </c>
      <c r="C86" t="str">
        <f>'rockfish harvests'!C88</f>
        <v>CI</v>
      </c>
      <c r="D86">
        <f>'rockfish harvests'!D88</f>
        <v>2918</v>
      </c>
      <c r="E86">
        <f>'YE harvest'!E89</f>
        <v>256</v>
      </c>
      <c r="H86" s="13" t="e">
        <f>#REF!</f>
        <v>#REF!</v>
      </c>
      <c r="I86">
        <f t="shared" si="23"/>
        <v>0</v>
      </c>
      <c r="J86">
        <f t="shared" si="25"/>
        <v>0</v>
      </c>
      <c r="K86" s="6">
        <f t="shared" si="26"/>
        <v>0</v>
      </c>
      <c r="M86" s="2">
        <f>'rockfish harvests'!O88</f>
        <v>2032.841712362987</v>
      </c>
      <c r="N86">
        <f>'rockfish harvests'!P88</f>
        <v>381253.87419826118</v>
      </c>
      <c r="Q86" s="13">
        <f t="shared" si="21"/>
        <v>0</v>
      </c>
      <c r="R86" s="14">
        <f t="shared" si="22"/>
        <v>0</v>
      </c>
      <c r="S86">
        <f t="shared" si="27"/>
        <v>0</v>
      </c>
      <c r="T86" s="6">
        <f t="shared" si="28"/>
        <v>0</v>
      </c>
      <c r="V86" s="13" t="e">
        <f t="shared" si="24"/>
        <v>#REF!</v>
      </c>
      <c r="W86">
        <f t="shared" si="24"/>
        <v>0</v>
      </c>
      <c r="X86">
        <f t="shared" si="29"/>
        <v>0</v>
      </c>
      <c r="Y86" s="6">
        <f t="shared" si="30"/>
        <v>0</v>
      </c>
    </row>
    <row r="87" spans="1:25" hidden="1" x14ac:dyDescent="0.25">
      <c r="A87" t="str">
        <f>'rockfish harvests'!A89</f>
        <v>SC</v>
      </c>
      <c r="B87">
        <f>'rockfish harvests'!B89</f>
        <v>2010</v>
      </c>
      <c r="C87" t="str">
        <f>'rockfish harvests'!C89</f>
        <v>CI</v>
      </c>
      <c r="D87">
        <f>'rockfish harvests'!D89</f>
        <v>4422</v>
      </c>
      <c r="E87">
        <f>'YE harvest'!E90</f>
        <v>1173</v>
      </c>
      <c r="H87" s="13" t="e">
        <f>#REF!</f>
        <v>#REF!</v>
      </c>
      <c r="I87">
        <f t="shared" si="23"/>
        <v>0</v>
      </c>
      <c r="J87">
        <f t="shared" si="25"/>
        <v>0</v>
      </c>
      <c r="K87" s="6">
        <f t="shared" si="26"/>
        <v>0</v>
      </c>
      <c r="M87" s="2">
        <f>'rockfish harvests'!O89</f>
        <v>3080.6120809010035</v>
      </c>
      <c r="N87">
        <f>'rockfish harvests'!P89</f>
        <v>875550.43256812927</v>
      </c>
      <c r="Q87" s="13">
        <f t="shared" si="21"/>
        <v>0</v>
      </c>
      <c r="R87" s="14">
        <f t="shared" si="22"/>
        <v>0</v>
      </c>
      <c r="S87">
        <f t="shared" si="27"/>
        <v>0</v>
      </c>
      <c r="T87" s="6">
        <f t="shared" si="28"/>
        <v>0</v>
      </c>
      <c r="V87" s="13" t="e">
        <f t="shared" si="24"/>
        <v>#REF!</v>
      </c>
      <c r="W87">
        <f t="shared" si="24"/>
        <v>0</v>
      </c>
      <c r="X87">
        <f t="shared" si="29"/>
        <v>0</v>
      </c>
      <c r="Y87" s="6">
        <f t="shared" si="30"/>
        <v>0</v>
      </c>
    </row>
    <row r="88" spans="1:25" hidden="1" x14ac:dyDescent="0.25">
      <c r="A88" t="str">
        <f>'rockfish harvests'!A90</f>
        <v>SC</v>
      </c>
      <c r="B88">
        <f>'rockfish harvests'!B90</f>
        <v>2011</v>
      </c>
      <c r="C88" t="str">
        <f>'rockfish harvests'!C90</f>
        <v>CI</v>
      </c>
      <c r="D88">
        <f>'rockfish harvests'!D90</f>
        <v>3046</v>
      </c>
      <c r="E88">
        <f>'YE harvest'!E91</f>
        <v>476</v>
      </c>
      <c r="H88" s="13" t="e">
        <f>#REF!</f>
        <v>#REF!</v>
      </c>
      <c r="I88">
        <f t="shared" si="23"/>
        <v>0</v>
      </c>
      <c r="J88">
        <f t="shared" si="25"/>
        <v>0</v>
      </c>
      <c r="K88" s="6">
        <f t="shared" si="26"/>
        <v>0</v>
      </c>
      <c r="M88" s="2">
        <f>'rockfish harvests'!O90</f>
        <v>2195.2886731391591</v>
      </c>
      <c r="N88">
        <f>'rockfish harvests'!P90</f>
        <v>347241.00971171423</v>
      </c>
      <c r="Q88" s="13">
        <f t="shared" si="21"/>
        <v>0</v>
      </c>
      <c r="R88" s="14">
        <f t="shared" si="22"/>
        <v>0</v>
      </c>
      <c r="S88">
        <f t="shared" si="27"/>
        <v>0</v>
      </c>
      <c r="T88" s="6">
        <f t="shared" si="28"/>
        <v>0</v>
      </c>
      <c r="V88" s="13" t="e">
        <f t="shared" si="24"/>
        <v>#REF!</v>
      </c>
      <c r="W88">
        <f t="shared" si="24"/>
        <v>0</v>
      </c>
      <c r="X88">
        <f t="shared" si="29"/>
        <v>0</v>
      </c>
      <c r="Y88" s="6">
        <f t="shared" si="30"/>
        <v>0</v>
      </c>
    </row>
    <row r="89" spans="1:25" hidden="1" x14ac:dyDescent="0.25">
      <c r="A89" t="str">
        <f>'rockfish harvests'!A91</f>
        <v>SC</v>
      </c>
      <c r="B89">
        <f>'rockfish harvests'!B91</f>
        <v>2012</v>
      </c>
      <c r="C89" t="str">
        <f>'rockfish harvests'!C91</f>
        <v>CI</v>
      </c>
      <c r="D89">
        <f>'rockfish harvests'!D91</f>
        <v>4677</v>
      </c>
      <c r="E89">
        <f>'YE harvest'!E92</f>
        <v>568</v>
      </c>
      <c r="H89" s="13" t="e">
        <f>#REF!</f>
        <v>#REF!</v>
      </c>
      <c r="I89">
        <f t="shared" si="23"/>
        <v>0</v>
      </c>
      <c r="J89">
        <f t="shared" si="25"/>
        <v>0</v>
      </c>
      <c r="K89" s="6">
        <f t="shared" si="26"/>
        <v>0</v>
      </c>
      <c r="M89" s="2">
        <f>'rockfish harvests'!O91</f>
        <v>5339.9412080536913</v>
      </c>
      <c r="N89">
        <f>'rockfish harvests'!P91</f>
        <v>1729256.1604569755</v>
      </c>
      <c r="Q89" s="13">
        <f t="shared" si="21"/>
        <v>0</v>
      </c>
      <c r="R89" s="14">
        <f t="shared" si="22"/>
        <v>0</v>
      </c>
      <c r="S89">
        <f t="shared" si="27"/>
        <v>0</v>
      </c>
      <c r="T89" s="6">
        <f t="shared" si="28"/>
        <v>0</v>
      </c>
      <c r="V89" s="13" t="e">
        <f t="shared" si="24"/>
        <v>#REF!</v>
      </c>
      <c r="W89">
        <f t="shared" si="24"/>
        <v>0</v>
      </c>
      <c r="X89">
        <f t="shared" si="29"/>
        <v>0</v>
      </c>
      <c r="Y89" s="6">
        <f t="shared" si="30"/>
        <v>0</v>
      </c>
    </row>
    <row r="90" spans="1:25" hidden="1" x14ac:dyDescent="0.25">
      <c r="A90" t="str">
        <f>'rockfish harvests'!A92</f>
        <v>SC</v>
      </c>
      <c r="B90">
        <f>'rockfish harvests'!B92</f>
        <v>2013</v>
      </c>
      <c r="C90" t="str">
        <f>'rockfish harvests'!C92</f>
        <v>CI</v>
      </c>
      <c r="D90">
        <f>'rockfish harvests'!D92</f>
        <v>4808</v>
      </c>
      <c r="E90">
        <f>'YE harvest'!E93</f>
        <v>428</v>
      </c>
      <c r="H90" s="13" t="e">
        <f>#REF!</f>
        <v>#REF!</v>
      </c>
      <c r="I90">
        <f t="shared" si="23"/>
        <v>0</v>
      </c>
      <c r="J90">
        <f t="shared" si="25"/>
        <v>0</v>
      </c>
      <c r="K90" s="6">
        <f t="shared" si="26"/>
        <v>0</v>
      </c>
      <c r="M90" s="2">
        <f>'rockfish harvests'!O92</f>
        <v>3482.4354718850645</v>
      </c>
      <c r="N90">
        <f>'rockfish harvests'!P92</f>
        <v>863231.70507392555</v>
      </c>
      <c r="Q90" s="13">
        <f t="shared" si="21"/>
        <v>0</v>
      </c>
      <c r="R90" s="14">
        <f t="shared" si="22"/>
        <v>0</v>
      </c>
      <c r="S90">
        <f t="shared" si="27"/>
        <v>0</v>
      </c>
      <c r="T90" s="6">
        <f t="shared" si="28"/>
        <v>0</v>
      </c>
      <c r="V90" s="13" t="e">
        <f t="shared" si="24"/>
        <v>#REF!</v>
      </c>
      <c r="W90">
        <f t="shared" si="24"/>
        <v>0</v>
      </c>
      <c r="X90">
        <f t="shared" si="29"/>
        <v>0</v>
      </c>
      <c r="Y90" s="6">
        <f t="shared" si="30"/>
        <v>0</v>
      </c>
    </row>
    <row r="91" spans="1:25" hidden="1" x14ac:dyDescent="0.25">
      <c r="A91" t="str">
        <f>'rockfish harvests'!A93</f>
        <v>SC</v>
      </c>
      <c r="B91">
        <f>'rockfish harvests'!B93</f>
        <v>2014</v>
      </c>
      <c r="C91" t="str">
        <f>'rockfish harvests'!C93</f>
        <v>CI</v>
      </c>
      <c r="D91">
        <f>'rockfish harvests'!D93</f>
        <v>4731</v>
      </c>
      <c r="E91">
        <f>'YE harvest'!E94</f>
        <v>362</v>
      </c>
      <c r="H91" s="13" t="e">
        <f>#REF!</f>
        <v>#REF!</v>
      </c>
      <c r="I91">
        <f t="shared" si="23"/>
        <v>0</v>
      </c>
      <c r="J91">
        <f t="shared" si="25"/>
        <v>0</v>
      </c>
      <c r="K91" s="6">
        <f t="shared" si="26"/>
        <v>0</v>
      </c>
      <c r="M91" s="2">
        <f>'rockfish harvests'!O93</f>
        <v>3444.6502099319532</v>
      </c>
      <c r="N91">
        <f>'rockfish harvests'!P93</f>
        <v>609818.57296968682</v>
      </c>
      <c r="Q91" s="13">
        <f t="shared" si="21"/>
        <v>0</v>
      </c>
      <c r="R91" s="14">
        <f t="shared" si="22"/>
        <v>0</v>
      </c>
      <c r="S91">
        <f t="shared" si="27"/>
        <v>0</v>
      </c>
      <c r="T91" s="6">
        <f t="shared" si="28"/>
        <v>0</v>
      </c>
      <c r="V91" s="13" t="e">
        <f t="shared" si="24"/>
        <v>#REF!</v>
      </c>
      <c r="W91">
        <f t="shared" si="24"/>
        <v>0</v>
      </c>
      <c r="X91">
        <f t="shared" si="29"/>
        <v>0</v>
      </c>
      <c r="Y91" s="6">
        <f t="shared" si="30"/>
        <v>0</v>
      </c>
    </row>
    <row r="92" spans="1:25" hidden="1" x14ac:dyDescent="0.25">
      <c r="A92" t="str">
        <f>'rockfish harvests'!A94</f>
        <v>SC</v>
      </c>
      <c r="B92">
        <f>'rockfish harvests'!B94</f>
        <v>2015</v>
      </c>
      <c r="C92" t="str">
        <f>'rockfish harvests'!C94</f>
        <v>CI</v>
      </c>
      <c r="D92">
        <f>'rockfish harvests'!D94</f>
        <v>6321</v>
      </c>
      <c r="E92">
        <f>'YE harvest'!E95</f>
        <v>457</v>
      </c>
      <c r="H92" s="13" t="e">
        <f>#REF!</f>
        <v>#REF!</v>
      </c>
      <c r="I92">
        <f t="shared" si="23"/>
        <v>0</v>
      </c>
      <c r="J92">
        <f t="shared" si="25"/>
        <v>0</v>
      </c>
      <c r="K92" s="6">
        <f t="shared" si="26"/>
        <v>0</v>
      </c>
      <c r="M92" s="2">
        <f>'rockfish harvests'!O94</f>
        <v>4002.3757374073521</v>
      </c>
      <c r="N92">
        <f>'rockfish harvests'!P94</f>
        <v>811336.58070905623</v>
      </c>
      <c r="Q92" s="13">
        <f t="shared" si="21"/>
        <v>0</v>
      </c>
      <c r="R92" s="14">
        <f t="shared" si="22"/>
        <v>0</v>
      </c>
      <c r="S92">
        <f t="shared" si="27"/>
        <v>0</v>
      </c>
      <c r="T92" s="6">
        <f t="shared" si="28"/>
        <v>0</v>
      </c>
      <c r="V92" s="13" t="e">
        <f t="shared" si="24"/>
        <v>#REF!</v>
      </c>
      <c r="W92">
        <f t="shared" si="24"/>
        <v>0</v>
      </c>
      <c r="X92">
        <f t="shared" si="29"/>
        <v>0</v>
      </c>
      <c r="Y92" s="6">
        <f t="shared" si="30"/>
        <v>0</v>
      </c>
    </row>
    <row r="93" spans="1:25" hidden="1" x14ac:dyDescent="0.25">
      <c r="A93" t="str">
        <f>'rockfish harvests'!A95</f>
        <v>SC</v>
      </c>
      <c r="B93">
        <f>'rockfish harvests'!B95</f>
        <v>2016</v>
      </c>
      <c r="C93" t="str">
        <f>'rockfish harvests'!C95</f>
        <v>CI</v>
      </c>
      <c r="D93">
        <f>'rockfish harvests'!D95</f>
        <v>10123</v>
      </c>
      <c r="E93">
        <f>'YE harvest'!E96</f>
        <v>779</v>
      </c>
      <c r="H93" s="13" t="e">
        <f>#REF!</f>
        <v>#REF!</v>
      </c>
      <c r="I93">
        <f t="shared" si="23"/>
        <v>0</v>
      </c>
      <c r="J93">
        <f t="shared" si="25"/>
        <v>0</v>
      </c>
      <c r="K93" s="6">
        <f t="shared" si="26"/>
        <v>0</v>
      </c>
      <c r="M93" s="2">
        <f>'rockfish harvests'!O95</f>
        <v>6323.0304871660555</v>
      </c>
      <c r="N93">
        <f>'rockfish harvests'!P95</f>
        <v>1298638.7245062976</v>
      </c>
      <c r="Q93" s="13">
        <f t="shared" si="21"/>
        <v>0</v>
      </c>
      <c r="R93" s="14">
        <f t="shared" si="22"/>
        <v>0</v>
      </c>
      <c r="S93">
        <f t="shared" si="27"/>
        <v>0</v>
      </c>
      <c r="T93" s="6">
        <f t="shared" si="28"/>
        <v>0</v>
      </c>
      <c r="V93" s="13" t="e">
        <f t="shared" si="24"/>
        <v>#REF!</v>
      </c>
      <c r="W93">
        <f t="shared" si="24"/>
        <v>0</v>
      </c>
      <c r="X93">
        <f t="shared" si="29"/>
        <v>0</v>
      </c>
      <c r="Y93" s="6">
        <f t="shared" si="30"/>
        <v>0</v>
      </c>
    </row>
    <row r="94" spans="1:25" hidden="1" x14ac:dyDescent="0.25">
      <c r="A94" t="str">
        <f>'rockfish harvests'!A96</f>
        <v>SC</v>
      </c>
      <c r="B94">
        <f>'rockfish harvests'!B96</f>
        <v>2017</v>
      </c>
      <c r="C94" t="str">
        <f>'rockfish harvests'!C96</f>
        <v>CI</v>
      </c>
      <c r="D94">
        <f>'rockfish harvests'!D96</f>
        <v>8376</v>
      </c>
      <c r="E94">
        <f>'YE harvest'!E97</f>
        <v>923</v>
      </c>
      <c r="H94" s="13" t="e">
        <f>#REF!</f>
        <v>#REF!</v>
      </c>
      <c r="I94">
        <f t="shared" si="23"/>
        <v>0</v>
      </c>
      <c r="J94">
        <f t="shared" si="25"/>
        <v>0</v>
      </c>
      <c r="K94" s="6">
        <f t="shared" si="26"/>
        <v>0</v>
      </c>
      <c r="M94" s="2">
        <f>'rockfish harvests'!O96</f>
        <v>3322.4902609334804</v>
      </c>
      <c r="N94">
        <f>'rockfish harvests'!P96</f>
        <v>525119.78521776723</v>
      </c>
      <c r="Q94" s="13">
        <f t="shared" si="21"/>
        <v>0</v>
      </c>
      <c r="R94" s="14">
        <f t="shared" si="22"/>
        <v>0</v>
      </c>
      <c r="S94">
        <f t="shared" si="27"/>
        <v>0</v>
      </c>
      <c r="T94" s="6">
        <f t="shared" si="28"/>
        <v>0</v>
      </c>
      <c r="V94" s="13" t="e">
        <f t="shared" si="24"/>
        <v>#REF!</v>
      </c>
      <c r="W94">
        <f t="shared" si="24"/>
        <v>0</v>
      </c>
      <c r="X94">
        <f t="shared" si="29"/>
        <v>0</v>
      </c>
      <c r="Y94" s="6">
        <f t="shared" si="30"/>
        <v>0</v>
      </c>
    </row>
    <row r="95" spans="1:25" hidden="1" x14ac:dyDescent="0.25">
      <c r="A95" t="str">
        <f>'rockfish harvests'!A97</f>
        <v>SC</v>
      </c>
      <c r="B95">
        <f>'rockfish harvests'!B97</f>
        <v>2018</v>
      </c>
      <c r="C95" t="str">
        <f>'rockfish harvests'!C97</f>
        <v>CI</v>
      </c>
      <c r="D95">
        <f>'rockfish harvests'!D97</f>
        <v>13009</v>
      </c>
      <c r="E95">
        <f>'YE harvest'!E98</f>
        <v>1031</v>
      </c>
      <c r="H95" s="13" t="e">
        <f>#REF!</f>
        <v>#REF!</v>
      </c>
      <c r="I95">
        <f t="shared" si="23"/>
        <v>0</v>
      </c>
      <c r="J95">
        <f t="shared" si="25"/>
        <v>0</v>
      </c>
      <c r="K95" s="6">
        <f t="shared" si="26"/>
        <v>0</v>
      </c>
      <c r="M95" s="2">
        <f>'rockfish harvests'!O97</f>
        <v>10029.600289296046</v>
      </c>
      <c r="N95">
        <f>'rockfish harvests'!P97</f>
        <v>5460886.0967642423</v>
      </c>
      <c r="Q95" s="13">
        <f t="shared" si="21"/>
        <v>0</v>
      </c>
      <c r="R95" s="14">
        <f t="shared" si="22"/>
        <v>0</v>
      </c>
      <c r="S95">
        <f t="shared" si="27"/>
        <v>0</v>
      </c>
      <c r="T95" s="6">
        <f t="shared" si="28"/>
        <v>0</v>
      </c>
      <c r="V95" s="13" t="e">
        <f t="shared" si="24"/>
        <v>#REF!</v>
      </c>
      <c r="W95">
        <f t="shared" si="24"/>
        <v>0</v>
      </c>
      <c r="X95">
        <f t="shared" si="29"/>
        <v>0</v>
      </c>
      <c r="Y95" s="6">
        <f t="shared" si="30"/>
        <v>0</v>
      </c>
    </row>
    <row r="96" spans="1:25" hidden="1" x14ac:dyDescent="0.25">
      <c r="A96" t="str">
        <f>'rockfish harvests'!A98</f>
        <v>SC</v>
      </c>
      <c r="B96">
        <f>'rockfish harvests'!B98</f>
        <v>2019</v>
      </c>
      <c r="C96" t="str">
        <f>'rockfish harvests'!C98</f>
        <v>CI</v>
      </c>
      <c r="D96">
        <f>'rockfish harvests'!D98</f>
        <v>16061</v>
      </c>
      <c r="E96">
        <f>'YE harvest'!E99</f>
        <v>985</v>
      </c>
      <c r="I96">
        <f t="shared" ref="I96:I97" si="31">(E96^2)*G96</f>
        <v>0</v>
      </c>
      <c r="J96">
        <f t="shared" ref="J96:J97" si="32">SQRT(I96)</f>
        <v>0</v>
      </c>
      <c r="K96" s="6">
        <f t="shared" ref="K96:K97" si="33">(1.96*J96)</f>
        <v>0</v>
      </c>
      <c r="M96" s="2">
        <f>'rockfish harvests'!O98</f>
        <v>11565.493536535585</v>
      </c>
      <c r="N96">
        <f>'rockfish harvests'!P98</f>
        <v>7400162.779370754</v>
      </c>
      <c r="R96" s="14"/>
      <c r="S96"/>
      <c r="T96" s="6"/>
      <c r="Y96" s="6"/>
    </row>
    <row r="97" spans="1:25" hidden="1" x14ac:dyDescent="0.25">
      <c r="A97" t="str">
        <f>'rockfish harvests'!A99</f>
        <v>SC</v>
      </c>
      <c r="B97">
        <f>'rockfish harvests'!B99</f>
        <v>2020</v>
      </c>
      <c r="C97" t="str">
        <f>'rockfish harvests'!C99</f>
        <v>CI</v>
      </c>
      <c r="D97">
        <f>'rockfish harvests'!D99</f>
        <v>9784</v>
      </c>
      <c r="E97">
        <f>'YE harvest'!E100</f>
        <v>650</v>
      </c>
      <c r="I97">
        <f t="shared" si="31"/>
        <v>0</v>
      </c>
      <c r="J97">
        <f t="shared" si="32"/>
        <v>0</v>
      </c>
      <c r="K97" s="6">
        <f t="shared" si="33"/>
        <v>0</v>
      </c>
      <c r="M97" s="2">
        <f>'rockfish harvests'!O99</f>
        <v>10340.813008130081</v>
      </c>
      <c r="N97">
        <f>'rockfish harvests'!P99</f>
        <v>6856537.925024569</v>
      </c>
      <c r="R97" s="14"/>
      <c r="S97"/>
      <c r="T97" s="6"/>
      <c r="Y97" s="6"/>
    </row>
    <row r="98" spans="1:25" hidden="1" x14ac:dyDescent="0.25">
      <c r="A98" t="str">
        <f>'rockfish harvests'!A100</f>
        <v>SC</v>
      </c>
      <c r="B98">
        <f>'rockfish harvests'!B100</f>
        <v>2021</v>
      </c>
      <c r="C98" t="str">
        <f>'rockfish harvests'!C100</f>
        <v>CI</v>
      </c>
      <c r="D98">
        <f>'rockfish harvests'!D100</f>
        <v>14326</v>
      </c>
      <c r="E98">
        <f>'YE harvest'!E101</f>
        <v>1101</v>
      </c>
      <c r="K98" s="6"/>
      <c r="M98" s="2">
        <f>'rockfish harvests'!O100</f>
        <v>7068.2694391332043</v>
      </c>
      <c r="N98">
        <f>'rockfish harvests'!P100</f>
        <v>3061133.8312190818</v>
      </c>
      <c r="R98" s="14"/>
      <c r="S98"/>
      <c r="T98" s="6"/>
      <c r="Y98" s="6"/>
    </row>
    <row r="99" spans="1:25" hidden="1" x14ac:dyDescent="0.25">
      <c r="A99" t="str">
        <f>'rockfish harvests'!A102</f>
        <v>SC</v>
      </c>
      <c r="B99">
        <f>'rockfish harvests'!B102</f>
        <v>1998</v>
      </c>
      <c r="C99" t="str">
        <f>'rockfish harvests'!C102</f>
        <v>EASTSIDE</v>
      </c>
      <c r="D99">
        <f>'rockfish harvests'!D102</f>
        <v>157</v>
      </c>
      <c r="E99">
        <f>'YE harvest'!E103</f>
        <v>82</v>
      </c>
      <c r="F99" s="38"/>
      <c r="G99" s="39"/>
      <c r="H99" s="13">
        <f t="shared" ref="H99:H106" si="34">E99*F99</f>
        <v>0</v>
      </c>
      <c r="I99">
        <f t="shared" si="23"/>
        <v>0</v>
      </c>
      <c r="J99">
        <f t="shared" si="25"/>
        <v>0</v>
      </c>
      <c r="K99" s="6">
        <f t="shared" si="26"/>
        <v>0</v>
      </c>
      <c r="M99" s="2">
        <f>'rockfish harvests'!O102</f>
        <v>22.108315533666314</v>
      </c>
      <c r="N99">
        <f>'rockfish harvests'!P102</f>
        <v>350.7410435791694</v>
      </c>
      <c r="Q99" s="13" t="e">
        <f>M99*#REF!</f>
        <v>#REF!</v>
      </c>
      <c r="R99" s="14" t="e">
        <f>(M99^2)*#REF!+(#REF!^2)*N99-(#REF!*N99)</f>
        <v>#REF!</v>
      </c>
      <c r="S99" t="e">
        <f t="shared" si="27"/>
        <v>#REF!</v>
      </c>
      <c r="T99" s="6" t="e">
        <f t="shared" si="28"/>
        <v>#REF!</v>
      </c>
      <c r="V99" s="13" t="e">
        <f t="shared" si="24"/>
        <v>#REF!</v>
      </c>
      <c r="W99" t="e">
        <f t="shared" si="24"/>
        <v>#REF!</v>
      </c>
      <c r="X99" t="e">
        <f t="shared" si="29"/>
        <v>#REF!</v>
      </c>
      <c r="Y99" s="6" t="e">
        <f t="shared" si="30"/>
        <v>#REF!</v>
      </c>
    </row>
    <row r="100" spans="1:25" hidden="1" x14ac:dyDescent="0.25">
      <c r="A100" t="str">
        <f>'rockfish harvests'!A103</f>
        <v>SC</v>
      </c>
      <c r="B100">
        <f>'rockfish harvests'!B103</f>
        <v>1999</v>
      </c>
      <c r="C100" t="str">
        <f>'rockfish harvests'!C103</f>
        <v>EASTSIDE</v>
      </c>
      <c r="D100">
        <f>'rockfish harvests'!D103</f>
        <v>121</v>
      </c>
      <c r="E100">
        <f>'YE harvest'!E104</f>
        <v>21</v>
      </c>
      <c r="F100" s="38"/>
      <c r="G100" s="39"/>
      <c r="H100" s="13">
        <f t="shared" si="34"/>
        <v>0</v>
      </c>
      <c r="I100">
        <f t="shared" si="23"/>
        <v>0</v>
      </c>
      <c r="J100">
        <f t="shared" si="25"/>
        <v>0</v>
      </c>
      <c r="K100" s="6">
        <f t="shared" si="26"/>
        <v>0</v>
      </c>
      <c r="M100" s="2">
        <f>'rockfish harvests'!O103</f>
        <v>16.687051745013036</v>
      </c>
      <c r="N100">
        <f>'rockfish harvests'!P103</f>
        <v>206.21704461477333</v>
      </c>
      <c r="Q100" s="13" t="e">
        <f>M100*#REF!</f>
        <v>#REF!</v>
      </c>
      <c r="R100" s="14" t="e">
        <f>(M100^2)*#REF!+(#REF!^2)*N100-(#REF!*N100)</f>
        <v>#REF!</v>
      </c>
      <c r="S100" t="e">
        <f t="shared" si="27"/>
        <v>#REF!</v>
      </c>
      <c r="T100" s="6" t="e">
        <f t="shared" si="28"/>
        <v>#REF!</v>
      </c>
      <c r="V100" s="13" t="e">
        <f t="shared" si="24"/>
        <v>#REF!</v>
      </c>
      <c r="W100" t="e">
        <f t="shared" si="24"/>
        <v>#REF!</v>
      </c>
      <c r="X100" t="e">
        <f t="shared" si="29"/>
        <v>#REF!</v>
      </c>
      <c r="Y100" s="6" t="e">
        <f t="shared" si="30"/>
        <v>#REF!</v>
      </c>
    </row>
    <row r="101" spans="1:25" hidden="1" x14ac:dyDescent="0.25">
      <c r="A101" t="str">
        <f>'rockfish harvests'!A104</f>
        <v>SC</v>
      </c>
      <c r="B101">
        <f>'rockfish harvests'!B104</f>
        <v>2000</v>
      </c>
      <c r="C101" t="str">
        <f>'rockfish harvests'!C104</f>
        <v>EASTSIDE</v>
      </c>
      <c r="D101">
        <f>'rockfish harvests'!D104</f>
        <v>423</v>
      </c>
      <c r="E101">
        <f>'YE harvest'!E105</f>
        <v>43</v>
      </c>
      <c r="F101" s="38"/>
      <c r="G101" s="39"/>
      <c r="H101" s="13">
        <f t="shared" si="34"/>
        <v>0</v>
      </c>
      <c r="I101">
        <f t="shared" si="23"/>
        <v>0</v>
      </c>
      <c r="J101">
        <f t="shared" si="25"/>
        <v>0</v>
      </c>
      <c r="K101" s="6">
        <f t="shared" si="26"/>
        <v>0</v>
      </c>
      <c r="M101" s="2">
        <f>'rockfish harvests'!O104</f>
        <v>58.335726348268736</v>
      </c>
      <c r="N101">
        <f>'rockfish harvests'!P104</f>
        <v>2520.1973619204136</v>
      </c>
      <c r="Q101" s="13" t="e">
        <f>M101*#REF!</f>
        <v>#REF!</v>
      </c>
      <c r="R101" s="14" t="e">
        <f>(M101^2)*#REF!+(#REF!^2)*N101-(#REF!*N101)</f>
        <v>#REF!</v>
      </c>
      <c r="S101" t="e">
        <f t="shared" si="27"/>
        <v>#REF!</v>
      </c>
      <c r="T101" s="6" t="e">
        <f t="shared" si="28"/>
        <v>#REF!</v>
      </c>
      <c r="V101" s="13" t="e">
        <f t="shared" si="24"/>
        <v>#REF!</v>
      </c>
      <c r="W101" t="e">
        <f t="shared" si="24"/>
        <v>#REF!</v>
      </c>
      <c r="X101" t="e">
        <f t="shared" si="29"/>
        <v>#REF!</v>
      </c>
      <c r="Y101" s="6" t="e">
        <f t="shared" si="30"/>
        <v>#REF!</v>
      </c>
    </row>
    <row r="102" spans="1:25" hidden="1" x14ac:dyDescent="0.25">
      <c r="A102" t="str">
        <f>'rockfish harvests'!A105</f>
        <v>SC</v>
      </c>
      <c r="B102">
        <f>'rockfish harvests'!B105</f>
        <v>2001</v>
      </c>
      <c r="C102" t="str">
        <f>'rockfish harvests'!C105</f>
        <v>EASTSIDE</v>
      </c>
      <c r="D102">
        <f>'rockfish harvests'!D105</f>
        <v>298</v>
      </c>
      <c r="E102">
        <f>'YE harvest'!E106</f>
        <v>67</v>
      </c>
      <c r="F102" s="38"/>
      <c r="G102" s="39"/>
      <c r="H102" s="13">
        <f t="shared" si="34"/>
        <v>0</v>
      </c>
      <c r="I102">
        <f t="shared" si="23"/>
        <v>0</v>
      </c>
      <c r="J102">
        <f t="shared" si="25"/>
        <v>0</v>
      </c>
      <c r="K102" s="6">
        <f t="shared" si="26"/>
        <v>0</v>
      </c>
      <c r="M102" s="2">
        <f>'rockfish harvests'!O105</f>
        <v>41.097036529040395</v>
      </c>
      <c r="N102">
        <f>'rockfish harvests'!P105</f>
        <v>1250.7956034403612</v>
      </c>
      <c r="Q102" s="13" t="e">
        <f>M102*#REF!</f>
        <v>#REF!</v>
      </c>
      <c r="R102" s="14" t="e">
        <f>(M102^2)*#REF!+(#REF!^2)*N102-(#REF!*N102)</f>
        <v>#REF!</v>
      </c>
      <c r="S102" t="e">
        <f t="shared" si="27"/>
        <v>#REF!</v>
      </c>
      <c r="T102" s="6" t="e">
        <f t="shared" si="28"/>
        <v>#REF!</v>
      </c>
      <c r="V102" s="13" t="e">
        <f t="shared" si="24"/>
        <v>#REF!</v>
      </c>
      <c r="W102" t="e">
        <f t="shared" si="24"/>
        <v>#REF!</v>
      </c>
      <c r="X102" t="e">
        <f t="shared" si="29"/>
        <v>#REF!</v>
      </c>
      <c r="Y102" s="6" t="e">
        <f t="shared" si="30"/>
        <v>#REF!</v>
      </c>
    </row>
    <row r="103" spans="1:25" hidden="1" x14ac:dyDescent="0.25">
      <c r="A103" t="str">
        <f>'rockfish harvests'!A106</f>
        <v>SC</v>
      </c>
      <c r="B103">
        <f>'rockfish harvests'!B106</f>
        <v>2002</v>
      </c>
      <c r="C103" t="str">
        <f>'rockfish harvests'!C106</f>
        <v>EASTSIDE</v>
      </c>
      <c r="D103">
        <f>'rockfish harvests'!D106</f>
        <v>319</v>
      </c>
      <c r="E103">
        <f>'YE harvest'!E107</f>
        <v>50</v>
      </c>
      <c r="F103" s="38"/>
      <c r="G103" s="39"/>
      <c r="H103" s="13">
        <f t="shared" si="34"/>
        <v>0</v>
      </c>
      <c r="I103">
        <f t="shared" si="23"/>
        <v>0</v>
      </c>
      <c r="J103">
        <f t="shared" si="25"/>
        <v>0</v>
      </c>
      <c r="K103" s="6">
        <f t="shared" si="26"/>
        <v>0</v>
      </c>
      <c r="M103" s="2">
        <f>'rockfish harvests'!O106</f>
        <v>43.993136418670758</v>
      </c>
      <c r="N103">
        <f>'rockfish harvests'!P106</f>
        <v>1433.2936737274742</v>
      </c>
      <c r="Q103" s="13" t="e">
        <f>M103*#REF!</f>
        <v>#REF!</v>
      </c>
      <c r="R103" s="14" t="e">
        <f>(M103^2)*#REF!+(#REF!^2)*N103-(#REF!*N103)</f>
        <v>#REF!</v>
      </c>
      <c r="S103" t="e">
        <f t="shared" si="27"/>
        <v>#REF!</v>
      </c>
      <c r="T103" s="6" t="e">
        <f t="shared" si="28"/>
        <v>#REF!</v>
      </c>
      <c r="V103" s="13" t="e">
        <f t="shared" si="24"/>
        <v>#REF!</v>
      </c>
      <c r="W103" t="e">
        <f t="shared" si="24"/>
        <v>#REF!</v>
      </c>
      <c r="X103" t="e">
        <f t="shared" si="29"/>
        <v>#REF!</v>
      </c>
      <c r="Y103" s="6" t="e">
        <f t="shared" si="30"/>
        <v>#REF!</v>
      </c>
    </row>
    <row r="104" spans="1:25" hidden="1" x14ac:dyDescent="0.25">
      <c r="A104" t="str">
        <f>'rockfish harvests'!A107</f>
        <v>SC</v>
      </c>
      <c r="B104">
        <f>'rockfish harvests'!B107</f>
        <v>2003</v>
      </c>
      <c r="C104" t="str">
        <f>'rockfish harvests'!C107</f>
        <v>EASTSIDE</v>
      </c>
      <c r="D104">
        <f>'rockfish harvests'!D107</f>
        <v>1012</v>
      </c>
      <c r="E104">
        <f>'YE harvest'!E108</f>
        <v>48</v>
      </c>
      <c r="F104" s="38"/>
      <c r="G104" s="39"/>
      <c r="H104" s="13">
        <f t="shared" si="34"/>
        <v>0</v>
      </c>
      <c r="I104">
        <f t="shared" si="23"/>
        <v>0</v>
      </c>
      <c r="J104">
        <f t="shared" si="25"/>
        <v>0</v>
      </c>
      <c r="K104" s="6">
        <f t="shared" si="26"/>
        <v>0</v>
      </c>
      <c r="M104" s="2">
        <f>'rockfish harvests'!O107</f>
        <v>139.56443277647281</v>
      </c>
      <c r="N104">
        <f>'rockfish harvests'!P107</f>
        <v>14424.967484458195</v>
      </c>
      <c r="Q104" s="13" t="e">
        <f>M104*#REF!</f>
        <v>#REF!</v>
      </c>
      <c r="R104" s="14" t="e">
        <f>(M104^2)*#REF!+(#REF!^2)*N104-(#REF!*N104)</f>
        <v>#REF!</v>
      </c>
      <c r="S104" t="e">
        <f t="shared" si="27"/>
        <v>#REF!</v>
      </c>
      <c r="T104" s="6" t="e">
        <f t="shared" si="28"/>
        <v>#REF!</v>
      </c>
      <c r="V104" s="13" t="e">
        <f t="shared" si="24"/>
        <v>#REF!</v>
      </c>
      <c r="W104" t="e">
        <f t="shared" si="24"/>
        <v>#REF!</v>
      </c>
      <c r="X104" t="e">
        <f t="shared" si="29"/>
        <v>#REF!</v>
      </c>
      <c r="Y104" s="6" t="e">
        <f t="shared" si="30"/>
        <v>#REF!</v>
      </c>
    </row>
    <row r="105" spans="1:25" hidden="1" x14ac:dyDescent="0.25">
      <c r="A105" t="str">
        <f>'rockfish harvests'!A108</f>
        <v>SC</v>
      </c>
      <c r="B105">
        <f>'rockfish harvests'!B108</f>
        <v>2004</v>
      </c>
      <c r="C105" t="str">
        <f>'rockfish harvests'!C108</f>
        <v>EASTSIDE</v>
      </c>
      <c r="D105">
        <f>'rockfish harvests'!D108</f>
        <v>730</v>
      </c>
      <c r="E105">
        <f>'YE harvest'!E109</f>
        <v>58</v>
      </c>
      <c r="F105" s="38"/>
      <c r="G105" s="39"/>
      <c r="H105" s="13">
        <f t="shared" si="34"/>
        <v>0</v>
      </c>
      <c r="I105">
        <f t="shared" si="23"/>
        <v>0</v>
      </c>
      <c r="J105">
        <f t="shared" si="25"/>
        <v>0</v>
      </c>
      <c r="K105" s="6">
        <f t="shared" si="26"/>
        <v>0</v>
      </c>
      <c r="M105" s="2">
        <f>'rockfish harvests'!O108</f>
        <v>100.67394854429358</v>
      </c>
      <c r="N105">
        <f>'rockfish harvests'!P108</f>
        <v>7505.8440731652699</v>
      </c>
      <c r="Q105" s="13" t="e">
        <f>M105*#REF!</f>
        <v>#REF!</v>
      </c>
      <c r="R105" s="14" t="e">
        <f>(M105^2)*#REF!+(#REF!^2)*N105-(#REF!*N105)</f>
        <v>#REF!</v>
      </c>
      <c r="S105" t="e">
        <f t="shared" si="27"/>
        <v>#REF!</v>
      </c>
      <c r="T105" s="6" t="e">
        <f t="shared" si="28"/>
        <v>#REF!</v>
      </c>
      <c r="V105" s="13" t="e">
        <f t="shared" si="24"/>
        <v>#REF!</v>
      </c>
      <c r="W105" t="e">
        <f t="shared" si="24"/>
        <v>#REF!</v>
      </c>
      <c r="X105" t="e">
        <f t="shared" si="29"/>
        <v>#REF!</v>
      </c>
      <c r="Y105" s="6" t="e">
        <f t="shared" si="30"/>
        <v>#REF!</v>
      </c>
    </row>
    <row r="106" spans="1:25" hidden="1" x14ac:dyDescent="0.25">
      <c r="A106" t="str">
        <f>'rockfish harvests'!A109</f>
        <v>SC</v>
      </c>
      <c r="B106">
        <f>'rockfish harvests'!B109</f>
        <v>2005</v>
      </c>
      <c r="C106" t="str">
        <f>'rockfish harvests'!C109</f>
        <v>EASTSIDE</v>
      </c>
      <c r="D106">
        <f>'rockfish harvests'!D109</f>
        <v>1242</v>
      </c>
      <c r="E106">
        <f>'YE harvest'!E110</f>
        <v>168</v>
      </c>
      <c r="F106" s="38"/>
      <c r="G106" s="39"/>
      <c r="H106" s="13">
        <f t="shared" si="34"/>
        <v>0</v>
      </c>
      <c r="I106">
        <f t="shared" si="23"/>
        <v>0</v>
      </c>
      <c r="J106">
        <f t="shared" si="25"/>
        <v>0</v>
      </c>
      <c r="K106" s="6">
        <f t="shared" si="26"/>
        <v>0</v>
      </c>
      <c r="M106" s="2">
        <f>'rockfish harvests'!O109</f>
        <v>171.28362204385303</v>
      </c>
      <c r="N106">
        <f>'rockfish harvests'!P109</f>
        <v>21726.862182169472</v>
      </c>
      <c r="Q106" s="13" t="e">
        <f>M106*#REF!</f>
        <v>#REF!</v>
      </c>
      <c r="R106" s="14" t="e">
        <f>(M106^2)*#REF!+(#REF!^2)*N106-(#REF!*N106)</f>
        <v>#REF!</v>
      </c>
      <c r="S106" t="e">
        <f t="shared" si="27"/>
        <v>#REF!</v>
      </c>
      <c r="T106" s="6" t="e">
        <f t="shared" si="28"/>
        <v>#REF!</v>
      </c>
      <c r="V106" s="13" t="e">
        <f t="shared" si="24"/>
        <v>#REF!</v>
      </c>
      <c r="W106" t="e">
        <f t="shared" si="24"/>
        <v>#REF!</v>
      </c>
      <c r="X106" t="e">
        <f t="shared" si="29"/>
        <v>#REF!</v>
      </c>
      <c r="Y106" s="6" t="e">
        <f t="shared" si="30"/>
        <v>#REF!</v>
      </c>
    </row>
    <row r="107" spans="1:25" hidden="1" x14ac:dyDescent="0.25">
      <c r="A107" t="str">
        <f>'rockfish harvests'!A110</f>
        <v>SC</v>
      </c>
      <c r="B107">
        <f>'rockfish harvests'!B110</f>
        <v>2006</v>
      </c>
      <c r="C107" t="str">
        <f>'rockfish harvests'!C110</f>
        <v>EASTSIDE</v>
      </c>
      <c r="D107">
        <f>'rockfish harvests'!D110</f>
        <v>1516</v>
      </c>
      <c r="E107">
        <f>'YE harvest'!E111</f>
        <v>160</v>
      </c>
      <c r="H107" s="13" t="e">
        <f>#REF!</f>
        <v>#REF!</v>
      </c>
      <c r="I107">
        <f t="shared" si="23"/>
        <v>0</v>
      </c>
      <c r="J107">
        <f t="shared" si="25"/>
        <v>0</v>
      </c>
      <c r="K107" s="6">
        <f t="shared" si="26"/>
        <v>0</v>
      </c>
      <c r="M107" s="2">
        <f>'rockfish harvests'!O110</f>
        <v>209.07083012760154</v>
      </c>
      <c r="N107">
        <f>'rockfish harvests'!P110</f>
        <v>32370.709657002288</v>
      </c>
      <c r="Q107" s="13" t="e">
        <f>M107*#REF!</f>
        <v>#REF!</v>
      </c>
      <c r="R107" s="14" t="e">
        <f>(M107^2)*#REF!+(#REF!^2)*N107-(#REF!*N107)</f>
        <v>#REF!</v>
      </c>
      <c r="S107" t="e">
        <f t="shared" si="27"/>
        <v>#REF!</v>
      </c>
      <c r="T107" s="6" t="e">
        <f t="shared" si="28"/>
        <v>#REF!</v>
      </c>
      <c r="V107" s="13" t="e">
        <f t="shared" si="24"/>
        <v>#REF!</v>
      </c>
      <c r="W107" t="e">
        <f t="shared" si="24"/>
        <v>#REF!</v>
      </c>
      <c r="X107" t="e">
        <f t="shared" si="29"/>
        <v>#REF!</v>
      </c>
      <c r="Y107" s="6" t="e">
        <f t="shared" si="30"/>
        <v>#REF!</v>
      </c>
    </row>
    <row r="108" spans="1:25" hidden="1" x14ac:dyDescent="0.25">
      <c r="A108" t="str">
        <f>'rockfish harvests'!A111</f>
        <v>SC</v>
      </c>
      <c r="B108">
        <f>'rockfish harvests'!B111</f>
        <v>2007</v>
      </c>
      <c r="C108" t="str">
        <f>'rockfish harvests'!C111</f>
        <v>EASTSIDE</v>
      </c>
      <c r="D108">
        <f>'rockfish harvests'!D111</f>
        <v>3481</v>
      </c>
      <c r="E108">
        <f>'YE harvest'!E112</f>
        <v>171</v>
      </c>
      <c r="H108" s="13" t="e">
        <f>#REF!</f>
        <v>#REF!</v>
      </c>
      <c r="I108">
        <f t="shared" si="23"/>
        <v>0</v>
      </c>
      <c r="J108">
        <f t="shared" si="25"/>
        <v>0</v>
      </c>
      <c r="K108" s="6">
        <f t="shared" si="26"/>
        <v>0</v>
      </c>
      <c r="M108" s="2">
        <f>'rockfish harvests'!O111</f>
        <v>480.0630340858711</v>
      </c>
      <c r="N108">
        <f>'rockfish harvests'!P111</f>
        <v>170671.83757600674</v>
      </c>
      <c r="Q108" s="13" t="e">
        <f>M108*#REF!</f>
        <v>#REF!</v>
      </c>
      <c r="R108" s="14" t="e">
        <f>(M108^2)*#REF!+(#REF!^2)*N108-(#REF!*N108)</f>
        <v>#REF!</v>
      </c>
      <c r="S108" t="e">
        <f t="shared" si="27"/>
        <v>#REF!</v>
      </c>
      <c r="T108" s="6" t="e">
        <f t="shared" si="28"/>
        <v>#REF!</v>
      </c>
      <c r="V108" s="13" t="e">
        <f t="shared" si="24"/>
        <v>#REF!</v>
      </c>
      <c r="W108" t="e">
        <f t="shared" si="24"/>
        <v>#REF!</v>
      </c>
      <c r="X108" t="e">
        <f t="shared" si="29"/>
        <v>#REF!</v>
      </c>
      <c r="Y108" s="6" t="e">
        <f t="shared" si="30"/>
        <v>#REF!</v>
      </c>
    </row>
    <row r="109" spans="1:25" hidden="1" x14ac:dyDescent="0.25">
      <c r="A109" t="str">
        <f>'rockfish harvests'!A112</f>
        <v>SC</v>
      </c>
      <c r="B109">
        <f>'rockfish harvests'!B112</f>
        <v>2008</v>
      </c>
      <c r="C109" t="str">
        <f>'rockfish harvests'!C112</f>
        <v>EASTSIDE</v>
      </c>
      <c r="D109">
        <f>'rockfish harvests'!D112</f>
        <v>2311</v>
      </c>
      <c r="E109">
        <f>'YE harvest'!E113</f>
        <v>213</v>
      </c>
      <c r="H109" s="13" t="e">
        <f>#REF!</f>
        <v>#REF!</v>
      </c>
      <c r="I109">
        <f t="shared" si="23"/>
        <v>0</v>
      </c>
      <c r="J109">
        <f t="shared" si="25"/>
        <v>0</v>
      </c>
      <c r="K109" s="6">
        <f t="shared" si="26"/>
        <v>0</v>
      </c>
      <c r="M109" s="2">
        <f>'rockfish harvests'!O112</f>
        <v>318.70889737789366</v>
      </c>
      <c r="N109">
        <f>'rockfish harvests'!P112</f>
        <v>75223.529863537799</v>
      </c>
      <c r="Q109" s="13" t="e">
        <f>M109*#REF!</f>
        <v>#REF!</v>
      </c>
      <c r="R109" s="14" t="e">
        <f>(M109^2)*#REF!+(#REF!^2)*N109-(#REF!*N109)</f>
        <v>#REF!</v>
      </c>
      <c r="S109" t="e">
        <f t="shared" si="27"/>
        <v>#REF!</v>
      </c>
      <c r="T109" s="6" t="e">
        <f t="shared" si="28"/>
        <v>#REF!</v>
      </c>
      <c r="V109" s="13" t="e">
        <f t="shared" si="24"/>
        <v>#REF!</v>
      </c>
      <c r="W109" t="e">
        <f t="shared" si="24"/>
        <v>#REF!</v>
      </c>
      <c r="X109" t="e">
        <f t="shared" si="29"/>
        <v>#REF!</v>
      </c>
      <c r="Y109" s="6" t="e">
        <f t="shared" si="30"/>
        <v>#REF!</v>
      </c>
    </row>
    <row r="110" spans="1:25" hidden="1" x14ac:dyDescent="0.25">
      <c r="A110" t="str">
        <f>'rockfish harvests'!A113</f>
        <v>SC</v>
      </c>
      <c r="B110">
        <f>'rockfish harvests'!B113</f>
        <v>2009</v>
      </c>
      <c r="C110" t="str">
        <f>'rockfish harvests'!C113</f>
        <v>EASTSIDE</v>
      </c>
      <c r="D110">
        <f>'rockfish harvests'!D113</f>
        <v>2296</v>
      </c>
      <c r="E110">
        <f>'YE harvest'!E114</f>
        <v>49</v>
      </c>
      <c r="H110" s="13" t="e">
        <f>#REF!</f>
        <v>#REF!</v>
      </c>
      <c r="I110">
        <f t="shared" si="23"/>
        <v>0</v>
      </c>
      <c r="J110">
        <f t="shared" si="25"/>
        <v>0</v>
      </c>
      <c r="K110" s="6">
        <f t="shared" si="26"/>
        <v>0</v>
      </c>
      <c r="M110" s="2">
        <f>'rockfish harvests'!O113</f>
        <v>316.64025459958657</v>
      </c>
      <c r="N110">
        <f>'rockfish harvests'!P113</f>
        <v>74250.19273710491</v>
      </c>
      <c r="Q110" s="13" t="e">
        <f>M110*#REF!</f>
        <v>#REF!</v>
      </c>
      <c r="R110" s="14" t="e">
        <f>(M110^2)*#REF!+(#REF!^2)*N110-(#REF!*N110)</f>
        <v>#REF!</v>
      </c>
      <c r="S110" t="e">
        <f t="shared" si="27"/>
        <v>#REF!</v>
      </c>
      <c r="T110" s="6" t="e">
        <f t="shared" si="28"/>
        <v>#REF!</v>
      </c>
      <c r="V110" s="13" t="e">
        <f t="shared" si="24"/>
        <v>#REF!</v>
      </c>
      <c r="W110" t="e">
        <f t="shared" si="24"/>
        <v>#REF!</v>
      </c>
      <c r="X110" t="e">
        <f t="shared" si="29"/>
        <v>#REF!</v>
      </c>
      <c r="Y110" s="6" t="e">
        <f t="shared" si="30"/>
        <v>#REF!</v>
      </c>
    </row>
    <row r="111" spans="1:25" hidden="1" x14ac:dyDescent="0.25">
      <c r="A111" t="str">
        <f>'rockfish harvests'!A114</f>
        <v>SC</v>
      </c>
      <c r="B111">
        <f>'rockfish harvests'!B114</f>
        <v>2010</v>
      </c>
      <c r="C111" t="str">
        <f>'rockfish harvests'!C114</f>
        <v>EASTSIDE</v>
      </c>
      <c r="D111">
        <f>'rockfish harvests'!D114</f>
        <v>2555</v>
      </c>
      <c r="E111">
        <f>'YE harvest'!E115</f>
        <v>892</v>
      </c>
      <c r="H111" s="13" t="e">
        <f>#REF!</f>
        <v>#REF!</v>
      </c>
      <c r="I111">
        <f t="shared" si="23"/>
        <v>0</v>
      </c>
      <c r="J111">
        <f t="shared" si="25"/>
        <v>0</v>
      </c>
      <c r="K111" s="6">
        <f t="shared" si="26"/>
        <v>0</v>
      </c>
      <c r="M111" s="2">
        <f>'rockfish harvests'!O114</f>
        <v>352.35881990502776</v>
      </c>
      <c r="N111">
        <f>'rockfish harvests'!P114</f>
        <v>91946.589896274556</v>
      </c>
      <c r="Q111" s="13" t="e">
        <f>M111*#REF!</f>
        <v>#REF!</v>
      </c>
      <c r="R111" s="14" t="e">
        <f>(M111^2)*#REF!+(#REF!^2)*N111-(#REF!*N111)</f>
        <v>#REF!</v>
      </c>
      <c r="S111" t="e">
        <f t="shared" si="27"/>
        <v>#REF!</v>
      </c>
      <c r="T111" s="6" t="e">
        <f t="shared" si="28"/>
        <v>#REF!</v>
      </c>
      <c r="V111" s="13" t="e">
        <f t="shared" si="24"/>
        <v>#REF!</v>
      </c>
      <c r="W111" t="e">
        <f t="shared" si="24"/>
        <v>#REF!</v>
      </c>
      <c r="X111" t="e">
        <f t="shared" si="29"/>
        <v>#REF!</v>
      </c>
      <c r="Y111" s="6" t="e">
        <f t="shared" si="30"/>
        <v>#REF!</v>
      </c>
    </row>
    <row r="112" spans="1:25" hidden="1" x14ac:dyDescent="0.25">
      <c r="A112" t="str">
        <f>'rockfish harvests'!A115</f>
        <v>SC</v>
      </c>
      <c r="B112">
        <f>'rockfish harvests'!B115</f>
        <v>2011</v>
      </c>
      <c r="C112" t="str">
        <f>'rockfish harvests'!C115</f>
        <v>EASTSIDE</v>
      </c>
      <c r="D112">
        <f>'rockfish harvests'!D115</f>
        <v>1928</v>
      </c>
      <c r="E112">
        <f>'YE harvest'!E116</f>
        <v>75</v>
      </c>
      <c r="H112" s="13" t="e">
        <f>#REF!</f>
        <v>#REF!</v>
      </c>
      <c r="I112">
        <f t="shared" si="23"/>
        <v>0</v>
      </c>
      <c r="J112">
        <f t="shared" si="25"/>
        <v>0</v>
      </c>
      <c r="K112" s="6">
        <f t="shared" si="26"/>
        <v>0</v>
      </c>
      <c r="M112" s="2">
        <f>'rockfish harvests'!O115</f>
        <v>51.46120422098079</v>
      </c>
      <c r="N112">
        <f>'rockfish harvests'!P115</f>
        <v>1649.9620849615694</v>
      </c>
      <c r="Q112" s="13" t="e">
        <f>M112*#REF!</f>
        <v>#REF!</v>
      </c>
      <c r="R112" s="14" t="e">
        <f>(M112^2)*#REF!+(#REF!^2)*N112-(#REF!*N112)</f>
        <v>#REF!</v>
      </c>
      <c r="S112" t="e">
        <f t="shared" si="27"/>
        <v>#REF!</v>
      </c>
      <c r="T112" s="6" t="e">
        <f t="shared" si="28"/>
        <v>#REF!</v>
      </c>
      <c r="V112" s="13" t="e">
        <f t="shared" si="24"/>
        <v>#REF!</v>
      </c>
      <c r="W112" t="e">
        <f t="shared" si="24"/>
        <v>#REF!</v>
      </c>
      <c r="X112" t="e">
        <f t="shared" si="29"/>
        <v>#REF!</v>
      </c>
      <c r="Y112" s="6" t="e">
        <f t="shared" si="30"/>
        <v>#REF!</v>
      </c>
    </row>
    <row r="113" spans="1:25" hidden="1" x14ac:dyDescent="0.25">
      <c r="A113" t="str">
        <f>'rockfish harvests'!A116</f>
        <v>SC</v>
      </c>
      <c r="B113">
        <f>'rockfish harvests'!B116</f>
        <v>2012</v>
      </c>
      <c r="C113" t="str">
        <f>'rockfish harvests'!C116</f>
        <v>EASTSIDE</v>
      </c>
      <c r="D113">
        <f>'rockfish harvests'!D116</f>
        <v>3433</v>
      </c>
      <c r="E113">
        <f>'YE harvest'!E117</f>
        <v>223</v>
      </c>
      <c r="H113" s="13" t="e">
        <f>#REF!</f>
        <v>#REF!</v>
      </c>
      <c r="I113">
        <f t="shared" si="23"/>
        <v>0</v>
      </c>
      <c r="J113">
        <f t="shared" si="25"/>
        <v>0</v>
      </c>
      <c r="K113" s="6">
        <f t="shared" si="26"/>
        <v>0</v>
      </c>
      <c r="M113" s="2">
        <f>'rockfish harvests'!O116</f>
        <v>276.3989021043003</v>
      </c>
      <c r="N113">
        <f>'rockfish harvests'!P116</f>
        <v>25117.984568882985</v>
      </c>
      <c r="Q113" s="13" t="e">
        <f>M113*#REF!</f>
        <v>#REF!</v>
      </c>
      <c r="R113" s="14" t="e">
        <f>(M113^2)*#REF!+(#REF!^2)*N113-(#REF!*N113)</f>
        <v>#REF!</v>
      </c>
      <c r="S113" t="e">
        <f t="shared" si="27"/>
        <v>#REF!</v>
      </c>
      <c r="T113" s="6" t="e">
        <f t="shared" si="28"/>
        <v>#REF!</v>
      </c>
      <c r="V113" s="13" t="e">
        <f t="shared" si="24"/>
        <v>#REF!</v>
      </c>
      <c r="W113" t="e">
        <f t="shared" si="24"/>
        <v>#REF!</v>
      </c>
      <c r="X113" t="e">
        <f t="shared" si="29"/>
        <v>#REF!</v>
      </c>
      <c r="Y113" s="6" t="e">
        <f t="shared" si="30"/>
        <v>#REF!</v>
      </c>
    </row>
    <row r="114" spans="1:25" hidden="1" x14ac:dyDescent="0.25">
      <c r="A114" t="str">
        <f>'rockfish harvests'!A117</f>
        <v>SC</v>
      </c>
      <c r="B114">
        <f>'rockfish harvests'!B117</f>
        <v>2013</v>
      </c>
      <c r="C114" t="str">
        <f>'rockfish harvests'!C117</f>
        <v>EASTSIDE</v>
      </c>
      <c r="D114">
        <f>'rockfish harvests'!D117</f>
        <v>2207</v>
      </c>
      <c r="E114">
        <f>'YE harvest'!E118</f>
        <v>126</v>
      </c>
      <c r="H114" s="13" t="e">
        <f>#REF!</f>
        <v>#REF!</v>
      </c>
      <c r="I114">
        <f t="shared" si="23"/>
        <v>0</v>
      </c>
      <c r="J114">
        <f t="shared" si="25"/>
        <v>0</v>
      </c>
      <c r="K114" s="6">
        <f t="shared" si="26"/>
        <v>0</v>
      </c>
      <c r="M114" s="2">
        <f>'rockfish harvests'!O117</f>
        <v>351.77988614800779</v>
      </c>
      <c r="N114">
        <f>'rockfish harvests'!P117</f>
        <v>93936.264893907151</v>
      </c>
      <c r="Q114" s="13" t="e">
        <f>M114*#REF!</f>
        <v>#REF!</v>
      </c>
      <c r="R114" s="14" t="e">
        <f>(M114^2)*#REF!+(#REF!^2)*N114-(#REF!*N114)</f>
        <v>#REF!</v>
      </c>
      <c r="S114" t="e">
        <f t="shared" si="27"/>
        <v>#REF!</v>
      </c>
      <c r="T114" s="6" t="e">
        <f t="shared" si="28"/>
        <v>#REF!</v>
      </c>
      <c r="V114" s="13" t="e">
        <f t="shared" si="24"/>
        <v>#REF!</v>
      </c>
      <c r="W114" t="e">
        <f t="shared" si="24"/>
        <v>#REF!</v>
      </c>
      <c r="X114" t="e">
        <f t="shared" si="29"/>
        <v>#REF!</v>
      </c>
      <c r="Y114" s="6" t="e">
        <f t="shared" si="30"/>
        <v>#REF!</v>
      </c>
    </row>
    <row r="115" spans="1:25" hidden="1" x14ac:dyDescent="0.25">
      <c r="A115" t="str">
        <f>'rockfish harvests'!A118</f>
        <v>SC</v>
      </c>
      <c r="B115">
        <f>'rockfish harvests'!B118</f>
        <v>2014</v>
      </c>
      <c r="C115" t="str">
        <f>'rockfish harvests'!C118</f>
        <v>EASTSIDE</v>
      </c>
      <c r="D115">
        <f>'rockfish harvests'!D118</f>
        <v>3551</v>
      </c>
      <c r="E115">
        <f>'YE harvest'!E119</f>
        <v>166</v>
      </c>
      <c r="H115" s="13" t="e">
        <f>#REF!</f>
        <v>#REF!</v>
      </c>
      <c r="I115">
        <f t="shared" si="23"/>
        <v>0</v>
      </c>
      <c r="J115">
        <f t="shared" si="25"/>
        <v>0</v>
      </c>
      <c r="K115" s="6">
        <f t="shared" si="26"/>
        <v>0</v>
      </c>
      <c r="M115" s="2">
        <f>'rockfish harvests'!O118</f>
        <v>250.87949818421885</v>
      </c>
      <c r="N115">
        <f>'rockfish harvests'!P118</f>
        <v>23714.551436006946</v>
      </c>
      <c r="Q115" s="13" t="e">
        <f>M115*#REF!</f>
        <v>#REF!</v>
      </c>
      <c r="R115" s="14" t="e">
        <f>(M115^2)*#REF!+(#REF!^2)*N115-(#REF!*N115)</f>
        <v>#REF!</v>
      </c>
      <c r="S115" t="e">
        <f t="shared" si="27"/>
        <v>#REF!</v>
      </c>
      <c r="T115" s="6" t="e">
        <f t="shared" si="28"/>
        <v>#REF!</v>
      </c>
      <c r="V115" s="13" t="e">
        <f t="shared" si="24"/>
        <v>#REF!</v>
      </c>
      <c r="W115" t="e">
        <f t="shared" si="24"/>
        <v>#REF!</v>
      </c>
      <c r="X115" t="e">
        <f t="shared" si="29"/>
        <v>#REF!</v>
      </c>
      <c r="Y115" s="6" t="e">
        <f t="shared" si="30"/>
        <v>#REF!</v>
      </c>
    </row>
    <row r="116" spans="1:25" hidden="1" x14ac:dyDescent="0.25">
      <c r="A116" t="str">
        <f>'rockfish harvests'!A119</f>
        <v>SC</v>
      </c>
      <c r="B116">
        <f>'rockfish harvests'!B119</f>
        <v>2015</v>
      </c>
      <c r="C116" t="str">
        <f>'rockfish harvests'!C119</f>
        <v>EASTSIDE</v>
      </c>
      <c r="D116">
        <f>'rockfish harvests'!D119</f>
        <v>2787</v>
      </c>
      <c r="E116">
        <f>'YE harvest'!E120</f>
        <v>152</v>
      </c>
      <c r="H116" s="13" t="e">
        <f>#REF!</f>
        <v>#REF!</v>
      </c>
      <c r="I116">
        <f t="shared" si="23"/>
        <v>0</v>
      </c>
      <c r="J116">
        <f t="shared" si="25"/>
        <v>0</v>
      </c>
      <c r="K116" s="6">
        <f t="shared" si="26"/>
        <v>0</v>
      </c>
      <c r="M116" s="2">
        <f>'rockfish harvests'!O119</f>
        <v>932.19872110181996</v>
      </c>
      <c r="N116">
        <f>'rockfish harvests'!P119</f>
        <v>360398.18316320516</v>
      </c>
      <c r="Q116" s="13" t="e">
        <f>M116*#REF!</f>
        <v>#REF!</v>
      </c>
      <c r="R116" s="14" t="e">
        <f>(M116^2)*#REF!+(#REF!^2)*N116-(#REF!*N116)</f>
        <v>#REF!</v>
      </c>
      <c r="S116" t="e">
        <f t="shared" si="27"/>
        <v>#REF!</v>
      </c>
      <c r="T116" s="6" t="e">
        <f t="shared" si="28"/>
        <v>#REF!</v>
      </c>
      <c r="V116" s="13" t="e">
        <f t="shared" si="24"/>
        <v>#REF!</v>
      </c>
      <c r="W116" t="e">
        <f t="shared" si="24"/>
        <v>#REF!</v>
      </c>
      <c r="X116" t="e">
        <f t="shared" si="29"/>
        <v>#REF!</v>
      </c>
      <c r="Y116" s="6" t="e">
        <f t="shared" si="30"/>
        <v>#REF!</v>
      </c>
    </row>
    <row r="117" spans="1:25" hidden="1" x14ac:dyDescent="0.25">
      <c r="A117" t="str">
        <f>'rockfish harvests'!A120</f>
        <v>SC</v>
      </c>
      <c r="B117">
        <f>'rockfish harvests'!B120</f>
        <v>2016</v>
      </c>
      <c r="C117" t="str">
        <f>'rockfish harvests'!C120</f>
        <v>EASTSIDE</v>
      </c>
      <c r="D117">
        <f>'rockfish harvests'!D120</f>
        <v>3561</v>
      </c>
      <c r="E117">
        <f>'YE harvest'!E121</f>
        <v>169</v>
      </c>
      <c r="H117" s="13" t="e">
        <f>#REF!</f>
        <v>#REF!</v>
      </c>
      <c r="I117">
        <f t="shared" si="23"/>
        <v>0</v>
      </c>
      <c r="J117">
        <f t="shared" si="25"/>
        <v>0</v>
      </c>
      <c r="K117" s="6">
        <f t="shared" si="26"/>
        <v>0</v>
      </c>
      <c r="M117" s="2">
        <f>'rockfish harvests'!O120</f>
        <v>418.19068471337596</v>
      </c>
      <c r="N117">
        <f>'rockfish harvests'!P120</f>
        <v>86017.579810230731</v>
      </c>
      <c r="Q117" s="13" t="e">
        <f>M117*#REF!</f>
        <v>#REF!</v>
      </c>
      <c r="R117" s="14" t="e">
        <f>(M117^2)*#REF!+(#REF!^2)*N117-(#REF!*N117)</f>
        <v>#REF!</v>
      </c>
      <c r="S117" t="e">
        <f t="shared" si="27"/>
        <v>#REF!</v>
      </c>
      <c r="T117" s="6" t="e">
        <f t="shared" si="28"/>
        <v>#REF!</v>
      </c>
      <c r="V117" s="13" t="e">
        <f t="shared" si="24"/>
        <v>#REF!</v>
      </c>
      <c r="W117" t="e">
        <f t="shared" si="24"/>
        <v>#REF!</v>
      </c>
      <c r="X117" t="e">
        <f t="shared" si="29"/>
        <v>#REF!</v>
      </c>
      <c r="Y117" s="6" t="e">
        <f t="shared" si="30"/>
        <v>#REF!</v>
      </c>
    </row>
    <row r="118" spans="1:25" hidden="1" x14ac:dyDescent="0.25">
      <c r="A118" t="str">
        <f>'rockfish harvests'!A121</f>
        <v>SC</v>
      </c>
      <c r="B118">
        <f>'rockfish harvests'!B121</f>
        <v>2017</v>
      </c>
      <c r="C118" t="str">
        <f>'rockfish harvests'!C121</f>
        <v>EASTSIDE</v>
      </c>
      <c r="D118">
        <f>'rockfish harvests'!D121</f>
        <v>3933</v>
      </c>
      <c r="E118">
        <f>'YE harvest'!E122</f>
        <v>56</v>
      </c>
      <c r="H118" s="13" t="e">
        <f>#REF!</f>
        <v>#REF!</v>
      </c>
      <c r="I118">
        <f t="shared" si="23"/>
        <v>0</v>
      </c>
      <c r="J118">
        <f t="shared" si="25"/>
        <v>0</v>
      </c>
      <c r="K118" s="6">
        <f t="shared" si="26"/>
        <v>0</v>
      </c>
      <c r="M118" s="2">
        <f>'rockfish harvests'!O121</f>
        <v>1353.8031716417918</v>
      </c>
      <c r="N118">
        <f>'rockfish harvests'!P121</f>
        <v>628325.57356668822</v>
      </c>
      <c r="Q118" s="13" t="e">
        <f>M118*#REF!</f>
        <v>#REF!</v>
      </c>
      <c r="R118" s="14" t="e">
        <f>(M118^2)*#REF!+(#REF!^2)*N118-(#REF!*N118)</f>
        <v>#REF!</v>
      </c>
      <c r="S118" t="e">
        <f t="shared" si="27"/>
        <v>#REF!</v>
      </c>
      <c r="T118" s="6" t="e">
        <f t="shared" si="28"/>
        <v>#REF!</v>
      </c>
      <c r="V118" s="13" t="e">
        <f t="shared" si="24"/>
        <v>#REF!</v>
      </c>
      <c r="W118" t="e">
        <f t="shared" si="24"/>
        <v>#REF!</v>
      </c>
      <c r="X118" t="e">
        <f t="shared" si="29"/>
        <v>#REF!</v>
      </c>
      <c r="Y118" s="6" t="e">
        <f t="shared" si="30"/>
        <v>#REF!</v>
      </c>
    </row>
    <row r="119" spans="1:25" hidden="1" x14ac:dyDescent="0.25">
      <c r="A119" t="str">
        <f>'rockfish harvests'!A122</f>
        <v>SC</v>
      </c>
      <c r="B119">
        <f>'rockfish harvests'!B122</f>
        <v>2018</v>
      </c>
      <c r="C119" t="str">
        <f>'rockfish harvests'!C122</f>
        <v>EASTSIDE</v>
      </c>
      <c r="D119">
        <f>'rockfish harvests'!D122</f>
        <v>3914</v>
      </c>
      <c r="E119">
        <f>'YE harvest'!E123</f>
        <v>224</v>
      </c>
      <c r="H119" s="13" t="e">
        <f>#REF!</f>
        <v>#REF!</v>
      </c>
      <c r="I119">
        <f t="shared" si="23"/>
        <v>0</v>
      </c>
      <c r="J119">
        <f t="shared" si="25"/>
        <v>0</v>
      </c>
      <c r="K119" s="6">
        <f t="shared" si="26"/>
        <v>0</v>
      </c>
      <c r="M119" s="2">
        <f>'rockfish harvests'!O122</f>
        <v>302.2796271637817</v>
      </c>
      <c r="N119">
        <f>'rockfish harvests'!P122</f>
        <v>37596.448991886558</v>
      </c>
      <c r="Q119" s="13" t="e">
        <f>M119*#REF!</f>
        <v>#REF!</v>
      </c>
      <c r="R119" s="14" t="e">
        <f>(M119^2)*#REF!+(#REF!^2)*N119-(#REF!*N119)</f>
        <v>#REF!</v>
      </c>
      <c r="S119" t="e">
        <f t="shared" si="27"/>
        <v>#REF!</v>
      </c>
      <c r="T119" s="6" t="e">
        <f t="shared" si="28"/>
        <v>#REF!</v>
      </c>
      <c r="V119" s="13" t="e">
        <f t="shared" si="24"/>
        <v>#REF!</v>
      </c>
      <c r="W119" t="e">
        <f t="shared" si="24"/>
        <v>#REF!</v>
      </c>
      <c r="X119" t="e">
        <f t="shared" si="29"/>
        <v>#REF!</v>
      </c>
      <c r="Y119" s="6" t="e">
        <f t="shared" si="30"/>
        <v>#REF!</v>
      </c>
    </row>
    <row r="120" spans="1:25" hidden="1" x14ac:dyDescent="0.25">
      <c r="A120" t="str">
        <f>'rockfish harvests'!A123</f>
        <v>SC</v>
      </c>
      <c r="B120">
        <f>'rockfish harvests'!B123</f>
        <v>2019</v>
      </c>
      <c r="C120" t="str">
        <f>'rockfish harvests'!C123</f>
        <v>EASTSIDE</v>
      </c>
      <c r="D120">
        <f>'rockfish harvests'!D123</f>
        <v>5680</v>
      </c>
      <c r="E120">
        <f>'YE harvest'!E124</f>
        <v>116</v>
      </c>
      <c r="I120">
        <f t="shared" ref="I120:I121" si="35">(E120^2)*G120</f>
        <v>0</v>
      </c>
      <c r="J120">
        <f t="shared" ref="J120:J121" si="36">SQRT(I120)</f>
        <v>0</v>
      </c>
      <c r="K120" s="6">
        <f t="shared" ref="K120:K121" si="37">(1.96*J120)</f>
        <v>0</v>
      </c>
      <c r="M120" s="2">
        <f>'rockfish harvests'!O123</f>
        <v>1827.1545603495351</v>
      </c>
      <c r="N120">
        <f>'rockfish harvests'!P123</f>
        <v>1939226.0896531206</v>
      </c>
      <c r="R120" s="14"/>
      <c r="S120"/>
      <c r="T120" s="6"/>
      <c r="Y120" s="6"/>
    </row>
    <row r="121" spans="1:25" hidden="1" x14ac:dyDescent="0.25">
      <c r="A121" t="str">
        <f>'rockfish harvests'!A124</f>
        <v>SC</v>
      </c>
      <c r="B121">
        <f>'rockfish harvests'!B124</f>
        <v>2020</v>
      </c>
      <c r="C121" t="str">
        <f>'rockfish harvests'!C124</f>
        <v>EASTSIDE</v>
      </c>
      <c r="D121">
        <f>'rockfish harvests'!D124</f>
        <v>1507</v>
      </c>
      <c r="E121">
        <f>'YE harvest'!E125</f>
        <v>71</v>
      </c>
      <c r="I121">
        <f t="shared" si="35"/>
        <v>0</v>
      </c>
      <c r="J121">
        <f t="shared" si="36"/>
        <v>0</v>
      </c>
      <c r="K121" s="6">
        <f t="shared" si="37"/>
        <v>0</v>
      </c>
      <c r="M121" s="2">
        <f>'rockfish harvests'!O124</f>
        <v>285.07252075141969</v>
      </c>
      <c r="N121">
        <f>'rockfish harvests'!P124</f>
        <v>20342.54532916598</v>
      </c>
      <c r="R121" s="14"/>
      <c r="S121"/>
      <c r="T121" s="6"/>
      <c r="Y121" s="6"/>
    </row>
    <row r="122" spans="1:25" hidden="1" x14ac:dyDescent="0.25">
      <c r="A122" t="str">
        <f>'rockfish harvests'!A125</f>
        <v>SC</v>
      </c>
      <c r="B122">
        <f>'rockfish harvests'!B125</f>
        <v>2021</v>
      </c>
      <c r="C122" t="str">
        <f>'rockfish harvests'!C125</f>
        <v>EASTSIDE</v>
      </c>
      <c r="D122">
        <f>'rockfish harvests'!D125</f>
        <v>2885</v>
      </c>
      <c r="E122">
        <f>'YE harvest'!E126</f>
        <v>187</v>
      </c>
      <c r="K122" s="6"/>
      <c r="M122" s="2">
        <f>'rockfish harvests'!O125</f>
        <v>450.56951620479094</v>
      </c>
      <c r="N122">
        <f>'rockfish harvests'!P125</f>
        <v>34555.289276141099</v>
      </c>
      <c r="R122" s="14"/>
      <c r="S122"/>
      <c r="T122" s="6"/>
      <c r="Y122" s="6"/>
    </row>
    <row r="123" spans="1:25" hidden="1" x14ac:dyDescent="0.25">
      <c r="A123" t="str">
        <f>'rockfish harvests'!A127</f>
        <v>SC</v>
      </c>
      <c r="B123">
        <f>'rockfish harvests'!B127</f>
        <v>1998</v>
      </c>
      <c r="C123" t="str">
        <f>'rockfish harvests'!C127</f>
        <v>NG</v>
      </c>
      <c r="D123">
        <f>'rockfish harvests'!D127</f>
        <v>5169</v>
      </c>
      <c r="E123">
        <f>'YE harvest'!E128</f>
        <v>1242</v>
      </c>
      <c r="F123" s="32"/>
      <c r="G123" s="32"/>
      <c r="H123" s="13">
        <f t="shared" ref="H123:H130" si="38">E123*F123</f>
        <v>0</v>
      </c>
      <c r="I123">
        <f t="shared" si="23"/>
        <v>0</v>
      </c>
      <c r="J123">
        <f t="shared" si="25"/>
        <v>0</v>
      </c>
      <c r="K123" s="6">
        <f t="shared" si="26"/>
        <v>0</v>
      </c>
      <c r="M123" s="2">
        <f>'rockfish harvests'!O127</f>
        <v>2556.220955913016</v>
      </c>
      <c r="N123">
        <f>'rockfish harvests'!P127</f>
        <v>380846.86521831615</v>
      </c>
      <c r="Q123" s="13">
        <f t="shared" ref="Q123:Q195" si="39">M123*O123</f>
        <v>0</v>
      </c>
      <c r="R123" s="14">
        <f t="shared" ref="R123:R195" si="40">(M123^2)*P123+(O123^2)*N123-(P123*N123)</f>
        <v>0</v>
      </c>
      <c r="S123">
        <f t="shared" si="27"/>
        <v>0</v>
      </c>
      <c r="T123" s="6">
        <f t="shared" si="28"/>
        <v>0</v>
      </c>
      <c r="V123" s="13">
        <f t="shared" si="24"/>
        <v>0</v>
      </c>
      <c r="W123">
        <f t="shared" si="24"/>
        <v>0</v>
      </c>
      <c r="X123">
        <f t="shared" si="29"/>
        <v>0</v>
      </c>
      <c r="Y123" s="6">
        <f t="shared" si="30"/>
        <v>0</v>
      </c>
    </row>
    <row r="124" spans="1:25" hidden="1" x14ac:dyDescent="0.25">
      <c r="A124" t="str">
        <f>'rockfish harvests'!A128</f>
        <v>SC</v>
      </c>
      <c r="B124">
        <f>'rockfish harvests'!B128</f>
        <v>1999</v>
      </c>
      <c r="C124" t="str">
        <f>'rockfish harvests'!C128</f>
        <v>NG</v>
      </c>
      <c r="D124">
        <f>'rockfish harvests'!D128</f>
        <v>9276</v>
      </c>
      <c r="E124">
        <f>'YE harvest'!E129</f>
        <v>1138</v>
      </c>
      <c r="H124" s="13">
        <f t="shared" si="38"/>
        <v>0</v>
      </c>
      <c r="I124">
        <f t="shared" si="23"/>
        <v>0</v>
      </c>
      <c r="J124">
        <f t="shared" si="25"/>
        <v>0</v>
      </c>
      <c r="K124" s="6">
        <f t="shared" si="26"/>
        <v>0</v>
      </c>
      <c r="M124" s="2">
        <f>'rockfish harvests'!O128</f>
        <v>4587.2519998160442</v>
      </c>
      <c r="N124">
        <f>'rockfish harvests'!P128</f>
        <v>1226475.2843498222</v>
      </c>
      <c r="Q124" s="13">
        <f t="shared" si="39"/>
        <v>0</v>
      </c>
      <c r="R124" s="14">
        <f t="shared" si="40"/>
        <v>0</v>
      </c>
      <c r="S124">
        <f t="shared" si="27"/>
        <v>0</v>
      </c>
      <c r="T124" s="6">
        <f t="shared" si="28"/>
        <v>0</v>
      </c>
      <c r="V124" s="13">
        <f t="shared" si="24"/>
        <v>0</v>
      </c>
      <c r="W124">
        <f t="shared" si="24"/>
        <v>0</v>
      </c>
      <c r="X124">
        <f t="shared" si="29"/>
        <v>0</v>
      </c>
      <c r="Y124" s="6">
        <f t="shared" si="30"/>
        <v>0</v>
      </c>
    </row>
    <row r="125" spans="1:25" hidden="1" x14ac:dyDescent="0.25">
      <c r="A125" t="str">
        <f>'rockfish harvests'!A129</f>
        <v>SC</v>
      </c>
      <c r="B125">
        <f>'rockfish harvests'!B129</f>
        <v>2000</v>
      </c>
      <c r="C125" t="str">
        <f>'rockfish harvests'!C129</f>
        <v>NG</v>
      </c>
      <c r="D125">
        <f>'rockfish harvests'!D129</f>
        <v>13107</v>
      </c>
      <c r="E125">
        <f>'YE harvest'!E130</f>
        <v>2404</v>
      </c>
      <c r="H125" s="13">
        <f t="shared" si="38"/>
        <v>0</v>
      </c>
      <c r="I125">
        <f t="shared" si="23"/>
        <v>0</v>
      </c>
      <c r="J125">
        <f t="shared" si="25"/>
        <v>0</v>
      </c>
      <c r="K125" s="6">
        <f t="shared" si="26"/>
        <v>0</v>
      </c>
      <c r="M125" s="2">
        <f>'rockfish harvests'!O129</f>
        <v>6481.7930100893609</v>
      </c>
      <c r="N125">
        <f>'rockfish harvests'!P129</f>
        <v>2448747.0158551079</v>
      </c>
      <c r="Q125" s="13">
        <f t="shared" si="39"/>
        <v>0</v>
      </c>
      <c r="R125" s="14">
        <f t="shared" si="40"/>
        <v>0</v>
      </c>
      <c r="S125">
        <f t="shared" si="27"/>
        <v>0</v>
      </c>
      <c r="T125" s="6">
        <f t="shared" si="28"/>
        <v>0</v>
      </c>
      <c r="V125" s="13">
        <f t="shared" si="24"/>
        <v>0</v>
      </c>
      <c r="W125">
        <f t="shared" si="24"/>
        <v>0</v>
      </c>
      <c r="X125">
        <f t="shared" si="29"/>
        <v>0</v>
      </c>
      <c r="Y125" s="6">
        <f t="shared" si="30"/>
        <v>0</v>
      </c>
    </row>
    <row r="126" spans="1:25" hidden="1" x14ac:dyDescent="0.25">
      <c r="A126" t="str">
        <f>'rockfish harvests'!A130</f>
        <v>SC</v>
      </c>
      <c r="B126">
        <f>'rockfish harvests'!B130</f>
        <v>2001</v>
      </c>
      <c r="C126" t="str">
        <f>'rockfish harvests'!C130</f>
        <v>NG</v>
      </c>
      <c r="D126">
        <f>'rockfish harvests'!D130</f>
        <v>20907</v>
      </c>
      <c r="E126">
        <f>'YE harvest'!E131</f>
        <v>2450</v>
      </c>
      <c r="H126" s="13">
        <f t="shared" si="38"/>
        <v>0</v>
      </c>
      <c r="I126">
        <f t="shared" si="23"/>
        <v>0</v>
      </c>
      <c r="J126">
        <f t="shared" si="25"/>
        <v>0</v>
      </c>
      <c r="K126" s="6">
        <f t="shared" si="26"/>
        <v>0</v>
      </c>
      <c r="M126" s="2">
        <f>'rockfish harvests'!O130</f>
        <v>10339.120047450848</v>
      </c>
      <c r="N126">
        <f>'rockfish harvests'!P130</f>
        <v>6230469.2850139625</v>
      </c>
      <c r="Q126" s="13">
        <f t="shared" si="39"/>
        <v>0</v>
      </c>
      <c r="R126" s="14">
        <f t="shared" si="40"/>
        <v>0</v>
      </c>
      <c r="S126">
        <f t="shared" si="27"/>
        <v>0</v>
      </c>
      <c r="T126" s="6">
        <f t="shared" si="28"/>
        <v>0</v>
      </c>
      <c r="V126" s="13">
        <f t="shared" si="24"/>
        <v>0</v>
      </c>
      <c r="W126">
        <f t="shared" si="24"/>
        <v>0</v>
      </c>
      <c r="X126">
        <f t="shared" si="29"/>
        <v>0</v>
      </c>
      <c r="Y126" s="6">
        <f t="shared" si="30"/>
        <v>0</v>
      </c>
    </row>
    <row r="127" spans="1:25" hidden="1" x14ac:dyDescent="0.25">
      <c r="A127" t="str">
        <f>'rockfish harvests'!A131</f>
        <v>SC</v>
      </c>
      <c r="B127">
        <f>'rockfish harvests'!B131</f>
        <v>2002</v>
      </c>
      <c r="C127" t="str">
        <f>'rockfish harvests'!C131</f>
        <v>NG</v>
      </c>
      <c r="D127">
        <f>'rockfish harvests'!D131</f>
        <v>17318</v>
      </c>
      <c r="E127">
        <f>'YE harvest'!E132</f>
        <v>2230</v>
      </c>
      <c r="H127" s="13">
        <f t="shared" si="38"/>
        <v>0</v>
      </c>
      <c r="I127">
        <f t="shared" si="23"/>
        <v>0</v>
      </c>
      <c r="J127">
        <f t="shared" si="25"/>
        <v>0</v>
      </c>
      <c r="K127" s="6">
        <f t="shared" si="26"/>
        <v>0</v>
      </c>
      <c r="M127" s="2">
        <f>'rockfish harvests'!O131</f>
        <v>8564.2550811572073</v>
      </c>
      <c r="N127">
        <f>'rockfish harvests'!P131</f>
        <v>4274967.2451758217</v>
      </c>
      <c r="Q127" s="13">
        <f t="shared" si="39"/>
        <v>0</v>
      </c>
      <c r="R127" s="14">
        <f t="shared" si="40"/>
        <v>0</v>
      </c>
      <c r="S127">
        <f t="shared" si="27"/>
        <v>0</v>
      </c>
      <c r="T127" s="6">
        <f t="shared" si="28"/>
        <v>0</v>
      </c>
      <c r="V127" s="13">
        <f t="shared" si="24"/>
        <v>0</v>
      </c>
      <c r="W127">
        <f t="shared" si="24"/>
        <v>0</v>
      </c>
      <c r="X127">
        <f t="shared" si="29"/>
        <v>0</v>
      </c>
      <c r="Y127" s="6">
        <f t="shared" si="30"/>
        <v>0</v>
      </c>
    </row>
    <row r="128" spans="1:25" hidden="1" x14ac:dyDescent="0.25">
      <c r="A128" t="str">
        <f>'rockfish harvests'!A132</f>
        <v>SC</v>
      </c>
      <c r="B128">
        <f>'rockfish harvests'!B132</f>
        <v>2003</v>
      </c>
      <c r="C128" t="str">
        <f>'rockfish harvests'!C132</f>
        <v>NG</v>
      </c>
      <c r="D128">
        <f>'rockfish harvests'!D132</f>
        <v>17020</v>
      </c>
      <c r="E128">
        <f>'YE harvest'!E133</f>
        <v>3447</v>
      </c>
      <c r="H128" s="13">
        <f t="shared" si="38"/>
        <v>0</v>
      </c>
      <c r="I128">
        <f t="shared" si="23"/>
        <v>0</v>
      </c>
      <c r="J128">
        <f t="shared" si="25"/>
        <v>0</v>
      </c>
      <c r="K128" s="6">
        <f t="shared" si="26"/>
        <v>0</v>
      </c>
      <c r="M128" s="2">
        <f>'rockfish harvests'!O132</f>
        <v>8416.8854071657042</v>
      </c>
      <c r="N128">
        <f>'rockfish harvests'!P132</f>
        <v>4129109.8070434225</v>
      </c>
      <c r="Q128" s="13">
        <f t="shared" si="39"/>
        <v>0</v>
      </c>
      <c r="R128" s="14">
        <f t="shared" si="40"/>
        <v>0</v>
      </c>
      <c r="S128">
        <f t="shared" si="27"/>
        <v>0</v>
      </c>
      <c r="T128" s="6">
        <f t="shared" si="28"/>
        <v>0</v>
      </c>
      <c r="V128" s="13">
        <f t="shared" si="24"/>
        <v>0</v>
      </c>
      <c r="W128">
        <f t="shared" si="24"/>
        <v>0</v>
      </c>
      <c r="X128">
        <f t="shared" si="29"/>
        <v>0</v>
      </c>
      <c r="Y128" s="6">
        <f t="shared" si="30"/>
        <v>0</v>
      </c>
    </row>
    <row r="129" spans="1:25" hidden="1" x14ac:dyDescent="0.25">
      <c r="A129" t="str">
        <f>'rockfish harvests'!A133</f>
        <v>SC</v>
      </c>
      <c r="B129">
        <f>'rockfish harvests'!B133</f>
        <v>2004</v>
      </c>
      <c r="C129" t="str">
        <f>'rockfish harvests'!C133</f>
        <v>NG</v>
      </c>
      <c r="D129">
        <f>'rockfish harvests'!D133</f>
        <v>19434</v>
      </c>
      <c r="E129">
        <f>'YE harvest'!E134</f>
        <v>3475</v>
      </c>
      <c r="H129" s="13">
        <f t="shared" si="38"/>
        <v>0</v>
      </c>
      <c r="I129">
        <f t="shared" si="23"/>
        <v>0</v>
      </c>
      <c r="J129">
        <f t="shared" si="25"/>
        <v>0</v>
      </c>
      <c r="K129" s="6">
        <f t="shared" si="26"/>
        <v>0</v>
      </c>
      <c r="M129" s="2">
        <f>'rockfish harvests'!O133</f>
        <v>9610.6786723183504</v>
      </c>
      <c r="N129">
        <f>'rockfish harvests'!P133</f>
        <v>5383462.8158731172</v>
      </c>
      <c r="Q129" s="13">
        <f t="shared" si="39"/>
        <v>0</v>
      </c>
      <c r="R129" s="14">
        <f t="shared" si="40"/>
        <v>0</v>
      </c>
      <c r="S129">
        <f t="shared" si="27"/>
        <v>0</v>
      </c>
      <c r="T129" s="6">
        <f t="shared" si="28"/>
        <v>0</v>
      </c>
      <c r="V129" s="13">
        <f t="shared" si="24"/>
        <v>0</v>
      </c>
      <c r="W129">
        <f t="shared" si="24"/>
        <v>0</v>
      </c>
      <c r="X129">
        <f t="shared" si="29"/>
        <v>0</v>
      </c>
      <c r="Y129" s="6">
        <f t="shared" si="30"/>
        <v>0</v>
      </c>
    </row>
    <row r="130" spans="1:25" hidden="1" x14ac:dyDescent="0.25">
      <c r="A130" t="str">
        <f>'rockfish harvests'!A134</f>
        <v>SC</v>
      </c>
      <c r="B130">
        <f>'rockfish harvests'!B134</f>
        <v>2005</v>
      </c>
      <c r="C130" t="str">
        <f>'rockfish harvests'!C134</f>
        <v>NG</v>
      </c>
      <c r="D130">
        <f>'rockfish harvests'!D134</f>
        <v>22792</v>
      </c>
      <c r="E130">
        <f>'YE harvest'!E135</f>
        <v>4171</v>
      </c>
      <c r="H130" s="13">
        <f t="shared" si="38"/>
        <v>0</v>
      </c>
      <c r="I130">
        <f t="shared" si="23"/>
        <v>0</v>
      </c>
      <c r="J130">
        <f t="shared" si="25"/>
        <v>0</v>
      </c>
      <c r="K130" s="6">
        <f t="shared" si="26"/>
        <v>0</v>
      </c>
      <c r="M130" s="2">
        <f>'rockfish harvests'!O134</f>
        <v>11271.307414813207</v>
      </c>
      <c r="N130">
        <f>'rockfish harvests'!P134</f>
        <v>7404610.0706118569</v>
      </c>
      <c r="Q130" s="13">
        <f t="shared" si="39"/>
        <v>0</v>
      </c>
      <c r="R130" s="14">
        <f t="shared" si="40"/>
        <v>0</v>
      </c>
      <c r="S130">
        <f t="shared" si="27"/>
        <v>0</v>
      </c>
      <c r="T130" s="6">
        <f t="shared" si="28"/>
        <v>0</v>
      </c>
      <c r="V130" s="13">
        <f t="shared" si="24"/>
        <v>0</v>
      </c>
      <c r="W130">
        <f t="shared" si="24"/>
        <v>0</v>
      </c>
      <c r="X130">
        <f t="shared" si="29"/>
        <v>0</v>
      </c>
      <c r="Y130" s="6">
        <f t="shared" si="30"/>
        <v>0</v>
      </c>
    </row>
    <row r="131" spans="1:25" hidden="1" x14ac:dyDescent="0.25">
      <c r="A131" t="str">
        <f>'rockfish harvests'!A135</f>
        <v>SC</v>
      </c>
      <c r="B131">
        <f>'rockfish harvests'!B135</f>
        <v>2006</v>
      </c>
      <c r="C131" t="str">
        <f>'rockfish harvests'!C135</f>
        <v>NG</v>
      </c>
      <c r="D131">
        <f>'rockfish harvests'!D135</f>
        <v>19998</v>
      </c>
      <c r="E131">
        <f>'YE harvest'!E136</f>
        <v>4131</v>
      </c>
      <c r="H131" s="13" t="e">
        <f>#REF!</f>
        <v>#REF!</v>
      </c>
      <c r="I131">
        <f t="shared" si="23"/>
        <v>0</v>
      </c>
      <c r="J131">
        <f t="shared" si="25"/>
        <v>0</v>
      </c>
      <c r="K131" s="6">
        <f t="shared" si="26"/>
        <v>0</v>
      </c>
      <c r="M131" s="2">
        <f>'rockfish harvests'!O135</f>
        <v>9889.5930888660259</v>
      </c>
      <c r="N131">
        <f>'rockfish harvests'!P135</f>
        <v>5700467.1719220383</v>
      </c>
      <c r="Q131" s="13">
        <f t="shared" si="39"/>
        <v>0</v>
      </c>
      <c r="R131" s="14">
        <f t="shared" si="40"/>
        <v>0</v>
      </c>
      <c r="S131">
        <f t="shared" si="27"/>
        <v>0</v>
      </c>
      <c r="T131" s="6">
        <f t="shared" si="28"/>
        <v>0</v>
      </c>
      <c r="V131" s="13" t="e">
        <f t="shared" si="24"/>
        <v>#REF!</v>
      </c>
      <c r="W131">
        <f t="shared" si="24"/>
        <v>0</v>
      </c>
      <c r="X131">
        <f t="shared" si="29"/>
        <v>0</v>
      </c>
      <c r="Y131" s="6">
        <f t="shared" si="30"/>
        <v>0</v>
      </c>
    </row>
    <row r="132" spans="1:25" hidden="1" x14ac:dyDescent="0.25">
      <c r="A132" t="str">
        <f>'rockfish harvests'!A136</f>
        <v>SC</v>
      </c>
      <c r="B132">
        <f>'rockfish harvests'!B136</f>
        <v>2007</v>
      </c>
      <c r="C132" t="str">
        <f>'rockfish harvests'!C136</f>
        <v>NG</v>
      </c>
      <c r="D132">
        <f>'rockfish harvests'!D136</f>
        <v>23861</v>
      </c>
      <c r="E132">
        <f>'YE harvest'!E137</f>
        <v>4118</v>
      </c>
      <c r="H132" s="13" t="e">
        <f>#REF!</f>
        <v>#REF!</v>
      </c>
      <c r="I132">
        <f t="shared" si="23"/>
        <v>0</v>
      </c>
      <c r="J132">
        <f t="shared" si="25"/>
        <v>0</v>
      </c>
      <c r="K132" s="6">
        <f t="shared" si="26"/>
        <v>0</v>
      </c>
      <c r="M132" s="2">
        <f>'rockfish harvests'!O136</f>
        <v>11799.959030574668</v>
      </c>
      <c r="N132">
        <f>'rockfish harvests'!P136</f>
        <v>8115487.2982604261</v>
      </c>
      <c r="Q132" s="13">
        <f t="shared" si="39"/>
        <v>0</v>
      </c>
      <c r="R132" s="14">
        <f t="shared" si="40"/>
        <v>0</v>
      </c>
      <c r="S132">
        <f t="shared" si="27"/>
        <v>0</v>
      </c>
      <c r="T132" s="6">
        <f t="shared" si="28"/>
        <v>0</v>
      </c>
      <c r="V132" s="13" t="e">
        <f t="shared" si="24"/>
        <v>#REF!</v>
      </c>
      <c r="W132">
        <f t="shared" si="24"/>
        <v>0</v>
      </c>
      <c r="X132">
        <f t="shared" si="29"/>
        <v>0</v>
      </c>
      <c r="Y132" s="6">
        <f t="shared" si="30"/>
        <v>0</v>
      </c>
    </row>
    <row r="133" spans="1:25" hidden="1" x14ac:dyDescent="0.25">
      <c r="A133" t="str">
        <f>'rockfish harvests'!A137</f>
        <v>SC</v>
      </c>
      <c r="B133">
        <f>'rockfish harvests'!B137</f>
        <v>2008</v>
      </c>
      <c r="C133" t="str">
        <f>'rockfish harvests'!C137</f>
        <v>NG</v>
      </c>
      <c r="D133">
        <f>'rockfish harvests'!D137</f>
        <v>25596</v>
      </c>
      <c r="E133">
        <f>'YE harvest'!E138</f>
        <v>4729</v>
      </c>
      <c r="H133" s="13" t="e">
        <f>#REF!</f>
        <v>#REF!</v>
      </c>
      <c r="I133">
        <f t="shared" si="23"/>
        <v>0</v>
      </c>
      <c r="J133">
        <f t="shared" si="25"/>
        <v>0</v>
      </c>
      <c r="K133" s="6">
        <f t="shared" si="26"/>
        <v>0</v>
      </c>
      <c r="M133" s="2">
        <f>'rockfish harvests'!O137</f>
        <v>12657.967031833927</v>
      </c>
      <c r="N133">
        <f>'rockfish harvests'!P137</f>
        <v>9338594.6288435515</v>
      </c>
      <c r="Q133" s="13">
        <f t="shared" si="39"/>
        <v>0</v>
      </c>
      <c r="R133" s="14">
        <f t="shared" si="40"/>
        <v>0</v>
      </c>
      <c r="S133">
        <f t="shared" si="27"/>
        <v>0</v>
      </c>
      <c r="T133" s="6">
        <f t="shared" si="28"/>
        <v>0</v>
      </c>
      <c r="V133" s="13" t="e">
        <f t="shared" si="24"/>
        <v>#REF!</v>
      </c>
      <c r="W133">
        <f t="shared" si="24"/>
        <v>0</v>
      </c>
      <c r="X133">
        <f t="shared" si="29"/>
        <v>0</v>
      </c>
      <c r="Y133" s="6">
        <f t="shared" si="30"/>
        <v>0</v>
      </c>
    </row>
    <row r="134" spans="1:25" hidden="1" x14ac:dyDescent="0.25">
      <c r="A134" t="str">
        <f>'rockfish harvests'!A138</f>
        <v>SC</v>
      </c>
      <c r="B134">
        <f>'rockfish harvests'!B138</f>
        <v>2009</v>
      </c>
      <c r="C134" t="str">
        <f>'rockfish harvests'!C138</f>
        <v>NG</v>
      </c>
      <c r="D134">
        <f>'rockfish harvests'!D138</f>
        <v>21909</v>
      </c>
      <c r="E134">
        <f>'YE harvest'!E139</f>
        <v>3321</v>
      </c>
      <c r="H134" s="13" t="e">
        <f>#REF!</f>
        <v>#REF!</v>
      </c>
      <c r="I134">
        <f t="shared" si="23"/>
        <v>0</v>
      </c>
      <c r="J134">
        <f t="shared" si="25"/>
        <v>0</v>
      </c>
      <c r="K134" s="6">
        <f t="shared" si="26"/>
        <v>0</v>
      </c>
      <c r="M134" s="2">
        <f>'rockfish harvests'!O138</f>
        <v>10834.638213019593</v>
      </c>
      <c r="N134">
        <f>'rockfish harvests'!P138</f>
        <v>6841989.9451254793</v>
      </c>
      <c r="Q134" s="13">
        <f t="shared" si="39"/>
        <v>0</v>
      </c>
      <c r="R134" s="14">
        <f t="shared" si="40"/>
        <v>0</v>
      </c>
      <c r="S134">
        <f t="shared" si="27"/>
        <v>0</v>
      </c>
      <c r="T134" s="6">
        <f t="shared" si="28"/>
        <v>0</v>
      </c>
      <c r="V134" s="13" t="e">
        <f t="shared" si="24"/>
        <v>#REF!</v>
      </c>
      <c r="W134">
        <f t="shared" si="24"/>
        <v>0</v>
      </c>
      <c r="X134">
        <f t="shared" si="29"/>
        <v>0</v>
      </c>
      <c r="Y134" s="6">
        <f t="shared" si="30"/>
        <v>0</v>
      </c>
    </row>
    <row r="135" spans="1:25" hidden="1" x14ac:dyDescent="0.25">
      <c r="A135" t="str">
        <f>'rockfish harvests'!A139</f>
        <v>SC</v>
      </c>
      <c r="B135">
        <f>'rockfish harvests'!B139</f>
        <v>2010</v>
      </c>
      <c r="C135" t="str">
        <f>'rockfish harvests'!C139</f>
        <v>NG</v>
      </c>
      <c r="D135">
        <f>'rockfish harvests'!D139</f>
        <v>27027</v>
      </c>
      <c r="E135">
        <f>'YE harvest'!E140</f>
        <v>6189</v>
      </c>
      <c r="H135" s="13" t="e">
        <f>#REF!</f>
        <v>#REF!</v>
      </c>
      <c r="I135">
        <f t="shared" si="23"/>
        <v>0</v>
      </c>
      <c r="J135">
        <f t="shared" si="25"/>
        <v>0</v>
      </c>
      <c r="K135" s="6">
        <f t="shared" si="26"/>
        <v>0</v>
      </c>
      <c r="M135" s="2">
        <f>'rockfish harvests'!O139</f>
        <v>13365.638184457552</v>
      </c>
      <c r="N135">
        <f>'rockfish harvests'!P139</f>
        <v>10411972.30311189</v>
      </c>
      <c r="Q135" s="13">
        <f t="shared" si="39"/>
        <v>0</v>
      </c>
      <c r="R135" s="14">
        <f t="shared" si="40"/>
        <v>0</v>
      </c>
      <c r="S135">
        <f t="shared" si="27"/>
        <v>0</v>
      </c>
      <c r="T135" s="6">
        <f t="shared" si="28"/>
        <v>0</v>
      </c>
      <c r="V135" s="13" t="e">
        <f t="shared" si="24"/>
        <v>#REF!</v>
      </c>
      <c r="W135">
        <f t="shared" si="24"/>
        <v>0</v>
      </c>
      <c r="X135">
        <f t="shared" si="29"/>
        <v>0</v>
      </c>
      <c r="Y135" s="6">
        <f t="shared" si="30"/>
        <v>0</v>
      </c>
    </row>
    <row r="136" spans="1:25" hidden="1" x14ac:dyDescent="0.25">
      <c r="A136" t="str">
        <f>'rockfish harvests'!A140</f>
        <v>SC</v>
      </c>
      <c r="B136">
        <f>'rockfish harvests'!B140</f>
        <v>2011</v>
      </c>
      <c r="C136" t="str">
        <f>'rockfish harvests'!C140</f>
        <v>NG</v>
      </c>
      <c r="D136">
        <f>'rockfish harvests'!D140</f>
        <v>30322</v>
      </c>
      <c r="E136">
        <f>'YE harvest'!E141</f>
        <v>5609</v>
      </c>
      <c r="H136" s="13" t="e">
        <f>#REF!</f>
        <v>#REF!</v>
      </c>
      <c r="I136">
        <f t="shared" si="23"/>
        <v>0</v>
      </c>
      <c r="J136">
        <f t="shared" si="25"/>
        <v>0</v>
      </c>
      <c r="K136" s="6">
        <f t="shared" si="26"/>
        <v>0</v>
      </c>
      <c r="M136" s="2">
        <f>'rockfish harvests'!O140</f>
        <v>21882.405010282295</v>
      </c>
      <c r="N136">
        <f>'rockfish harvests'!P140</f>
        <v>8183614.275682712</v>
      </c>
      <c r="Q136" s="13">
        <f t="shared" si="39"/>
        <v>0</v>
      </c>
      <c r="R136" s="14">
        <f t="shared" si="40"/>
        <v>0</v>
      </c>
      <c r="S136">
        <f t="shared" si="27"/>
        <v>0</v>
      </c>
      <c r="T136" s="6">
        <f t="shared" si="28"/>
        <v>0</v>
      </c>
      <c r="V136" s="13" t="e">
        <f t="shared" si="24"/>
        <v>#REF!</v>
      </c>
      <c r="W136">
        <f t="shared" si="24"/>
        <v>0</v>
      </c>
      <c r="X136">
        <f t="shared" si="29"/>
        <v>0</v>
      </c>
      <c r="Y136" s="6">
        <f t="shared" si="30"/>
        <v>0</v>
      </c>
    </row>
    <row r="137" spans="1:25" hidden="1" x14ac:dyDescent="0.25">
      <c r="A137" t="str">
        <f>'rockfish harvests'!A141</f>
        <v>SC</v>
      </c>
      <c r="B137">
        <f>'rockfish harvests'!B141</f>
        <v>2012</v>
      </c>
      <c r="C137" t="str">
        <f>'rockfish harvests'!C141</f>
        <v>NG</v>
      </c>
      <c r="D137">
        <f>'rockfish harvests'!D141</f>
        <v>27771</v>
      </c>
      <c r="E137">
        <f>'YE harvest'!E142</f>
        <v>5715</v>
      </c>
      <c r="H137" s="13" t="e">
        <f>#REF!</f>
        <v>#REF!</v>
      </c>
      <c r="I137">
        <f t="shared" si="23"/>
        <v>0</v>
      </c>
      <c r="J137">
        <f t="shared" si="25"/>
        <v>0</v>
      </c>
      <c r="K137" s="6">
        <f t="shared" si="26"/>
        <v>0</v>
      </c>
      <c r="M137" s="2">
        <f>'rockfish harvests'!O141</f>
        <v>13248.802237331009</v>
      </c>
      <c r="N137">
        <f>'rockfish harvests'!P141</f>
        <v>2524598.6215632036</v>
      </c>
      <c r="Q137" s="13">
        <f t="shared" si="39"/>
        <v>0</v>
      </c>
      <c r="R137" s="14">
        <f t="shared" si="40"/>
        <v>0</v>
      </c>
      <c r="S137">
        <f t="shared" si="27"/>
        <v>0</v>
      </c>
      <c r="T137" s="6">
        <f t="shared" si="28"/>
        <v>0</v>
      </c>
      <c r="V137" s="13" t="e">
        <f t="shared" si="24"/>
        <v>#REF!</v>
      </c>
      <c r="W137">
        <f t="shared" si="24"/>
        <v>0</v>
      </c>
      <c r="X137">
        <f t="shared" si="29"/>
        <v>0</v>
      </c>
      <c r="Y137" s="6">
        <f t="shared" si="30"/>
        <v>0</v>
      </c>
    </row>
    <row r="138" spans="1:25" hidden="1" x14ac:dyDescent="0.25">
      <c r="A138" t="str">
        <f>'rockfish harvests'!A142</f>
        <v>SC</v>
      </c>
      <c r="B138">
        <f>'rockfish harvests'!B142</f>
        <v>2013</v>
      </c>
      <c r="C138" t="str">
        <f>'rockfish harvests'!C142</f>
        <v>NG</v>
      </c>
      <c r="D138">
        <f>'rockfish harvests'!D142</f>
        <v>30558</v>
      </c>
      <c r="E138">
        <f>'YE harvest'!E143</f>
        <v>5301</v>
      </c>
      <c r="H138" s="13" t="e">
        <f>#REF!</f>
        <v>#REF!</v>
      </c>
      <c r="I138">
        <f t="shared" si="23"/>
        <v>0</v>
      </c>
      <c r="J138">
        <f t="shared" si="25"/>
        <v>0</v>
      </c>
      <c r="K138" s="6">
        <f t="shared" si="26"/>
        <v>0</v>
      </c>
      <c r="M138" s="2">
        <f>'rockfish harvests'!O142</f>
        <v>17157.239835728957</v>
      </c>
      <c r="N138">
        <f>'rockfish harvests'!P142</f>
        <v>3987660.0085104108</v>
      </c>
      <c r="Q138" s="13">
        <f t="shared" si="39"/>
        <v>0</v>
      </c>
      <c r="R138" s="14">
        <f t="shared" si="40"/>
        <v>0</v>
      </c>
      <c r="S138">
        <f t="shared" si="27"/>
        <v>0</v>
      </c>
      <c r="T138" s="6">
        <f t="shared" si="28"/>
        <v>0</v>
      </c>
      <c r="V138" s="13" t="e">
        <f t="shared" si="24"/>
        <v>#REF!</v>
      </c>
      <c r="W138">
        <f t="shared" si="24"/>
        <v>0</v>
      </c>
      <c r="X138">
        <f t="shared" si="29"/>
        <v>0</v>
      </c>
      <c r="Y138" s="6">
        <f t="shared" si="30"/>
        <v>0</v>
      </c>
    </row>
    <row r="139" spans="1:25" hidden="1" x14ac:dyDescent="0.25">
      <c r="A139" t="str">
        <f>'rockfish harvests'!A143</f>
        <v>SC</v>
      </c>
      <c r="B139">
        <f>'rockfish harvests'!B143</f>
        <v>2014</v>
      </c>
      <c r="C139" t="str">
        <f>'rockfish harvests'!C143</f>
        <v>NG</v>
      </c>
      <c r="D139">
        <f>'rockfish harvests'!D143</f>
        <v>37025</v>
      </c>
      <c r="E139">
        <f>'YE harvest'!E144</f>
        <v>5089</v>
      </c>
      <c r="H139" s="13" t="e">
        <f>#REF!</f>
        <v>#REF!</v>
      </c>
      <c r="I139">
        <f t="shared" si="23"/>
        <v>0</v>
      </c>
      <c r="J139">
        <f t="shared" si="25"/>
        <v>0</v>
      </c>
      <c r="K139" s="6">
        <f t="shared" si="26"/>
        <v>0</v>
      </c>
      <c r="M139" s="2">
        <f>'rockfish harvests'!O143</f>
        <v>21744.197040285006</v>
      </c>
      <c r="N139">
        <f>'rockfish harvests'!P143</f>
        <v>6732768.2681420343</v>
      </c>
      <c r="Q139" s="13">
        <f t="shared" si="39"/>
        <v>0</v>
      </c>
      <c r="R139" s="14">
        <f t="shared" si="40"/>
        <v>0</v>
      </c>
      <c r="S139">
        <f t="shared" si="27"/>
        <v>0</v>
      </c>
      <c r="T139" s="6">
        <f t="shared" si="28"/>
        <v>0</v>
      </c>
      <c r="V139" s="13" t="e">
        <f t="shared" si="24"/>
        <v>#REF!</v>
      </c>
      <c r="W139">
        <f t="shared" si="24"/>
        <v>0</v>
      </c>
      <c r="X139">
        <f t="shared" si="29"/>
        <v>0</v>
      </c>
      <c r="Y139" s="6">
        <f t="shared" si="30"/>
        <v>0</v>
      </c>
    </row>
    <row r="140" spans="1:25" hidden="1" x14ac:dyDescent="0.25">
      <c r="A140" t="str">
        <f>'rockfish harvests'!A144</f>
        <v>SC</v>
      </c>
      <c r="B140">
        <f>'rockfish harvests'!B144</f>
        <v>2015</v>
      </c>
      <c r="C140" t="str">
        <f>'rockfish harvests'!C144</f>
        <v>NG</v>
      </c>
      <c r="D140">
        <f>'rockfish harvests'!D144</f>
        <v>45883</v>
      </c>
      <c r="E140">
        <f>'YE harvest'!E145</f>
        <v>6139</v>
      </c>
      <c r="H140" s="13" t="e">
        <f>#REF!</f>
        <v>#REF!</v>
      </c>
      <c r="I140">
        <f t="shared" si="23"/>
        <v>0</v>
      </c>
      <c r="J140">
        <f t="shared" si="25"/>
        <v>0</v>
      </c>
      <c r="K140" s="6">
        <f t="shared" si="26"/>
        <v>0</v>
      </c>
      <c r="M140" s="2">
        <f>'rockfish harvests'!O144</f>
        <v>24091.13981323161</v>
      </c>
      <c r="N140">
        <f>'rockfish harvests'!P144</f>
        <v>7216831.4803412473</v>
      </c>
      <c r="Q140" s="13">
        <f t="shared" si="39"/>
        <v>0</v>
      </c>
      <c r="R140" s="14">
        <f t="shared" si="40"/>
        <v>0</v>
      </c>
      <c r="S140">
        <f t="shared" si="27"/>
        <v>0</v>
      </c>
      <c r="T140" s="6">
        <f t="shared" si="28"/>
        <v>0</v>
      </c>
      <c r="V140" s="13" t="e">
        <f t="shared" si="24"/>
        <v>#REF!</v>
      </c>
      <c r="W140">
        <f t="shared" si="24"/>
        <v>0</v>
      </c>
      <c r="X140">
        <f t="shared" si="29"/>
        <v>0</v>
      </c>
      <c r="Y140" s="6">
        <f t="shared" si="30"/>
        <v>0</v>
      </c>
    </row>
    <row r="141" spans="1:25" hidden="1" x14ac:dyDescent="0.25">
      <c r="A141" t="str">
        <f>'rockfish harvests'!A145</f>
        <v>SC</v>
      </c>
      <c r="B141">
        <f>'rockfish harvests'!B145</f>
        <v>2016</v>
      </c>
      <c r="C141" t="str">
        <f>'rockfish harvests'!C145</f>
        <v>NG</v>
      </c>
      <c r="D141">
        <f>'rockfish harvests'!D145</f>
        <v>56991</v>
      </c>
      <c r="E141">
        <f>'YE harvest'!E146</f>
        <v>7838</v>
      </c>
      <c r="H141" s="13" t="e">
        <f>#REF!</f>
        <v>#REF!</v>
      </c>
      <c r="I141">
        <f t="shared" si="23"/>
        <v>0</v>
      </c>
      <c r="J141">
        <f t="shared" si="25"/>
        <v>0</v>
      </c>
      <c r="K141" s="6">
        <f t="shared" si="26"/>
        <v>0</v>
      </c>
      <c r="M141" s="2">
        <f>'rockfish harvests'!O145</f>
        <v>21657.041703490948</v>
      </c>
      <c r="N141">
        <f>'rockfish harvests'!P145</f>
        <v>6461271.9983784193</v>
      </c>
      <c r="Q141" s="13">
        <f t="shared" si="39"/>
        <v>0</v>
      </c>
      <c r="R141" s="14">
        <f t="shared" si="40"/>
        <v>0</v>
      </c>
      <c r="S141">
        <f t="shared" si="27"/>
        <v>0</v>
      </c>
      <c r="T141" s="6">
        <f t="shared" si="28"/>
        <v>0</v>
      </c>
      <c r="V141" s="13" t="e">
        <f t="shared" si="24"/>
        <v>#REF!</v>
      </c>
      <c r="W141">
        <f t="shared" si="24"/>
        <v>0</v>
      </c>
      <c r="X141">
        <f t="shared" si="29"/>
        <v>0</v>
      </c>
      <c r="Y141" s="6">
        <f t="shared" si="30"/>
        <v>0</v>
      </c>
    </row>
    <row r="142" spans="1:25" hidden="1" x14ac:dyDescent="0.25">
      <c r="A142" t="str">
        <f>'rockfish harvests'!A146</f>
        <v>SC</v>
      </c>
      <c r="B142">
        <f>'rockfish harvests'!B146</f>
        <v>2017</v>
      </c>
      <c r="C142" t="str">
        <f>'rockfish harvests'!C146</f>
        <v>NG</v>
      </c>
      <c r="D142">
        <f>'rockfish harvests'!D146</f>
        <v>38626</v>
      </c>
      <c r="E142">
        <f>'YE harvest'!E147</f>
        <v>6291</v>
      </c>
      <c r="H142" s="13" t="e">
        <f>#REF!</f>
        <v>#REF!</v>
      </c>
      <c r="I142">
        <f t="shared" si="23"/>
        <v>0</v>
      </c>
      <c r="J142">
        <f t="shared" si="25"/>
        <v>0</v>
      </c>
      <c r="K142" s="6">
        <f t="shared" si="26"/>
        <v>0</v>
      </c>
      <c r="M142" s="2">
        <f>'rockfish harvests'!O146</f>
        <v>15237.511532831981</v>
      </c>
      <c r="N142">
        <f>'rockfish harvests'!P146</f>
        <v>3824430.6766507281</v>
      </c>
      <c r="Q142" s="13">
        <f t="shared" si="39"/>
        <v>0</v>
      </c>
      <c r="R142" s="14">
        <f t="shared" si="40"/>
        <v>0</v>
      </c>
      <c r="S142">
        <f t="shared" si="27"/>
        <v>0</v>
      </c>
      <c r="T142" s="6">
        <f t="shared" si="28"/>
        <v>0</v>
      </c>
      <c r="V142" s="13" t="e">
        <f t="shared" si="24"/>
        <v>#REF!</v>
      </c>
      <c r="W142">
        <f t="shared" si="24"/>
        <v>0</v>
      </c>
      <c r="X142">
        <f t="shared" si="29"/>
        <v>0</v>
      </c>
      <c r="Y142" s="6">
        <f t="shared" si="30"/>
        <v>0</v>
      </c>
    </row>
    <row r="143" spans="1:25" hidden="1" x14ac:dyDescent="0.25">
      <c r="A143" t="str">
        <f>'rockfish harvests'!A147</f>
        <v>SC</v>
      </c>
      <c r="B143">
        <f>'rockfish harvests'!B147</f>
        <v>2018</v>
      </c>
      <c r="C143" t="str">
        <f>'rockfish harvests'!C147</f>
        <v>NG</v>
      </c>
      <c r="D143">
        <f>'rockfish harvests'!D147</f>
        <v>50115</v>
      </c>
      <c r="E143">
        <f>'YE harvest'!E148</f>
        <v>8269</v>
      </c>
      <c r="H143" s="13" t="e">
        <f>#REF!</f>
        <v>#REF!</v>
      </c>
      <c r="I143">
        <f t="shared" si="23"/>
        <v>0</v>
      </c>
      <c r="J143">
        <f t="shared" si="25"/>
        <v>0</v>
      </c>
      <c r="K143" s="6">
        <f t="shared" si="26"/>
        <v>0</v>
      </c>
      <c r="M143" s="2">
        <f>'rockfish harvests'!O147</f>
        <v>18807.337515014005</v>
      </c>
      <c r="N143">
        <f>'rockfish harvests'!P147</f>
        <v>5909265.1225642972</v>
      </c>
      <c r="Q143" s="13">
        <f t="shared" si="39"/>
        <v>0</v>
      </c>
      <c r="R143" s="14">
        <f t="shared" si="40"/>
        <v>0</v>
      </c>
      <c r="S143">
        <f t="shared" si="27"/>
        <v>0</v>
      </c>
      <c r="T143" s="6">
        <f t="shared" si="28"/>
        <v>0</v>
      </c>
      <c r="V143" s="13" t="e">
        <f t="shared" si="24"/>
        <v>#REF!</v>
      </c>
      <c r="W143">
        <f t="shared" si="24"/>
        <v>0</v>
      </c>
      <c r="X143">
        <f t="shared" si="29"/>
        <v>0</v>
      </c>
      <c r="Y143" s="6">
        <f t="shared" si="30"/>
        <v>0</v>
      </c>
    </row>
    <row r="144" spans="1:25" hidden="1" x14ac:dyDescent="0.25">
      <c r="A144" t="str">
        <f>'rockfish harvests'!A148</f>
        <v>SC</v>
      </c>
      <c r="B144">
        <f>'rockfish harvests'!B148</f>
        <v>2019</v>
      </c>
      <c r="C144" t="str">
        <f>'rockfish harvests'!C148</f>
        <v>NG</v>
      </c>
      <c r="D144">
        <f>'rockfish harvests'!D148</f>
        <v>64565</v>
      </c>
      <c r="E144">
        <f>'YE harvest'!E149</f>
        <v>9526</v>
      </c>
      <c r="I144">
        <f t="shared" ref="I144:I145" si="41">(E144^2)*G144</f>
        <v>0</v>
      </c>
      <c r="J144">
        <f t="shared" ref="J144:J145" si="42">SQRT(I144)</f>
        <v>0</v>
      </c>
      <c r="K144" s="6">
        <f t="shared" ref="K144:K145" si="43">(1.96*J144)</f>
        <v>0</v>
      </c>
      <c r="M144" s="2">
        <f>'rockfish harvests'!O148</f>
        <v>30264.472570734768</v>
      </c>
      <c r="N144">
        <f>'rockfish harvests'!P148</f>
        <v>14426596.252648354</v>
      </c>
      <c r="R144" s="14"/>
      <c r="S144"/>
      <c r="T144" s="6"/>
      <c r="Y144" s="6"/>
    </row>
    <row r="145" spans="1:25" hidden="1" x14ac:dyDescent="0.25">
      <c r="A145" t="str">
        <f>'rockfish harvests'!A149</f>
        <v>SC</v>
      </c>
      <c r="B145">
        <f>'rockfish harvests'!B149</f>
        <v>2020</v>
      </c>
      <c r="C145" t="str">
        <f>'rockfish harvests'!C149</f>
        <v>NG</v>
      </c>
      <c r="D145">
        <f>'rockfish harvests'!D149</f>
        <v>43363</v>
      </c>
      <c r="E145">
        <f>'YE harvest'!E150</f>
        <v>6211</v>
      </c>
      <c r="I145">
        <f t="shared" si="41"/>
        <v>0</v>
      </c>
      <c r="J145">
        <f t="shared" si="42"/>
        <v>0</v>
      </c>
      <c r="K145" s="6">
        <f t="shared" si="43"/>
        <v>0</v>
      </c>
      <c r="M145" s="2">
        <f>'rockfish harvests'!O149</f>
        <v>14406.767557261875</v>
      </c>
      <c r="N145">
        <f>'rockfish harvests'!P149</f>
        <v>3787465.8304927479</v>
      </c>
      <c r="R145" s="14"/>
      <c r="S145"/>
      <c r="T145" s="6"/>
      <c r="Y145" s="6"/>
    </row>
    <row r="146" spans="1:25" hidden="1" x14ac:dyDescent="0.25">
      <c r="A146" t="str">
        <f>'rockfish harvests'!A150</f>
        <v>SC</v>
      </c>
      <c r="B146">
        <f>'rockfish harvests'!B150</f>
        <v>2021</v>
      </c>
      <c r="C146" t="str">
        <f>'rockfish harvests'!C150</f>
        <v>NG</v>
      </c>
      <c r="D146">
        <f>'rockfish harvests'!D150</f>
        <v>83097</v>
      </c>
      <c r="E146">
        <f>'YE harvest'!E151</f>
        <v>9825</v>
      </c>
      <c r="K146" s="6"/>
      <c r="M146" s="2">
        <f>'rockfish harvests'!O150</f>
        <v>24593.025482509038</v>
      </c>
      <c r="N146">
        <f>'rockfish harvests'!P150</f>
        <v>11012636.577756885</v>
      </c>
      <c r="R146" s="14"/>
      <c r="S146"/>
      <c r="T146" s="6"/>
      <c r="Y146" s="6"/>
    </row>
    <row r="147" spans="1:25" hidden="1" x14ac:dyDescent="0.25">
      <c r="A147" t="str">
        <f>'rockfish harvests'!A152</f>
        <v>SC</v>
      </c>
      <c r="B147">
        <f>'rockfish harvests'!B152</f>
        <v>1998</v>
      </c>
      <c r="C147" t="str">
        <f>'rockfish harvests'!C152</f>
        <v>NORTHEAS</v>
      </c>
      <c r="D147">
        <f>'rockfish harvests'!D152</f>
        <v>1488</v>
      </c>
      <c r="E147">
        <f>'YE harvest'!E153</f>
        <v>511</v>
      </c>
      <c r="F147" s="38"/>
      <c r="G147" s="39"/>
      <c r="H147" s="13">
        <f t="shared" ref="H147:H154" si="44">E147*F147</f>
        <v>0</v>
      </c>
      <c r="I147">
        <f t="shared" si="23"/>
        <v>0</v>
      </c>
      <c r="J147">
        <f t="shared" si="25"/>
        <v>0</v>
      </c>
      <c r="K147" s="6">
        <f t="shared" si="26"/>
        <v>0</v>
      </c>
      <c r="M147" s="2">
        <f>'rockfish harvests'!O152</f>
        <v>1158.751507803267</v>
      </c>
      <c r="N147">
        <f>'rockfish harvests'!P152</f>
        <v>130721.74657888399</v>
      </c>
      <c r="Q147" s="13">
        <f t="shared" si="39"/>
        <v>0</v>
      </c>
      <c r="R147" s="14">
        <f t="shared" si="40"/>
        <v>0</v>
      </c>
      <c r="S147">
        <f t="shared" si="27"/>
        <v>0</v>
      </c>
      <c r="T147" s="6">
        <f t="shared" si="28"/>
        <v>0</v>
      </c>
      <c r="V147" s="13">
        <f t="shared" si="24"/>
        <v>0</v>
      </c>
      <c r="W147">
        <f t="shared" si="24"/>
        <v>0</v>
      </c>
      <c r="X147">
        <f t="shared" si="29"/>
        <v>0</v>
      </c>
      <c r="Y147" s="6">
        <f t="shared" si="30"/>
        <v>0</v>
      </c>
    </row>
    <row r="148" spans="1:25" hidden="1" x14ac:dyDescent="0.25">
      <c r="A148" t="str">
        <f>'rockfish harvests'!A153</f>
        <v>SC</v>
      </c>
      <c r="B148">
        <f>'rockfish harvests'!B153</f>
        <v>1999</v>
      </c>
      <c r="C148" t="str">
        <f>'rockfish harvests'!C153</f>
        <v>NORTHEAS</v>
      </c>
      <c r="D148">
        <f>'rockfish harvests'!D153</f>
        <v>1866</v>
      </c>
      <c r="E148">
        <f>'YE harvest'!E154</f>
        <v>177</v>
      </c>
      <c r="F148" s="38"/>
      <c r="G148" s="39"/>
      <c r="H148" s="13">
        <f t="shared" si="44"/>
        <v>0</v>
      </c>
      <c r="I148">
        <f t="shared" si="23"/>
        <v>0</v>
      </c>
      <c r="J148">
        <f t="shared" si="25"/>
        <v>0</v>
      </c>
      <c r="K148" s="6">
        <f t="shared" si="26"/>
        <v>0</v>
      </c>
      <c r="M148" s="2">
        <f>'rockfish harvests'!O153</f>
        <v>1453.1117698661938</v>
      </c>
      <c r="N148">
        <f>'rockfish harvests'!P153</f>
        <v>205572.61399024838</v>
      </c>
      <c r="Q148" s="13">
        <f t="shared" si="39"/>
        <v>0</v>
      </c>
      <c r="R148" s="14">
        <f t="shared" si="40"/>
        <v>0</v>
      </c>
      <c r="S148">
        <f t="shared" si="27"/>
        <v>0</v>
      </c>
      <c r="T148" s="6">
        <f t="shared" si="28"/>
        <v>0</v>
      </c>
      <c r="V148" s="13">
        <f t="shared" si="24"/>
        <v>0</v>
      </c>
      <c r="W148">
        <f t="shared" si="24"/>
        <v>0</v>
      </c>
      <c r="X148">
        <f t="shared" si="29"/>
        <v>0</v>
      </c>
      <c r="Y148" s="6">
        <f t="shared" si="30"/>
        <v>0</v>
      </c>
    </row>
    <row r="149" spans="1:25" hidden="1" x14ac:dyDescent="0.25">
      <c r="A149" t="str">
        <f>'rockfish harvests'!A154</f>
        <v>SC</v>
      </c>
      <c r="B149">
        <f>'rockfish harvests'!B154</f>
        <v>2000</v>
      </c>
      <c r="C149" t="str">
        <f>'rockfish harvests'!C154</f>
        <v>NORTHEAS</v>
      </c>
      <c r="D149">
        <f>'rockfish harvests'!D154</f>
        <v>2115</v>
      </c>
      <c r="E149">
        <f>'YE harvest'!E155</f>
        <v>250</v>
      </c>
      <c r="F149" s="38"/>
      <c r="G149" s="39"/>
      <c r="H149" s="13">
        <f t="shared" si="44"/>
        <v>0</v>
      </c>
      <c r="I149">
        <f t="shared" ref="I149:I221" si="45">(E149^2)*G149</f>
        <v>0</v>
      </c>
      <c r="J149">
        <f t="shared" si="25"/>
        <v>0</v>
      </c>
      <c r="K149" s="6">
        <f t="shared" si="26"/>
        <v>0</v>
      </c>
      <c r="M149" s="2">
        <f>'rockfish harvests'!O154</f>
        <v>1647.0157520187568</v>
      </c>
      <c r="N149">
        <f>'rockfish harvests'!P154</f>
        <v>264096.54694560438</v>
      </c>
      <c r="Q149" s="13">
        <f t="shared" si="39"/>
        <v>0</v>
      </c>
      <c r="R149" s="14">
        <f t="shared" si="40"/>
        <v>0</v>
      </c>
      <c r="S149">
        <f t="shared" si="27"/>
        <v>0</v>
      </c>
      <c r="T149" s="6">
        <f t="shared" si="28"/>
        <v>0</v>
      </c>
      <c r="V149" s="13">
        <f t="shared" ref="V149:W221" si="46">Q149+H149</f>
        <v>0</v>
      </c>
      <c r="W149">
        <f t="shared" si="46"/>
        <v>0</v>
      </c>
      <c r="X149">
        <f t="shared" si="29"/>
        <v>0</v>
      </c>
      <c r="Y149" s="6">
        <f t="shared" si="30"/>
        <v>0</v>
      </c>
    </row>
    <row r="150" spans="1:25" hidden="1" x14ac:dyDescent="0.25">
      <c r="A150" t="str">
        <f>'rockfish harvests'!A155</f>
        <v>SC</v>
      </c>
      <c r="B150">
        <f>'rockfish harvests'!B155</f>
        <v>2001</v>
      </c>
      <c r="C150" t="str">
        <f>'rockfish harvests'!C155</f>
        <v>NORTHEAS</v>
      </c>
      <c r="D150">
        <f>'rockfish harvests'!D155</f>
        <v>2081</v>
      </c>
      <c r="E150">
        <f>'YE harvest'!E156</f>
        <v>227</v>
      </c>
      <c r="F150" s="38"/>
      <c r="G150" s="39"/>
      <c r="H150" s="13">
        <f t="shared" si="44"/>
        <v>0</v>
      </c>
      <c r="I150">
        <f t="shared" si="45"/>
        <v>0</v>
      </c>
      <c r="J150">
        <f t="shared" ref="J150:J222" si="47">SQRT(I150)</f>
        <v>0</v>
      </c>
      <c r="K150" s="6">
        <f t="shared" ref="K150:K222" si="48">(1.96*J150)</f>
        <v>0</v>
      </c>
      <c r="M150" s="2">
        <f>'rockfish harvests'!O155</f>
        <v>1620.5389030501337</v>
      </c>
      <c r="N150">
        <f>'rockfish harvests'!P155</f>
        <v>255673.74912670467</v>
      </c>
      <c r="Q150" s="13">
        <f t="shared" si="39"/>
        <v>0</v>
      </c>
      <c r="R150" s="14">
        <f t="shared" si="40"/>
        <v>0</v>
      </c>
      <c r="S150">
        <f t="shared" ref="S150:S222" si="49">SQRT(R150)</f>
        <v>0</v>
      </c>
      <c r="T150" s="6">
        <f t="shared" ref="T150:T222" si="50">(1.96*S150)</f>
        <v>0</v>
      </c>
      <c r="V150" s="13">
        <f t="shared" si="46"/>
        <v>0</v>
      </c>
      <c r="W150">
        <f t="shared" si="46"/>
        <v>0</v>
      </c>
      <c r="X150">
        <f t="shared" ref="X150:X222" si="51">SQRT(W150)</f>
        <v>0</v>
      </c>
      <c r="Y150" s="6">
        <f t="shared" ref="Y150:Y222" si="52">(1.96*X150)</f>
        <v>0</v>
      </c>
    </row>
    <row r="151" spans="1:25" hidden="1" x14ac:dyDescent="0.25">
      <c r="A151" t="str">
        <f>'rockfish harvests'!A156</f>
        <v>SC</v>
      </c>
      <c r="B151">
        <f>'rockfish harvests'!B156</f>
        <v>2002</v>
      </c>
      <c r="C151" t="str">
        <f>'rockfish harvests'!C156</f>
        <v>NORTHEAS</v>
      </c>
      <c r="D151">
        <f>'rockfish harvests'!D156</f>
        <v>2262</v>
      </c>
      <c r="E151">
        <f>'YE harvest'!E157</f>
        <v>210</v>
      </c>
      <c r="F151" s="38"/>
      <c r="G151" s="39"/>
      <c r="H151" s="13">
        <f t="shared" si="44"/>
        <v>0</v>
      </c>
      <c r="I151">
        <f t="shared" si="45"/>
        <v>0</v>
      </c>
      <c r="J151">
        <f t="shared" si="47"/>
        <v>0</v>
      </c>
      <c r="K151" s="6">
        <f t="shared" si="48"/>
        <v>0</v>
      </c>
      <c r="M151" s="2">
        <f>'rockfish harvests'!O156</f>
        <v>1761.4891872654503</v>
      </c>
      <c r="N151">
        <f>'rockfish harvests'!P156</f>
        <v>302083.62252065231</v>
      </c>
      <c r="Q151" s="13">
        <f t="shared" si="39"/>
        <v>0</v>
      </c>
      <c r="R151" s="14">
        <f t="shared" si="40"/>
        <v>0</v>
      </c>
      <c r="S151">
        <f t="shared" si="49"/>
        <v>0</v>
      </c>
      <c r="T151" s="6">
        <f t="shared" si="50"/>
        <v>0</v>
      </c>
      <c r="V151" s="13">
        <f t="shared" si="46"/>
        <v>0</v>
      </c>
      <c r="W151">
        <f t="shared" si="46"/>
        <v>0</v>
      </c>
      <c r="X151">
        <f t="shared" si="51"/>
        <v>0</v>
      </c>
      <c r="Y151" s="6">
        <f t="shared" si="52"/>
        <v>0</v>
      </c>
    </row>
    <row r="152" spans="1:25" hidden="1" x14ac:dyDescent="0.25">
      <c r="A152" t="str">
        <f>'rockfish harvests'!A157</f>
        <v>SC</v>
      </c>
      <c r="B152">
        <f>'rockfish harvests'!B157</f>
        <v>2003</v>
      </c>
      <c r="C152" t="str">
        <f>'rockfish harvests'!C157</f>
        <v>NORTHEAS</v>
      </c>
      <c r="D152">
        <f>'rockfish harvests'!D157</f>
        <v>2743</v>
      </c>
      <c r="E152">
        <f>'YE harvest'!E158</f>
        <v>266</v>
      </c>
      <c r="F152" s="38"/>
      <c r="G152" s="39"/>
      <c r="H152" s="13">
        <f t="shared" si="44"/>
        <v>0</v>
      </c>
      <c r="I152">
        <f t="shared" si="45"/>
        <v>0</v>
      </c>
      <c r="J152">
        <f t="shared" si="47"/>
        <v>0</v>
      </c>
      <c r="K152" s="6">
        <f t="shared" si="48"/>
        <v>0</v>
      </c>
      <c r="M152" s="2">
        <f>'rockfish harvests'!O157</f>
        <v>2136.0587270862643</v>
      </c>
      <c r="N152">
        <f>'rockfish harvests'!P157</f>
        <v>444215.38374428463</v>
      </c>
      <c r="Q152" s="13">
        <f t="shared" si="39"/>
        <v>0</v>
      </c>
      <c r="R152" s="14">
        <f t="shared" si="40"/>
        <v>0</v>
      </c>
      <c r="S152">
        <f t="shared" si="49"/>
        <v>0</v>
      </c>
      <c r="T152" s="6">
        <f t="shared" si="50"/>
        <v>0</v>
      </c>
      <c r="V152" s="13">
        <f t="shared" si="46"/>
        <v>0</v>
      </c>
      <c r="W152">
        <f t="shared" si="46"/>
        <v>0</v>
      </c>
      <c r="X152">
        <f t="shared" si="51"/>
        <v>0</v>
      </c>
      <c r="Y152" s="6">
        <f t="shared" si="52"/>
        <v>0</v>
      </c>
    </row>
    <row r="153" spans="1:25" hidden="1" x14ac:dyDescent="0.25">
      <c r="A153" t="str">
        <f>'rockfish harvests'!A158</f>
        <v>SC</v>
      </c>
      <c r="B153">
        <f>'rockfish harvests'!B158</f>
        <v>2004</v>
      </c>
      <c r="C153" t="str">
        <f>'rockfish harvests'!C158</f>
        <v>NORTHEAS</v>
      </c>
      <c r="D153">
        <f>'rockfish harvests'!D158</f>
        <v>3291</v>
      </c>
      <c r="E153">
        <f>'YE harvest'!E159</f>
        <v>223</v>
      </c>
      <c r="F153" s="38"/>
      <c r="G153" s="39"/>
      <c r="H153" s="13">
        <f t="shared" si="44"/>
        <v>0</v>
      </c>
      <c r="I153">
        <f t="shared" si="45"/>
        <v>0</v>
      </c>
      <c r="J153">
        <f t="shared" si="47"/>
        <v>0</v>
      </c>
      <c r="K153" s="6">
        <f t="shared" si="48"/>
        <v>0</v>
      </c>
      <c r="M153" s="2">
        <f>'rockfish harvests'!O158</f>
        <v>2562.8032339923066</v>
      </c>
      <c r="N153">
        <f>'rockfish harvests'!P158</f>
        <v>639436.97291537211</v>
      </c>
      <c r="Q153" s="13">
        <f t="shared" si="39"/>
        <v>0</v>
      </c>
      <c r="R153" s="14">
        <f t="shared" si="40"/>
        <v>0</v>
      </c>
      <c r="S153">
        <f t="shared" si="49"/>
        <v>0</v>
      </c>
      <c r="T153" s="6">
        <f t="shared" si="50"/>
        <v>0</v>
      </c>
      <c r="V153" s="13">
        <f t="shared" si="46"/>
        <v>0</v>
      </c>
      <c r="W153">
        <f t="shared" si="46"/>
        <v>0</v>
      </c>
      <c r="X153">
        <f t="shared" si="51"/>
        <v>0</v>
      </c>
      <c r="Y153" s="6">
        <f t="shared" si="52"/>
        <v>0</v>
      </c>
    </row>
    <row r="154" spans="1:25" hidden="1" x14ac:dyDescent="0.25">
      <c r="A154" t="str">
        <f>'rockfish harvests'!A159</f>
        <v>SC</v>
      </c>
      <c r="B154">
        <f>'rockfish harvests'!B159</f>
        <v>2005</v>
      </c>
      <c r="C154" t="str">
        <f>'rockfish harvests'!C159</f>
        <v>NORTHEAS</v>
      </c>
      <c r="D154">
        <f>'rockfish harvests'!D159</f>
        <v>4641</v>
      </c>
      <c r="E154">
        <f>'YE harvest'!E160</f>
        <v>316</v>
      </c>
      <c r="F154" s="38"/>
      <c r="G154" s="39"/>
      <c r="H154" s="13">
        <f t="shared" si="44"/>
        <v>0</v>
      </c>
      <c r="I154">
        <f t="shared" si="45"/>
        <v>0</v>
      </c>
      <c r="J154">
        <f t="shared" si="47"/>
        <v>0</v>
      </c>
      <c r="K154" s="6">
        <f t="shared" si="48"/>
        <v>0</v>
      </c>
      <c r="M154" s="2">
        <f>'rockfish harvests'!O159</f>
        <v>3614.0898842170445</v>
      </c>
      <c r="N154">
        <f>'rockfish harvests'!P159</f>
        <v>1271642.7403433286</v>
      </c>
      <c r="Q154" s="13">
        <f t="shared" si="39"/>
        <v>0</v>
      </c>
      <c r="R154" s="14">
        <f t="shared" si="40"/>
        <v>0</v>
      </c>
      <c r="S154">
        <f t="shared" si="49"/>
        <v>0</v>
      </c>
      <c r="T154" s="6">
        <f t="shared" si="50"/>
        <v>0</v>
      </c>
      <c r="V154" s="13">
        <f t="shared" si="46"/>
        <v>0</v>
      </c>
      <c r="W154">
        <f t="shared" si="46"/>
        <v>0</v>
      </c>
      <c r="X154">
        <f t="shared" si="51"/>
        <v>0</v>
      </c>
      <c r="Y154" s="6">
        <f t="shared" si="52"/>
        <v>0</v>
      </c>
    </row>
    <row r="155" spans="1:25" hidden="1" x14ac:dyDescent="0.25">
      <c r="A155" t="str">
        <f>'rockfish harvests'!A160</f>
        <v>SC</v>
      </c>
      <c r="B155">
        <f>'rockfish harvests'!B160</f>
        <v>2006</v>
      </c>
      <c r="C155" t="str">
        <f>'rockfish harvests'!C160</f>
        <v>NORTHEAS</v>
      </c>
      <c r="D155">
        <f>'rockfish harvests'!D160</f>
        <v>3693</v>
      </c>
      <c r="E155">
        <f>'YE harvest'!E161</f>
        <v>174</v>
      </c>
      <c r="H155" s="13" t="e">
        <f>#REF!</f>
        <v>#REF!</v>
      </c>
      <c r="I155">
        <f t="shared" si="45"/>
        <v>0</v>
      </c>
      <c r="J155">
        <f t="shared" si="47"/>
        <v>0</v>
      </c>
      <c r="K155" s="6">
        <f t="shared" si="48"/>
        <v>0</v>
      </c>
      <c r="M155" s="2">
        <f>'rockfish harvests'!O160</f>
        <v>2875.8530365036731</v>
      </c>
      <c r="N155">
        <f>'rockfish harvests'!P160</f>
        <v>805194.11996587296</v>
      </c>
      <c r="Q155" s="13">
        <f t="shared" si="39"/>
        <v>0</v>
      </c>
      <c r="R155" s="14">
        <f t="shared" si="40"/>
        <v>0</v>
      </c>
      <c r="S155">
        <f t="shared" si="49"/>
        <v>0</v>
      </c>
      <c r="T155" s="6">
        <f t="shared" si="50"/>
        <v>0</v>
      </c>
      <c r="V155" s="13" t="e">
        <f t="shared" si="46"/>
        <v>#REF!</v>
      </c>
      <c r="W155">
        <f t="shared" si="46"/>
        <v>0</v>
      </c>
      <c r="X155">
        <f t="shared" si="51"/>
        <v>0</v>
      </c>
      <c r="Y155" s="6">
        <f t="shared" si="52"/>
        <v>0</v>
      </c>
    </row>
    <row r="156" spans="1:25" hidden="1" x14ac:dyDescent="0.25">
      <c r="A156" t="str">
        <f>'rockfish harvests'!A161</f>
        <v>SC</v>
      </c>
      <c r="B156">
        <f>'rockfish harvests'!B161</f>
        <v>2007</v>
      </c>
      <c r="C156" t="str">
        <f>'rockfish harvests'!C161</f>
        <v>NORTHEAS</v>
      </c>
      <c r="D156">
        <f>'rockfish harvests'!D161</f>
        <v>5080</v>
      </c>
      <c r="E156">
        <f>'YE harvest'!E162</f>
        <v>428</v>
      </c>
      <c r="H156" s="13" t="e">
        <f>#REF!</f>
        <v>#REF!</v>
      </c>
      <c r="I156">
        <f t="shared" si="45"/>
        <v>0</v>
      </c>
      <c r="J156">
        <f t="shared" si="47"/>
        <v>0</v>
      </c>
      <c r="K156" s="6">
        <f t="shared" si="48"/>
        <v>0</v>
      </c>
      <c r="M156" s="2">
        <f>'rockfish harvests'!O161</f>
        <v>3955.9527282530889</v>
      </c>
      <c r="N156">
        <f>'rockfish harvests'!P161</f>
        <v>1523594.5272363999</v>
      </c>
      <c r="Q156" s="13">
        <f t="shared" si="39"/>
        <v>0</v>
      </c>
      <c r="R156" s="14">
        <f t="shared" si="40"/>
        <v>0</v>
      </c>
      <c r="S156">
        <f t="shared" si="49"/>
        <v>0</v>
      </c>
      <c r="T156" s="6">
        <f t="shared" si="50"/>
        <v>0</v>
      </c>
      <c r="V156" s="13" t="e">
        <f t="shared" si="46"/>
        <v>#REF!</v>
      </c>
      <c r="W156">
        <f t="shared" si="46"/>
        <v>0</v>
      </c>
      <c r="X156">
        <f t="shared" si="51"/>
        <v>0</v>
      </c>
      <c r="Y156" s="6">
        <f t="shared" si="52"/>
        <v>0</v>
      </c>
    </row>
    <row r="157" spans="1:25" hidden="1" x14ac:dyDescent="0.25">
      <c r="A157" t="str">
        <f>'rockfish harvests'!A162</f>
        <v>SC</v>
      </c>
      <c r="B157">
        <f>'rockfish harvests'!B162</f>
        <v>2008</v>
      </c>
      <c r="C157" t="str">
        <f>'rockfish harvests'!C162</f>
        <v>NORTHEAS</v>
      </c>
      <c r="D157">
        <f>'rockfish harvests'!D162</f>
        <v>6260</v>
      </c>
      <c r="E157">
        <f>'YE harvest'!E163</f>
        <v>407</v>
      </c>
      <c r="H157" s="13" t="e">
        <f>#REF!</f>
        <v>#REF!</v>
      </c>
      <c r="I157">
        <f t="shared" si="45"/>
        <v>0</v>
      </c>
      <c r="J157">
        <f t="shared" si="47"/>
        <v>0</v>
      </c>
      <c r="K157" s="6">
        <f t="shared" si="48"/>
        <v>0</v>
      </c>
      <c r="M157" s="2">
        <f>'rockfish harvests'!O162</f>
        <v>4874.8551336347118</v>
      </c>
      <c r="N157">
        <f>'rockfish harvests'!P162</f>
        <v>2313612.6269270084</v>
      </c>
      <c r="Q157" s="13">
        <f t="shared" si="39"/>
        <v>0</v>
      </c>
      <c r="R157" s="14">
        <f t="shared" si="40"/>
        <v>0</v>
      </c>
      <c r="S157">
        <f t="shared" si="49"/>
        <v>0</v>
      </c>
      <c r="T157" s="6">
        <f t="shared" si="50"/>
        <v>0</v>
      </c>
      <c r="V157" s="13" t="e">
        <f t="shared" si="46"/>
        <v>#REF!</v>
      </c>
      <c r="W157">
        <f t="shared" si="46"/>
        <v>0</v>
      </c>
      <c r="X157">
        <f t="shared" si="51"/>
        <v>0</v>
      </c>
      <c r="Y157" s="6">
        <f t="shared" si="52"/>
        <v>0</v>
      </c>
    </row>
    <row r="158" spans="1:25" hidden="1" x14ac:dyDescent="0.25">
      <c r="A158" t="str">
        <f>'rockfish harvests'!A163</f>
        <v>SC</v>
      </c>
      <c r="B158">
        <f>'rockfish harvests'!B163</f>
        <v>2009</v>
      </c>
      <c r="C158" t="str">
        <f>'rockfish harvests'!C163</f>
        <v>NORTHEAS</v>
      </c>
      <c r="D158">
        <f>'rockfish harvests'!D163</f>
        <v>6369</v>
      </c>
      <c r="E158">
        <f>'YE harvest'!E164</f>
        <v>282</v>
      </c>
      <c r="H158" s="13" t="e">
        <f>#REF!</f>
        <v>#REF!</v>
      </c>
      <c r="I158">
        <f t="shared" si="45"/>
        <v>0</v>
      </c>
      <c r="J158">
        <f t="shared" si="47"/>
        <v>0</v>
      </c>
      <c r="K158" s="6">
        <f t="shared" si="48"/>
        <v>0</v>
      </c>
      <c r="M158" s="2">
        <f>'rockfish harvests'!O163</f>
        <v>4959.7367965047106</v>
      </c>
      <c r="N158">
        <f>'rockfish harvests'!P163</f>
        <v>2394883.9707024693</v>
      </c>
      <c r="Q158" s="13">
        <f t="shared" si="39"/>
        <v>0</v>
      </c>
      <c r="R158" s="14">
        <f t="shared" si="40"/>
        <v>0</v>
      </c>
      <c r="S158">
        <f t="shared" si="49"/>
        <v>0</v>
      </c>
      <c r="T158" s="6">
        <f t="shared" si="50"/>
        <v>0</v>
      </c>
      <c r="V158" s="13" t="e">
        <f t="shared" si="46"/>
        <v>#REF!</v>
      </c>
      <c r="W158">
        <f t="shared" si="46"/>
        <v>0</v>
      </c>
      <c r="X158">
        <f t="shared" si="51"/>
        <v>0</v>
      </c>
      <c r="Y158" s="6">
        <f t="shared" si="52"/>
        <v>0</v>
      </c>
    </row>
    <row r="159" spans="1:25" hidden="1" x14ac:dyDescent="0.25">
      <c r="A159" t="str">
        <f>'rockfish harvests'!A164</f>
        <v>SC</v>
      </c>
      <c r="B159">
        <f>'rockfish harvests'!B164</f>
        <v>2010</v>
      </c>
      <c r="C159" t="str">
        <f>'rockfish harvests'!C164</f>
        <v>NORTHEAS</v>
      </c>
      <c r="D159">
        <f>'rockfish harvests'!D164</f>
        <v>8141</v>
      </c>
      <c r="E159">
        <f>'YE harvest'!E165</f>
        <v>1433</v>
      </c>
      <c r="H159" s="13" t="e">
        <f>#REF!</f>
        <v>#REF!</v>
      </c>
      <c r="I159">
        <f t="shared" si="45"/>
        <v>0</v>
      </c>
      <c r="J159">
        <f t="shared" si="47"/>
        <v>0</v>
      </c>
      <c r="K159" s="6">
        <f t="shared" si="48"/>
        <v>0</v>
      </c>
      <c r="M159" s="2">
        <f>'rockfish harvests'!O164</f>
        <v>6339.6478662811805</v>
      </c>
      <c r="N159">
        <f>'rockfish harvests'!P164</f>
        <v>3912888.6469779164</v>
      </c>
      <c r="O159" s="21"/>
      <c r="P159" s="21"/>
      <c r="Q159" s="13">
        <f t="shared" si="39"/>
        <v>0</v>
      </c>
      <c r="R159" s="14">
        <f t="shared" si="40"/>
        <v>0</v>
      </c>
      <c r="S159">
        <f t="shared" si="49"/>
        <v>0</v>
      </c>
      <c r="T159" s="6">
        <f t="shared" si="50"/>
        <v>0</v>
      </c>
      <c r="V159" s="13" t="e">
        <f t="shared" si="46"/>
        <v>#REF!</v>
      </c>
      <c r="W159">
        <f t="shared" si="46"/>
        <v>0</v>
      </c>
      <c r="X159">
        <f t="shared" si="51"/>
        <v>0</v>
      </c>
      <c r="Y159" s="6">
        <f t="shared" si="52"/>
        <v>0</v>
      </c>
    </row>
    <row r="160" spans="1:25" hidden="1" x14ac:dyDescent="0.25">
      <c r="A160" t="str">
        <f>'rockfish harvests'!A165</f>
        <v>SC</v>
      </c>
      <c r="B160">
        <f>'rockfish harvests'!B165</f>
        <v>2011</v>
      </c>
      <c r="C160" t="str">
        <f>'rockfish harvests'!C165</f>
        <v>NORTHEAS</v>
      </c>
      <c r="D160">
        <f>'rockfish harvests'!D165</f>
        <v>6904</v>
      </c>
      <c r="E160">
        <f>'YE harvest'!E166</f>
        <v>293</v>
      </c>
      <c r="H160" s="13" t="e">
        <f>#REF!</f>
        <v>#REF!</v>
      </c>
      <c r="I160">
        <f t="shared" si="45"/>
        <v>0</v>
      </c>
      <c r="J160">
        <f t="shared" si="47"/>
        <v>0</v>
      </c>
      <c r="K160" s="6">
        <f t="shared" si="48"/>
        <v>0</v>
      </c>
      <c r="M160" s="2">
        <f>'rockfish harvests'!O165</f>
        <v>6000.5227354099534</v>
      </c>
      <c r="N160">
        <f>'rockfish harvests'!P165</f>
        <v>2122890.1028359062</v>
      </c>
      <c r="Q160" s="13">
        <f t="shared" si="39"/>
        <v>0</v>
      </c>
      <c r="R160" s="14">
        <f t="shared" si="40"/>
        <v>0</v>
      </c>
      <c r="S160">
        <f t="shared" si="49"/>
        <v>0</v>
      </c>
      <c r="T160" s="6">
        <f t="shared" si="50"/>
        <v>0</v>
      </c>
      <c r="V160" s="13" t="e">
        <f t="shared" si="46"/>
        <v>#REF!</v>
      </c>
      <c r="W160">
        <f t="shared" si="46"/>
        <v>0</v>
      </c>
      <c r="X160">
        <f t="shared" si="51"/>
        <v>0</v>
      </c>
      <c r="Y160" s="6">
        <f t="shared" si="52"/>
        <v>0</v>
      </c>
    </row>
    <row r="161" spans="1:25" hidden="1" x14ac:dyDescent="0.25">
      <c r="A161" t="str">
        <f>'rockfish harvests'!A166</f>
        <v>SC</v>
      </c>
      <c r="B161">
        <f>'rockfish harvests'!B166</f>
        <v>2012</v>
      </c>
      <c r="C161" t="str">
        <f>'rockfish harvests'!C166</f>
        <v>NORTHEAS</v>
      </c>
      <c r="D161">
        <f>'rockfish harvests'!D166</f>
        <v>6813</v>
      </c>
      <c r="E161">
        <f>'YE harvest'!E167</f>
        <v>556</v>
      </c>
      <c r="H161" s="13" t="e">
        <f>#REF!</f>
        <v>#REF!</v>
      </c>
      <c r="I161">
        <f t="shared" si="45"/>
        <v>0</v>
      </c>
      <c r="J161">
        <f t="shared" si="47"/>
        <v>0</v>
      </c>
      <c r="K161" s="6">
        <f t="shared" si="48"/>
        <v>0</v>
      </c>
      <c r="M161" s="2">
        <f>'rockfish harvests'!O166</f>
        <v>4938.4793337446008</v>
      </c>
      <c r="N161">
        <f>'rockfish harvests'!P166</f>
        <v>2023168.1052428612</v>
      </c>
      <c r="Q161" s="13">
        <f t="shared" si="39"/>
        <v>0</v>
      </c>
      <c r="R161" s="14">
        <f t="shared" si="40"/>
        <v>0</v>
      </c>
      <c r="S161">
        <f t="shared" si="49"/>
        <v>0</v>
      </c>
      <c r="T161" s="6">
        <f t="shared" si="50"/>
        <v>0</v>
      </c>
      <c r="V161" s="13" t="e">
        <f t="shared" si="46"/>
        <v>#REF!</v>
      </c>
      <c r="W161">
        <f t="shared" si="46"/>
        <v>0</v>
      </c>
      <c r="X161">
        <f t="shared" si="51"/>
        <v>0</v>
      </c>
      <c r="Y161" s="6">
        <f t="shared" si="52"/>
        <v>0</v>
      </c>
    </row>
    <row r="162" spans="1:25" hidden="1" x14ac:dyDescent="0.25">
      <c r="A162" t="str">
        <f>'rockfish harvests'!A167</f>
        <v>SC</v>
      </c>
      <c r="B162">
        <f>'rockfish harvests'!B167</f>
        <v>2013</v>
      </c>
      <c r="C162" t="str">
        <f>'rockfish harvests'!C167</f>
        <v>NORTHEAS</v>
      </c>
      <c r="D162">
        <f>'rockfish harvests'!D167</f>
        <v>9965</v>
      </c>
      <c r="E162">
        <f>'YE harvest'!E168</f>
        <v>638</v>
      </c>
      <c r="H162" s="13" t="e">
        <f>#REF!</f>
        <v>#REF!</v>
      </c>
      <c r="I162">
        <f t="shared" si="45"/>
        <v>0</v>
      </c>
      <c r="J162">
        <f t="shared" si="47"/>
        <v>0</v>
      </c>
      <c r="K162" s="6">
        <f t="shared" si="48"/>
        <v>0</v>
      </c>
      <c r="M162" s="2">
        <f>'rockfish harvests'!O167</f>
        <v>8625.830039525692</v>
      </c>
      <c r="N162">
        <f>'rockfish harvests'!P167</f>
        <v>4761147.9363994701</v>
      </c>
      <c r="Q162" s="13">
        <f t="shared" si="39"/>
        <v>0</v>
      </c>
      <c r="R162" s="14">
        <f t="shared" si="40"/>
        <v>0</v>
      </c>
      <c r="S162">
        <f t="shared" si="49"/>
        <v>0</v>
      </c>
      <c r="T162" s="6">
        <f t="shared" si="50"/>
        <v>0</v>
      </c>
      <c r="V162" s="13" t="e">
        <f t="shared" si="46"/>
        <v>#REF!</v>
      </c>
      <c r="W162">
        <f t="shared" si="46"/>
        <v>0</v>
      </c>
      <c r="X162">
        <f t="shared" si="51"/>
        <v>0</v>
      </c>
      <c r="Y162" s="6">
        <f t="shared" si="52"/>
        <v>0</v>
      </c>
    </row>
    <row r="163" spans="1:25" hidden="1" x14ac:dyDescent="0.25">
      <c r="A163" t="str">
        <f>'rockfish harvests'!A168</f>
        <v>SC</v>
      </c>
      <c r="B163">
        <f>'rockfish harvests'!B168</f>
        <v>2014</v>
      </c>
      <c r="C163" t="str">
        <f>'rockfish harvests'!C168</f>
        <v>NORTHEAS</v>
      </c>
      <c r="D163">
        <f>'rockfish harvests'!D168</f>
        <v>11896</v>
      </c>
      <c r="E163">
        <f>'YE harvest'!E169</f>
        <v>1536</v>
      </c>
      <c r="H163" s="13" t="e">
        <f>#REF!</f>
        <v>#REF!</v>
      </c>
      <c r="I163">
        <f t="shared" si="45"/>
        <v>0</v>
      </c>
      <c r="J163">
        <f t="shared" si="47"/>
        <v>0</v>
      </c>
      <c r="K163" s="6">
        <f t="shared" si="48"/>
        <v>0</v>
      </c>
      <c r="M163" s="2">
        <f>'rockfish harvests'!O168</f>
        <v>5411.0074000986679</v>
      </c>
      <c r="N163">
        <f>'rockfish harvests'!P168</f>
        <v>1633143.8585763292</v>
      </c>
      <c r="Q163" s="13">
        <f t="shared" si="39"/>
        <v>0</v>
      </c>
      <c r="R163" s="14">
        <f t="shared" si="40"/>
        <v>0</v>
      </c>
      <c r="S163">
        <f t="shared" si="49"/>
        <v>0</v>
      </c>
      <c r="T163" s="6">
        <f t="shared" si="50"/>
        <v>0</v>
      </c>
      <c r="V163" s="13" t="e">
        <f t="shared" si="46"/>
        <v>#REF!</v>
      </c>
      <c r="W163">
        <f t="shared" si="46"/>
        <v>0</v>
      </c>
      <c r="X163">
        <f t="shared" si="51"/>
        <v>0</v>
      </c>
      <c r="Y163" s="6">
        <f t="shared" si="52"/>
        <v>0</v>
      </c>
    </row>
    <row r="164" spans="1:25" hidden="1" x14ac:dyDescent="0.25">
      <c r="A164" t="str">
        <f>'rockfish harvests'!A169</f>
        <v>SC</v>
      </c>
      <c r="B164">
        <f>'rockfish harvests'!B169</f>
        <v>2015</v>
      </c>
      <c r="C164" t="str">
        <f>'rockfish harvests'!C169</f>
        <v>NORTHEAS</v>
      </c>
      <c r="D164">
        <f>'rockfish harvests'!D169</f>
        <v>12377</v>
      </c>
      <c r="E164">
        <f>'YE harvest'!E170</f>
        <v>578</v>
      </c>
      <c r="H164" s="13" t="e">
        <f>#REF!</f>
        <v>#REF!</v>
      </c>
      <c r="I164">
        <f t="shared" si="45"/>
        <v>0</v>
      </c>
      <c r="J164">
        <f t="shared" si="47"/>
        <v>0</v>
      </c>
      <c r="K164" s="6">
        <f t="shared" si="48"/>
        <v>0</v>
      </c>
      <c r="M164" s="2">
        <f>'rockfish harvests'!O169</f>
        <v>10776.477406902814</v>
      </c>
      <c r="N164">
        <f>'rockfish harvests'!P169</f>
        <v>10110394.020791385</v>
      </c>
      <c r="Q164" s="13">
        <f t="shared" si="39"/>
        <v>0</v>
      </c>
      <c r="R164" s="14">
        <f t="shared" si="40"/>
        <v>0</v>
      </c>
      <c r="S164">
        <f t="shared" si="49"/>
        <v>0</v>
      </c>
      <c r="T164" s="6">
        <f t="shared" si="50"/>
        <v>0</v>
      </c>
      <c r="V164" s="13" t="e">
        <f t="shared" si="46"/>
        <v>#REF!</v>
      </c>
      <c r="W164">
        <f t="shared" si="46"/>
        <v>0</v>
      </c>
      <c r="X164">
        <f t="shared" si="51"/>
        <v>0</v>
      </c>
      <c r="Y164" s="6">
        <f t="shared" si="52"/>
        <v>0</v>
      </c>
    </row>
    <row r="165" spans="1:25" hidden="1" x14ac:dyDescent="0.25">
      <c r="A165" t="str">
        <f>'rockfish harvests'!A170</f>
        <v>SC</v>
      </c>
      <c r="B165">
        <f>'rockfish harvests'!B170</f>
        <v>2016</v>
      </c>
      <c r="C165" t="str">
        <f>'rockfish harvests'!C170</f>
        <v>NORTHEAS</v>
      </c>
      <c r="D165">
        <f>'rockfish harvests'!D170</f>
        <v>13580</v>
      </c>
      <c r="E165">
        <f>'YE harvest'!E171</f>
        <v>719</v>
      </c>
      <c r="H165" s="13" t="e">
        <f>#REF!</f>
        <v>#REF!</v>
      </c>
      <c r="I165">
        <f t="shared" si="45"/>
        <v>0</v>
      </c>
      <c r="J165">
        <f t="shared" si="47"/>
        <v>0</v>
      </c>
      <c r="K165" s="6">
        <f t="shared" si="48"/>
        <v>0</v>
      </c>
      <c r="M165" s="2">
        <f>'rockfish harvests'!O170</f>
        <v>14147.366319691999</v>
      </c>
      <c r="N165">
        <f>'rockfish harvests'!P170</f>
        <v>22590691.391820997</v>
      </c>
      <c r="Q165" s="13">
        <f t="shared" si="39"/>
        <v>0</v>
      </c>
      <c r="R165" s="14">
        <f t="shared" si="40"/>
        <v>0</v>
      </c>
      <c r="S165">
        <f t="shared" si="49"/>
        <v>0</v>
      </c>
      <c r="T165" s="6">
        <f t="shared" si="50"/>
        <v>0</v>
      </c>
      <c r="V165" s="13" t="e">
        <f t="shared" si="46"/>
        <v>#REF!</v>
      </c>
      <c r="W165">
        <f t="shared" si="46"/>
        <v>0</v>
      </c>
      <c r="X165">
        <f t="shared" si="51"/>
        <v>0</v>
      </c>
      <c r="Y165" s="6">
        <f t="shared" si="52"/>
        <v>0</v>
      </c>
    </row>
    <row r="166" spans="1:25" hidden="1" x14ac:dyDescent="0.25">
      <c r="A166" t="str">
        <f>'rockfish harvests'!A171</f>
        <v>SC</v>
      </c>
      <c r="B166">
        <f>'rockfish harvests'!B171</f>
        <v>2017</v>
      </c>
      <c r="C166" t="str">
        <f>'rockfish harvests'!C171</f>
        <v>NORTHEAS</v>
      </c>
      <c r="D166">
        <f>'rockfish harvests'!D171</f>
        <v>6719</v>
      </c>
      <c r="E166">
        <f>'YE harvest'!E172</f>
        <v>241</v>
      </c>
      <c r="H166" s="13" t="e">
        <f>#REF!</f>
        <v>#REF!</v>
      </c>
      <c r="I166">
        <f t="shared" si="45"/>
        <v>0</v>
      </c>
      <c r="J166">
        <f t="shared" si="47"/>
        <v>0</v>
      </c>
      <c r="K166" s="6">
        <f t="shared" si="48"/>
        <v>0</v>
      </c>
      <c r="M166" s="2">
        <f>'rockfish harvests'!O171</f>
        <v>3758.2825709322533</v>
      </c>
      <c r="N166">
        <f>'rockfish harvests'!P171</f>
        <v>1035822.3149322054</v>
      </c>
      <c r="Q166" s="13">
        <f t="shared" si="39"/>
        <v>0</v>
      </c>
      <c r="R166" s="14">
        <f t="shared" si="40"/>
        <v>0</v>
      </c>
      <c r="S166">
        <f t="shared" si="49"/>
        <v>0</v>
      </c>
      <c r="T166" s="6">
        <f t="shared" si="50"/>
        <v>0</v>
      </c>
      <c r="V166" s="13" t="e">
        <f t="shared" si="46"/>
        <v>#REF!</v>
      </c>
      <c r="W166">
        <f t="shared" si="46"/>
        <v>0</v>
      </c>
      <c r="X166">
        <f t="shared" si="51"/>
        <v>0</v>
      </c>
      <c r="Y166" s="6">
        <f t="shared" si="52"/>
        <v>0</v>
      </c>
    </row>
    <row r="167" spans="1:25" hidden="1" x14ac:dyDescent="0.25">
      <c r="A167" t="str">
        <f>'rockfish harvests'!A172</f>
        <v>SC</v>
      </c>
      <c r="B167">
        <f>'rockfish harvests'!B172</f>
        <v>2018</v>
      </c>
      <c r="C167" t="str">
        <f>'rockfish harvests'!C172</f>
        <v>NORTHEAS</v>
      </c>
      <c r="D167">
        <f>'rockfish harvests'!D172</f>
        <v>8479</v>
      </c>
      <c r="E167">
        <f>'YE harvest'!E173</f>
        <v>316</v>
      </c>
      <c r="H167" s="13" t="e">
        <f>#REF!</f>
        <v>#REF!</v>
      </c>
      <c r="I167">
        <f t="shared" si="45"/>
        <v>0</v>
      </c>
      <c r="J167">
        <f t="shared" si="47"/>
        <v>0</v>
      </c>
      <c r="K167" s="6">
        <f t="shared" si="48"/>
        <v>0</v>
      </c>
      <c r="M167" s="2">
        <f>'rockfish harvests'!O172</f>
        <v>8690.7789084181313</v>
      </c>
      <c r="N167">
        <f>'rockfish harvests'!P172</f>
        <v>6090869.3085533688</v>
      </c>
      <c r="Q167" s="13">
        <f t="shared" si="39"/>
        <v>0</v>
      </c>
      <c r="R167" s="14">
        <f t="shared" si="40"/>
        <v>0</v>
      </c>
      <c r="S167">
        <f t="shared" si="49"/>
        <v>0</v>
      </c>
      <c r="T167" s="6">
        <f t="shared" si="50"/>
        <v>0</v>
      </c>
      <c r="V167" s="13" t="e">
        <f t="shared" si="46"/>
        <v>#REF!</v>
      </c>
      <c r="W167">
        <f t="shared" si="46"/>
        <v>0</v>
      </c>
      <c r="X167">
        <f t="shared" si="51"/>
        <v>0</v>
      </c>
      <c r="Y167" s="6">
        <f t="shared" si="52"/>
        <v>0</v>
      </c>
    </row>
    <row r="168" spans="1:25" hidden="1" x14ac:dyDescent="0.25">
      <c r="A168" t="str">
        <f>'rockfish harvests'!A173</f>
        <v>SC</v>
      </c>
      <c r="B168">
        <f>'rockfish harvests'!B173</f>
        <v>2019</v>
      </c>
      <c r="C168" t="str">
        <f>'rockfish harvests'!C173</f>
        <v>NORTHEAS</v>
      </c>
      <c r="D168">
        <f>'rockfish harvests'!D173</f>
        <v>9881</v>
      </c>
      <c r="E168">
        <f>'YE harvest'!E174</f>
        <v>435</v>
      </c>
      <c r="I168">
        <f t="shared" ref="I168:I169" si="53">(E168^2)*G168</f>
        <v>0</v>
      </c>
      <c r="J168">
        <f t="shared" ref="J168:J169" si="54">SQRT(I168)</f>
        <v>0</v>
      </c>
      <c r="K168" s="6">
        <f t="shared" ref="K168:K169" si="55">(1.96*J168)</f>
        <v>0</v>
      </c>
      <c r="M168" s="2">
        <f>'rockfish harvests'!O173</f>
        <v>10303.660072182862</v>
      </c>
      <c r="N168">
        <f>'rockfish harvests'!P173</f>
        <v>5030013.8598571327</v>
      </c>
      <c r="R168" s="14"/>
      <c r="S168"/>
      <c r="T168" s="6"/>
      <c r="Y168" s="6"/>
    </row>
    <row r="169" spans="1:25" hidden="1" x14ac:dyDescent="0.25">
      <c r="A169" t="str">
        <f>'rockfish harvests'!A174</f>
        <v>SC</v>
      </c>
      <c r="B169">
        <f>'rockfish harvests'!B174</f>
        <v>2020</v>
      </c>
      <c r="C169" t="str">
        <f>'rockfish harvests'!C174</f>
        <v>NORTHEAS</v>
      </c>
      <c r="D169">
        <f>'rockfish harvests'!D174</f>
        <v>4479</v>
      </c>
      <c r="E169">
        <f>'YE harvest'!E175</f>
        <v>296</v>
      </c>
      <c r="I169">
        <f t="shared" si="53"/>
        <v>0</v>
      </c>
      <c r="J169">
        <f t="shared" si="54"/>
        <v>0</v>
      </c>
      <c r="K169" s="6">
        <f t="shared" si="55"/>
        <v>0</v>
      </c>
      <c r="M169" s="2">
        <f>'rockfish harvests'!O174</f>
        <v>5425.9695845697333</v>
      </c>
      <c r="N169">
        <f>'rockfish harvests'!P174</f>
        <v>2642689.7102351333</v>
      </c>
      <c r="R169" s="14"/>
      <c r="S169"/>
      <c r="T169" s="6"/>
      <c r="Y169" s="6"/>
    </row>
    <row r="170" spans="1:25" hidden="1" x14ac:dyDescent="0.25">
      <c r="A170" t="str">
        <f>'rockfish harvests'!A175</f>
        <v>SC</v>
      </c>
      <c r="B170">
        <f>'rockfish harvests'!B175</f>
        <v>2021</v>
      </c>
      <c r="C170" t="str">
        <f>'rockfish harvests'!C175</f>
        <v>NORTHEAS</v>
      </c>
      <c r="D170">
        <f>'rockfish harvests'!D175</f>
        <v>9680</v>
      </c>
      <c r="E170">
        <f>'YE harvest'!E176</f>
        <v>701</v>
      </c>
      <c r="K170" s="6"/>
      <c r="M170" s="2">
        <f>'rockfish harvests'!O175</f>
        <v>6922.7471252241812</v>
      </c>
      <c r="N170">
        <f>'rockfish harvests'!P175</f>
        <v>2666714.9901529583</v>
      </c>
      <c r="R170" s="14"/>
      <c r="S170"/>
      <c r="T170" s="6"/>
      <c r="Y170" s="6"/>
    </row>
    <row r="171" spans="1:25" hidden="1" x14ac:dyDescent="0.25">
      <c r="A171" t="str">
        <f>'rockfish harvests'!A177</f>
        <v>SC</v>
      </c>
      <c r="B171">
        <f>'rockfish harvests'!B177</f>
        <v>1998</v>
      </c>
      <c r="C171" t="str">
        <f>'rockfish harvests'!C177</f>
        <v>PWSI</v>
      </c>
      <c r="D171">
        <f>'rockfish harvests'!D177</f>
        <v>3821</v>
      </c>
      <c r="E171">
        <f>'YE harvest'!E178</f>
        <v>1723</v>
      </c>
      <c r="H171" s="13">
        <f t="shared" ref="H171:H178" si="56">E171*F171</f>
        <v>0</v>
      </c>
      <c r="I171">
        <f t="shared" si="45"/>
        <v>0</v>
      </c>
      <c r="J171">
        <f t="shared" si="47"/>
        <v>0</v>
      </c>
      <c r="K171" s="6">
        <f t="shared" si="48"/>
        <v>0</v>
      </c>
      <c r="M171" s="2">
        <f>'rockfish harvests'!O177</f>
        <v>9768.3550806147941</v>
      </c>
      <c r="N171">
        <f>'rockfish harvests'!P177</f>
        <v>8755809.3695013113</v>
      </c>
      <c r="O171" s="32"/>
      <c r="P171" s="32"/>
      <c r="Q171" s="13">
        <f t="shared" si="39"/>
        <v>0</v>
      </c>
      <c r="R171" s="14">
        <f t="shared" si="40"/>
        <v>0</v>
      </c>
      <c r="S171">
        <f t="shared" si="49"/>
        <v>0</v>
      </c>
      <c r="T171" s="6">
        <f t="shared" si="50"/>
        <v>0</v>
      </c>
      <c r="V171" s="13">
        <f t="shared" si="46"/>
        <v>0</v>
      </c>
      <c r="W171">
        <f t="shared" si="46"/>
        <v>0</v>
      </c>
      <c r="X171">
        <f t="shared" si="51"/>
        <v>0</v>
      </c>
      <c r="Y171" s="6">
        <f t="shared" si="52"/>
        <v>0</v>
      </c>
    </row>
    <row r="172" spans="1:25" hidden="1" x14ac:dyDescent="0.25">
      <c r="A172" t="str">
        <f>'rockfish harvests'!A178</f>
        <v>SC</v>
      </c>
      <c r="B172">
        <f>'rockfish harvests'!B178</f>
        <v>1999</v>
      </c>
      <c r="C172" t="str">
        <f>'rockfish harvests'!C178</f>
        <v>PWSI</v>
      </c>
      <c r="D172">
        <f>'rockfish harvests'!D178</f>
        <v>4514</v>
      </c>
      <c r="E172">
        <f>'YE harvest'!E179</f>
        <v>1905</v>
      </c>
      <c r="H172" s="13">
        <f t="shared" si="56"/>
        <v>0</v>
      </c>
      <c r="I172">
        <f t="shared" si="45"/>
        <v>0</v>
      </c>
      <c r="J172">
        <f t="shared" si="47"/>
        <v>0</v>
      </c>
      <c r="K172" s="6">
        <f t="shared" si="48"/>
        <v>0</v>
      </c>
      <c r="M172" s="2">
        <f>'rockfish harvests'!O178</f>
        <v>11540.003882202349</v>
      </c>
      <c r="N172">
        <f>'rockfish harvests'!P178</f>
        <v>12219834.714956973</v>
      </c>
      <c r="Q172" s="13">
        <f t="shared" si="39"/>
        <v>0</v>
      </c>
      <c r="R172" s="14">
        <f t="shared" si="40"/>
        <v>0</v>
      </c>
      <c r="S172">
        <f t="shared" si="49"/>
        <v>0</v>
      </c>
      <c r="T172" s="6">
        <f t="shared" si="50"/>
        <v>0</v>
      </c>
      <c r="V172" s="13">
        <f t="shared" si="46"/>
        <v>0</v>
      </c>
      <c r="W172">
        <f t="shared" si="46"/>
        <v>0</v>
      </c>
      <c r="X172">
        <f t="shared" si="51"/>
        <v>0</v>
      </c>
      <c r="Y172" s="6">
        <f t="shared" si="52"/>
        <v>0</v>
      </c>
    </row>
    <row r="173" spans="1:25" hidden="1" x14ac:dyDescent="0.25">
      <c r="A173" t="str">
        <f>'rockfish harvests'!A179</f>
        <v>SC</v>
      </c>
      <c r="B173">
        <f>'rockfish harvests'!B179</f>
        <v>2000</v>
      </c>
      <c r="C173" t="str">
        <f>'rockfish harvests'!C179</f>
        <v>PWSI</v>
      </c>
      <c r="D173">
        <f>'rockfish harvests'!D179</f>
        <v>6011</v>
      </c>
      <c r="E173">
        <f>'YE harvest'!E180</f>
        <v>2620</v>
      </c>
      <c r="H173" s="13">
        <f t="shared" si="56"/>
        <v>0</v>
      </c>
      <c r="I173">
        <f t="shared" si="45"/>
        <v>0</v>
      </c>
      <c r="J173">
        <f t="shared" si="47"/>
        <v>0</v>
      </c>
      <c r="K173" s="6">
        <f t="shared" si="48"/>
        <v>0</v>
      </c>
      <c r="M173" s="2">
        <f>'rockfish harvests'!O179</f>
        <v>15367.072072644733</v>
      </c>
      <c r="N173">
        <f>'rockfish harvests'!P179</f>
        <v>21668840.765019432</v>
      </c>
      <c r="Q173" s="13">
        <f t="shared" si="39"/>
        <v>0</v>
      </c>
      <c r="R173" s="14">
        <f t="shared" si="40"/>
        <v>0</v>
      </c>
      <c r="S173">
        <f t="shared" si="49"/>
        <v>0</v>
      </c>
      <c r="T173" s="6">
        <f t="shared" si="50"/>
        <v>0</v>
      </c>
      <c r="V173" s="13">
        <f t="shared" si="46"/>
        <v>0</v>
      </c>
      <c r="W173">
        <f t="shared" si="46"/>
        <v>0</v>
      </c>
      <c r="X173">
        <f t="shared" si="51"/>
        <v>0</v>
      </c>
      <c r="Y173" s="6">
        <f t="shared" si="52"/>
        <v>0</v>
      </c>
    </row>
    <row r="174" spans="1:25" hidden="1" x14ac:dyDescent="0.25">
      <c r="A174" t="str">
        <f>'rockfish harvests'!A180</f>
        <v>SC</v>
      </c>
      <c r="B174">
        <f>'rockfish harvests'!B180</f>
        <v>2001</v>
      </c>
      <c r="C174" t="str">
        <f>'rockfish harvests'!C180</f>
        <v>PWSI</v>
      </c>
      <c r="D174">
        <f>'rockfish harvests'!D180</f>
        <v>7036</v>
      </c>
      <c r="E174">
        <f>'YE harvest'!E181</f>
        <v>2827</v>
      </c>
      <c r="H174" s="13">
        <f t="shared" si="56"/>
        <v>0</v>
      </c>
      <c r="I174">
        <f t="shared" si="45"/>
        <v>0</v>
      </c>
      <c r="J174">
        <f t="shared" si="47"/>
        <v>0</v>
      </c>
      <c r="K174" s="6">
        <f t="shared" si="48"/>
        <v>0</v>
      </c>
      <c r="M174" s="2">
        <f>'rockfish harvests'!O180</f>
        <v>17987.476144256918</v>
      </c>
      <c r="N174">
        <f>'rockfish harvests'!P180</f>
        <v>29688884.747428846</v>
      </c>
      <c r="Q174" s="13">
        <f t="shared" si="39"/>
        <v>0</v>
      </c>
      <c r="R174" s="14">
        <f t="shared" si="40"/>
        <v>0</v>
      </c>
      <c r="S174">
        <f t="shared" si="49"/>
        <v>0</v>
      </c>
      <c r="T174" s="6">
        <f t="shared" si="50"/>
        <v>0</v>
      </c>
      <c r="V174" s="13">
        <f t="shared" si="46"/>
        <v>0</v>
      </c>
      <c r="W174">
        <f t="shared" si="46"/>
        <v>0</v>
      </c>
      <c r="X174">
        <f t="shared" si="51"/>
        <v>0</v>
      </c>
      <c r="Y174" s="6">
        <f t="shared" si="52"/>
        <v>0</v>
      </c>
    </row>
    <row r="175" spans="1:25" hidden="1" x14ac:dyDescent="0.25">
      <c r="A175" t="str">
        <f>'rockfish harvests'!A181</f>
        <v>SC</v>
      </c>
      <c r="B175">
        <f>'rockfish harvests'!B181</f>
        <v>2002</v>
      </c>
      <c r="C175" t="str">
        <f>'rockfish harvests'!C181</f>
        <v>PWSI</v>
      </c>
      <c r="D175">
        <f>'rockfish harvests'!D181</f>
        <v>7398</v>
      </c>
      <c r="E175">
        <f>'YE harvest'!E182</f>
        <v>2518</v>
      </c>
      <c r="H175" s="13">
        <f t="shared" si="56"/>
        <v>0</v>
      </c>
      <c r="I175">
        <f t="shared" si="45"/>
        <v>0</v>
      </c>
      <c r="J175">
        <f t="shared" si="47"/>
        <v>0</v>
      </c>
      <c r="K175" s="6">
        <f t="shared" si="48"/>
        <v>0</v>
      </c>
      <c r="M175" s="2">
        <f>'rockfish harvests'!O181</f>
        <v>18912.926167597027</v>
      </c>
      <c r="N175">
        <f>'rockfish harvests'!P181</f>
        <v>32822440.987651471</v>
      </c>
      <c r="Q175" s="13">
        <f t="shared" si="39"/>
        <v>0</v>
      </c>
      <c r="R175" s="14">
        <f t="shared" si="40"/>
        <v>0</v>
      </c>
      <c r="S175">
        <f t="shared" si="49"/>
        <v>0</v>
      </c>
      <c r="T175" s="6">
        <f t="shared" si="50"/>
        <v>0</v>
      </c>
      <c r="V175" s="13">
        <f t="shared" si="46"/>
        <v>0</v>
      </c>
      <c r="W175">
        <f t="shared" si="46"/>
        <v>0</v>
      </c>
      <c r="X175">
        <f t="shared" si="51"/>
        <v>0</v>
      </c>
      <c r="Y175" s="6">
        <f t="shared" si="52"/>
        <v>0</v>
      </c>
    </row>
    <row r="176" spans="1:25" hidden="1" x14ac:dyDescent="0.25">
      <c r="A176" t="str">
        <f>'rockfish harvests'!A182</f>
        <v>SC</v>
      </c>
      <c r="B176">
        <f>'rockfish harvests'!B182</f>
        <v>2003</v>
      </c>
      <c r="C176" t="str">
        <f>'rockfish harvests'!C182</f>
        <v>PWSI</v>
      </c>
      <c r="D176">
        <f>'rockfish harvests'!D182</f>
        <v>11932</v>
      </c>
      <c r="E176">
        <f>'YE harvest'!E183</f>
        <v>3187</v>
      </c>
      <c r="H176" s="13">
        <f t="shared" si="56"/>
        <v>0</v>
      </c>
      <c r="I176">
        <f t="shared" si="45"/>
        <v>0</v>
      </c>
      <c r="J176">
        <f t="shared" si="47"/>
        <v>0</v>
      </c>
      <c r="K176" s="6">
        <f t="shared" si="48"/>
        <v>0</v>
      </c>
      <c r="M176" s="2">
        <f>'rockfish harvests'!O182</f>
        <v>30504.059885343027</v>
      </c>
      <c r="N176">
        <f>'rockfish harvests'!P182</f>
        <v>85382469.486194402</v>
      </c>
      <c r="Q176" s="13">
        <f t="shared" si="39"/>
        <v>0</v>
      </c>
      <c r="R176" s="14">
        <f t="shared" si="40"/>
        <v>0</v>
      </c>
      <c r="S176">
        <f t="shared" si="49"/>
        <v>0</v>
      </c>
      <c r="T176" s="6">
        <f t="shared" si="50"/>
        <v>0</v>
      </c>
      <c r="V176" s="13">
        <f t="shared" si="46"/>
        <v>0</v>
      </c>
      <c r="W176">
        <f t="shared" si="46"/>
        <v>0</v>
      </c>
      <c r="X176">
        <f t="shared" si="51"/>
        <v>0</v>
      </c>
      <c r="Y176" s="6">
        <f t="shared" si="52"/>
        <v>0</v>
      </c>
    </row>
    <row r="177" spans="1:25" hidden="1" x14ac:dyDescent="0.25">
      <c r="A177" t="str">
        <f>'rockfish harvests'!A183</f>
        <v>SC</v>
      </c>
      <c r="B177">
        <f>'rockfish harvests'!B183</f>
        <v>2004</v>
      </c>
      <c r="C177" t="str">
        <f>'rockfish harvests'!C183</f>
        <v>PWSI</v>
      </c>
      <c r="D177">
        <f>'rockfish harvests'!D183</f>
        <v>10310</v>
      </c>
      <c r="E177">
        <f>'YE harvest'!E184</f>
        <v>2872</v>
      </c>
      <c r="H177" s="13">
        <f t="shared" si="56"/>
        <v>0</v>
      </c>
      <c r="I177">
        <f t="shared" si="45"/>
        <v>0</v>
      </c>
      <c r="J177">
        <f t="shared" si="47"/>
        <v>0</v>
      </c>
      <c r="K177" s="6">
        <f t="shared" si="48"/>
        <v>0</v>
      </c>
      <c r="M177" s="2">
        <f>'rockfish harvests'!O183</f>
        <v>26357.430222752817</v>
      </c>
      <c r="N177">
        <f>'rockfish harvests'!P183</f>
        <v>63746970.869564563</v>
      </c>
      <c r="Q177" s="13">
        <f t="shared" si="39"/>
        <v>0</v>
      </c>
      <c r="R177" s="14">
        <f t="shared" si="40"/>
        <v>0</v>
      </c>
      <c r="S177">
        <f t="shared" si="49"/>
        <v>0</v>
      </c>
      <c r="T177" s="6">
        <f t="shared" si="50"/>
        <v>0</v>
      </c>
      <c r="V177" s="13">
        <f t="shared" si="46"/>
        <v>0</v>
      </c>
      <c r="W177">
        <f t="shared" si="46"/>
        <v>0</v>
      </c>
      <c r="X177">
        <f t="shared" si="51"/>
        <v>0</v>
      </c>
      <c r="Y177" s="6">
        <f t="shared" si="52"/>
        <v>0</v>
      </c>
    </row>
    <row r="178" spans="1:25" hidden="1" x14ac:dyDescent="0.25">
      <c r="A178" t="str">
        <f>'rockfish harvests'!A184</f>
        <v>SC</v>
      </c>
      <c r="B178">
        <f>'rockfish harvests'!B184</f>
        <v>2005</v>
      </c>
      <c r="C178" t="str">
        <f>'rockfish harvests'!C184</f>
        <v>PWSI</v>
      </c>
      <c r="D178">
        <f>'rockfish harvests'!D184</f>
        <v>10930</v>
      </c>
      <c r="E178">
        <f>'YE harvest'!E185</f>
        <v>2754</v>
      </c>
      <c r="H178" s="13">
        <f t="shared" si="56"/>
        <v>0</v>
      </c>
      <c r="I178">
        <f t="shared" si="45"/>
        <v>0</v>
      </c>
      <c r="J178">
        <f t="shared" si="47"/>
        <v>0</v>
      </c>
      <c r="K178" s="6">
        <f t="shared" si="48"/>
        <v>0</v>
      </c>
      <c r="M178" s="2">
        <f>'rockfish harvests'!O184</f>
        <v>27942.455124606044</v>
      </c>
      <c r="N178">
        <f>'rockfish harvests'!P184</f>
        <v>71644448.857817397</v>
      </c>
      <c r="Q178" s="13">
        <f t="shared" si="39"/>
        <v>0</v>
      </c>
      <c r="R178" s="14">
        <f t="shared" si="40"/>
        <v>0</v>
      </c>
      <c r="S178">
        <f t="shared" si="49"/>
        <v>0</v>
      </c>
      <c r="T178" s="6">
        <f t="shared" si="50"/>
        <v>0</v>
      </c>
      <c r="V178" s="13">
        <f t="shared" si="46"/>
        <v>0</v>
      </c>
      <c r="W178">
        <f t="shared" si="46"/>
        <v>0</v>
      </c>
      <c r="X178">
        <f t="shared" si="51"/>
        <v>0</v>
      </c>
      <c r="Y178" s="6">
        <f t="shared" si="52"/>
        <v>0</v>
      </c>
    </row>
    <row r="179" spans="1:25" hidden="1" x14ac:dyDescent="0.25">
      <c r="A179" t="str">
        <f>'rockfish harvests'!A185</f>
        <v>SC</v>
      </c>
      <c r="B179">
        <f>'rockfish harvests'!B185</f>
        <v>2006</v>
      </c>
      <c r="C179" t="str">
        <f>'rockfish harvests'!C185</f>
        <v>PWSI</v>
      </c>
      <c r="D179">
        <f>'rockfish harvests'!D185</f>
        <v>7578</v>
      </c>
      <c r="E179">
        <f>'YE harvest'!E186</f>
        <v>2985</v>
      </c>
      <c r="H179" s="13" t="e">
        <f>#REF!</f>
        <v>#REF!</v>
      </c>
      <c r="I179">
        <f t="shared" si="45"/>
        <v>0</v>
      </c>
      <c r="J179">
        <f t="shared" si="47"/>
        <v>0</v>
      </c>
      <c r="K179" s="6">
        <f t="shared" si="48"/>
        <v>0</v>
      </c>
      <c r="M179" s="2">
        <f>'rockfish harvests'!O185</f>
        <v>19373.094687489898</v>
      </c>
      <c r="N179">
        <f>'rockfish harvests'!P185</f>
        <v>34439070.708155498</v>
      </c>
      <c r="Q179" s="13">
        <f t="shared" si="39"/>
        <v>0</v>
      </c>
      <c r="R179" s="14">
        <f t="shared" si="40"/>
        <v>0</v>
      </c>
      <c r="S179">
        <f t="shared" si="49"/>
        <v>0</v>
      </c>
      <c r="T179" s="6">
        <f t="shared" si="50"/>
        <v>0</v>
      </c>
      <c r="V179" s="13" t="e">
        <f t="shared" si="46"/>
        <v>#REF!</v>
      </c>
      <c r="W179">
        <f t="shared" si="46"/>
        <v>0</v>
      </c>
      <c r="X179">
        <f t="shared" si="51"/>
        <v>0</v>
      </c>
      <c r="Y179" s="6">
        <f t="shared" si="52"/>
        <v>0</v>
      </c>
    </row>
    <row r="180" spans="1:25" hidden="1" x14ac:dyDescent="0.25">
      <c r="A180" t="str">
        <f>'rockfish harvests'!A186</f>
        <v>SC</v>
      </c>
      <c r="B180">
        <f>'rockfish harvests'!B186</f>
        <v>2007</v>
      </c>
      <c r="C180" t="str">
        <f>'rockfish harvests'!C186</f>
        <v>PWSI</v>
      </c>
      <c r="D180">
        <f>'rockfish harvests'!D186</f>
        <v>12404</v>
      </c>
      <c r="E180">
        <f>'YE harvest'!E187</f>
        <v>3115</v>
      </c>
      <c r="H180" s="13" t="e">
        <f>#REF!</f>
        <v>#REF!</v>
      </c>
      <c r="I180">
        <f t="shared" si="45"/>
        <v>0</v>
      </c>
      <c r="J180">
        <f t="shared" si="47"/>
        <v>0</v>
      </c>
      <c r="K180" s="6">
        <f t="shared" si="48"/>
        <v>0</v>
      </c>
      <c r="M180" s="2">
        <f>'rockfish harvests'!O186</f>
        <v>31710.724004173229</v>
      </c>
      <c r="N180">
        <f>'rockfish harvests'!P186</f>
        <v>92271108.350786552</v>
      </c>
      <c r="Q180" s="13">
        <f t="shared" si="39"/>
        <v>0</v>
      </c>
      <c r="R180" s="14">
        <f t="shared" si="40"/>
        <v>0</v>
      </c>
      <c r="S180">
        <f t="shared" si="49"/>
        <v>0</v>
      </c>
      <c r="T180" s="6">
        <f t="shared" si="50"/>
        <v>0</v>
      </c>
      <c r="V180" s="13" t="e">
        <f t="shared" si="46"/>
        <v>#REF!</v>
      </c>
      <c r="W180">
        <f t="shared" si="46"/>
        <v>0</v>
      </c>
      <c r="X180">
        <f t="shared" si="51"/>
        <v>0</v>
      </c>
      <c r="Y180" s="6">
        <f t="shared" si="52"/>
        <v>0</v>
      </c>
    </row>
    <row r="181" spans="1:25" hidden="1" x14ac:dyDescent="0.25">
      <c r="A181" t="str">
        <f>'rockfish harvests'!A187</f>
        <v>SC</v>
      </c>
      <c r="B181">
        <f>'rockfish harvests'!B187</f>
        <v>2008</v>
      </c>
      <c r="C181" t="str">
        <f>'rockfish harvests'!C187</f>
        <v>PWSI</v>
      </c>
      <c r="D181">
        <f>'rockfish harvests'!D187</f>
        <v>9522</v>
      </c>
      <c r="E181">
        <f>'YE harvest'!E188</f>
        <v>2623</v>
      </c>
      <c r="H181" s="13" t="e">
        <f>#REF!</f>
        <v>#REF!</v>
      </c>
      <c r="I181">
        <f t="shared" si="45"/>
        <v>0</v>
      </c>
      <c r="J181">
        <f t="shared" si="47"/>
        <v>0</v>
      </c>
      <c r="K181" s="6">
        <f t="shared" si="48"/>
        <v>0</v>
      </c>
      <c r="M181" s="2">
        <f>'rockfish harvests'!O187</f>
        <v>24342.914702332913</v>
      </c>
      <c r="N181">
        <f>'rockfish harvests'!P187</f>
        <v>54374913.17494791</v>
      </c>
      <c r="Q181" s="13">
        <f t="shared" si="39"/>
        <v>0</v>
      </c>
      <c r="R181" s="14">
        <f t="shared" si="40"/>
        <v>0</v>
      </c>
      <c r="S181">
        <f t="shared" si="49"/>
        <v>0</v>
      </c>
      <c r="T181" s="6">
        <f t="shared" si="50"/>
        <v>0</v>
      </c>
      <c r="V181" s="13" t="e">
        <f t="shared" si="46"/>
        <v>#REF!</v>
      </c>
      <c r="W181">
        <f t="shared" si="46"/>
        <v>0</v>
      </c>
      <c r="X181">
        <f t="shared" si="51"/>
        <v>0</v>
      </c>
      <c r="Y181" s="6">
        <f t="shared" si="52"/>
        <v>0</v>
      </c>
    </row>
    <row r="182" spans="1:25" hidden="1" x14ac:dyDescent="0.25">
      <c r="A182" t="str">
        <f>'rockfish harvests'!A188</f>
        <v>SC</v>
      </c>
      <c r="B182">
        <f>'rockfish harvests'!B188</f>
        <v>2009</v>
      </c>
      <c r="C182" t="str">
        <f>'rockfish harvests'!C188</f>
        <v>PWSI</v>
      </c>
      <c r="D182">
        <f>'rockfish harvests'!D188</f>
        <v>8197</v>
      </c>
      <c r="E182">
        <f>'YE harvest'!E189</f>
        <v>2224</v>
      </c>
      <c r="H182" s="13" t="e">
        <f>#REF!</f>
        <v>#REF!</v>
      </c>
      <c r="I182">
        <f t="shared" si="45"/>
        <v>0</v>
      </c>
      <c r="J182">
        <f t="shared" si="47"/>
        <v>0</v>
      </c>
      <c r="K182" s="6">
        <f t="shared" si="48"/>
        <v>0</v>
      </c>
      <c r="M182" s="2">
        <f>'rockfish harvests'!O188</f>
        <v>20955.563097565941</v>
      </c>
      <c r="N182">
        <f>'rockfish harvests'!P188</f>
        <v>40295086.4991799</v>
      </c>
      <c r="Q182" s="13">
        <f t="shared" si="39"/>
        <v>0</v>
      </c>
      <c r="R182" s="14">
        <f t="shared" si="40"/>
        <v>0</v>
      </c>
      <c r="S182">
        <f t="shared" si="49"/>
        <v>0</v>
      </c>
      <c r="T182" s="6">
        <f t="shared" si="50"/>
        <v>0</v>
      </c>
      <c r="V182" s="13" t="e">
        <f t="shared" si="46"/>
        <v>#REF!</v>
      </c>
      <c r="W182">
        <f t="shared" si="46"/>
        <v>0</v>
      </c>
      <c r="X182">
        <f t="shared" si="51"/>
        <v>0</v>
      </c>
      <c r="Y182" s="6">
        <f t="shared" si="52"/>
        <v>0</v>
      </c>
    </row>
    <row r="183" spans="1:25" hidden="1" x14ac:dyDescent="0.25">
      <c r="A183" t="str">
        <f>'rockfish harvests'!A189</f>
        <v>SC</v>
      </c>
      <c r="B183">
        <f>'rockfish harvests'!B189</f>
        <v>2010</v>
      </c>
      <c r="C183" t="str">
        <f>'rockfish harvests'!C189</f>
        <v>PWSI</v>
      </c>
      <c r="D183">
        <f>'rockfish harvests'!D189</f>
        <v>11909</v>
      </c>
      <c r="E183">
        <f>'YE harvest'!E190</f>
        <v>3828</v>
      </c>
      <c r="H183" s="13" t="e">
        <f>#REF!</f>
        <v>#REF!</v>
      </c>
      <c r="I183">
        <f t="shared" si="45"/>
        <v>0</v>
      </c>
      <c r="J183">
        <f t="shared" si="47"/>
        <v>0</v>
      </c>
      <c r="K183" s="6">
        <f t="shared" si="48"/>
        <v>0</v>
      </c>
      <c r="M183" s="2">
        <f>'rockfish harvests'!O189</f>
        <v>30445.260574467829</v>
      </c>
      <c r="N183">
        <f>'rockfish harvests'!P189</f>
        <v>85053622.000279784</v>
      </c>
      <c r="Q183" s="13">
        <f t="shared" si="39"/>
        <v>0</v>
      </c>
      <c r="R183" s="14">
        <f t="shared" si="40"/>
        <v>0</v>
      </c>
      <c r="S183">
        <f t="shared" si="49"/>
        <v>0</v>
      </c>
      <c r="T183" s="6">
        <f t="shared" si="50"/>
        <v>0</v>
      </c>
      <c r="V183" s="13" t="e">
        <f t="shared" si="46"/>
        <v>#REF!</v>
      </c>
      <c r="W183">
        <f t="shared" si="46"/>
        <v>0</v>
      </c>
      <c r="X183">
        <f t="shared" si="51"/>
        <v>0</v>
      </c>
      <c r="Y183" s="6">
        <f t="shared" si="52"/>
        <v>0</v>
      </c>
    </row>
    <row r="184" spans="1:25" hidden="1" x14ac:dyDescent="0.25">
      <c r="A184" t="str">
        <f>'rockfish harvests'!A190</f>
        <v>SC</v>
      </c>
      <c r="B184">
        <f>'rockfish harvests'!B190</f>
        <v>2011</v>
      </c>
      <c r="C184" t="str">
        <f>'rockfish harvests'!C190</f>
        <v>PWSI</v>
      </c>
      <c r="D184">
        <f>'rockfish harvests'!D190</f>
        <v>11367</v>
      </c>
      <c r="E184">
        <f>'YE harvest'!E191</f>
        <v>3175</v>
      </c>
      <c r="H184" s="13" t="e">
        <f>#REF!</f>
        <v>#REF!</v>
      </c>
      <c r="I184">
        <f t="shared" si="45"/>
        <v>0</v>
      </c>
      <c r="J184">
        <f t="shared" si="47"/>
        <v>0</v>
      </c>
      <c r="K184" s="6">
        <f t="shared" si="48"/>
        <v>0</v>
      </c>
      <c r="M184" s="2">
        <f>'rockfish harvests'!O190</f>
        <v>58599.987281399051</v>
      </c>
      <c r="N184">
        <f>'rockfish harvests'!P190</f>
        <v>100066036.13433234</v>
      </c>
      <c r="Q184" s="13">
        <f t="shared" si="39"/>
        <v>0</v>
      </c>
      <c r="R184" s="14">
        <f t="shared" si="40"/>
        <v>0</v>
      </c>
      <c r="S184">
        <f t="shared" si="49"/>
        <v>0</v>
      </c>
      <c r="T184" s="6">
        <f t="shared" si="50"/>
        <v>0</v>
      </c>
      <c r="V184" s="13" t="e">
        <f t="shared" si="46"/>
        <v>#REF!</v>
      </c>
      <c r="W184">
        <f t="shared" si="46"/>
        <v>0</v>
      </c>
      <c r="X184">
        <f t="shared" si="51"/>
        <v>0</v>
      </c>
      <c r="Y184" s="6">
        <f t="shared" si="52"/>
        <v>0</v>
      </c>
    </row>
    <row r="185" spans="1:25" hidden="1" x14ac:dyDescent="0.25">
      <c r="A185" t="str">
        <f>'rockfish harvests'!A191</f>
        <v>SC</v>
      </c>
      <c r="B185">
        <f>'rockfish harvests'!B191</f>
        <v>2012</v>
      </c>
      <c r="C185" t="str">
        <f>'rockfish harvests'!C191</f>
        <v>PWSI</v>
      </c>
      <c r="D185">
        <f>'rockfish harvests'!D191</f>
        <v>13580</v>
      </c>
      <c r="E185">
        <f>'YE harvest'!E192</f>
        <v>4267</v>
      </c>
      <c r="H185" s="13" t="e">
        <f>#REF!</f>
        <v>#REF!</v>
      </c>
      <c r="I185">
        <f t="shared" si="45"/>
        <v>0</v>
      </c>
      <c r="J185">
        <f t="shared" si="47"/>
        <v>0</v>
      </c>
      <c r="K185" s="6">
        <f t="shared" si="48"/>
        <v>0</v>
      </c>
      <c r="M185" s="2">
        <f>'rockfish harvests'!O191</f>
        <v>31117.154090427939</v>
      </c>
      <c r="N185">
        <f>'rockfish harvests'!P191</f>
        <v>29413124.019685954</v>
      </c>
      <c r="Q185" s="13">
        <f t="shared" si="39"/>
        <v>0</v>
      </c>
      <c r="R185" s="14">
        <f t="shared" si="40"/>
        <v>0</v>
      </c>
      <c r="S185">
        <f t="shared" si="49"/>
        <v>0</v>
      </c>
      <c r="T185" s="6">
        <f t="shared" si="50"/>
        <v>0</v>
      </c>
      <c r="V185" s="13" t="e">
        <f t="shared" si="46"/>
        <v>#REF!</v>
      </c>
      <c r="W185">
        <f t="shared" si="46"/>
        <v>0</v>
      </c>
      <c r="X185">
        <f t="shared" si="51"/>
        <v>0</v>
      </c>
      <c r="Y185" s="6">
        <f t="shared" si="52"/>
        <v>0</v>
      </c>
    </row>
    <row r="186" spans="1:25" hidden="1" x14ac:dyDescent="0.25">
      <c r="A186" t="str">
        <f>'rockfish harvests'!A192</f>
        <v>SC</v>
      </c>
      <c r="B186">
        <f>'rockfish harvests'!B192</f>
        <v>2013</v>
      </c>
      <c r="C186" t="str">
        <f>'rockfish harvests'!C192</f>
        <v>PWSI</v>
      </c>
      <c r="D186">
        <f>'rockfish harvests'!D192</f>
        <v>14209</v>
      </c>
      <c r="E186">
        <f>'YE harvest'!E193</f>
        <v>3334</v>
      </c>
      <c r="H186" s="13" t="e">
        <f>#REF!</f>
        <v>#REF!</v>
      </c>
      <c r="I186">
        <f t="shared" si="45"/>
        <v>0</v>
      </c>
      <c r="J186">
        <f t="shared" si="47"/>
        <v>0</v>
      </c>
      <c r="K186" s="6">
        <f t="shared" si="48"/>
        <v>0</v>
      </c>
      <c r="M186" s="2">
        <f>'rockfish harvests'!O192</f>
        <v>46247.943133398883</v>
      </c>
      <c r="N186">
        <f>'rockfish harvests'!P192</f>
        <v>49601334.787597425</v>
      </c>
      <c r="Q186" s="13">
        <f t="shared" si="39"/>
        <v>0</v>
      </c>
      <c r="R186" s="14">
        <f t="shared" si="40"/>
        <v>0</v>
      </c>
      <c r="S186">
        <f t="shared" si="49"/>
        <v>0</v>
      </c>
      <c r="T186" s="6">
        <f t="shared" si="50"/>
        <v>0</v>
      </c>
      <c r="V186" s="13" t="e">
        <f t="shared" si="46"/>
        <v>#REF!</v>
      </c>
      <c r="W186">
        <f t="shared" si="46"/>
        <v>0</v>
      </c>
      <c r="X186">
        <f t="shared" si="51"/>
        <v>0</v>
      </c>
      <c r="Y186" s="6">
        <f t="shared" si="52"/>
        <v>0</v>
      </c>
    </row>
    <row r="187" spans="1:25" hidden="1" x14ac:dyDescent="0.25">
      <c r="A187" t="str">
        <f>'rockfish harvests'!A193</f>
        <v>SC</v>
      </c>
      <c r="B187">
        <f>'rockfish harvests'!B193</f>
        <v>2014</v>
      </c>
      <c r="C187" t="str">
        <f>'rockfish harvests'!C193</f>
        <v>PWSI</v>
      </c>
      <c r="D187">
        <f>'rockfish harvests'!D193</f>
        <v>14913</v>
      </c>
      <c r="E187">
        <f>'YE harvest'!E194</f>
        <v>4184</v>
      </c>
      <c r="H187" s="13" t="e">
        <f>#REF!</f>
        <v>#REF!</v>
      </c>
      <c r="I187">
        <f t="shared" si="45"/>
        <v>0</v>
      </c>
      <c r="J187">
        <f t="shared" si="47"/>
        <v>0</v>
      </c>
      <c r="K187" s="6">
        <f t="shared" si="48"/>
        <v>0</v>
      </c>
      <c r="M187" s="2">
        <f>'rockfish harvests'!O193</f>
        <v>37953.469599823133</v>
      </c>
      <c r="N187">
        <f>'rockfish harvests'!P193</f>
        <v>47097436.38695576</v>
      </c>
      <c r="Q187" s="13">
        <f t="shared" si="39"/>
        <v>0</v>
      </c>
      <c r="R187" s="14">
        <f t="shared" si="40"/>
        <v>0</v>
      </c>
      <c r="S187">
        <f t="shared" si="49"/>
        <v>0</v>
      </c>
      <c r="T187" s="6">
        <f t="shared" si="50"/>
        <v>0</v>
      </c>
      <c r="V187" s="13" t="e">
        <f t="shared" si="46"/>
        <v>#REF!</v>
      </c>
      <c r="W187">
        <f t="shared" si="46"/>
        <v>0</v>
      </c>
      <c r="X187">
        <f t="shared" si="51"/>
        <v>0</v>
      </c>
      <c r="Y187" s="6">
        <f t="shared" si="52"/>
        <v>0</v>
      </c>
    </row>
    <row r="188" spans="1:25" hidden="1" x14ac:dyDescent="0.25">
      <c r="A188" t="str">
        <f>'rockfish harvests'!A194</f>
        <v>SC</v>
      </c>
      <c r="B188">
        <f>'rockfish harvests'!B194</f>
        <v>2015</v>
      </c>
      <c r="C188" t="str">
        <f>'rockfish harvests'!C194</f>
        <v>PWSI</v>
      </c>
      <c r="D188">
        <f>'rockfish harvests'!D194</f>
        <v>20073</v>
      </c>
      <c r="E188">
        <f>'YE harvest'!E195</f>
        <v>5220</v>
      </c>
      <c r="H188" s="13" t="e">
        <f>#REF!</f>
        <v>#REF!</v>
      </c>
      <c r="I188">
        <f t="shared" si="45"/>
        <v>0</v>
      </c>
      <c r="J188">
        <f t="shared" si="47"/>
        <v>0</v>
      </c>
      <c r="K188" s="6">
        <f t="shared" si="48"/>
        <v>0</v>
      </c>
      <c r="M188" s="2">
        <f>'rockfish harvests'!O194</f>
        <v>52130.446754112942</v>
      </c>
      <c r="N188">
        <f>'rockfish harvests'!P194</f>
        <v>59819505.590102598</v>
      </c>
      <c r="Q188" s="13">
        <f t="shared" si="39"/>
        <v>0</v>
      </c>
      <c r="R188" s="14">
        <f t="shared" si="40"/>
        <v>0</v>
      </c>
      <c r="S188">
        <f t="shared" si="49"/>
        <v>0</v>
      </c>
      <c r="T188" s="6">
        <f t="shared" si="50"/>
        <v>0</v>
      </c>
      <c r="V188" s="13" t="e">
        <f t="shared" si="46"/>
        <v>#REF!</v>
      </c>
      <c r="W188">
        <f t="shared" si="46"/>
        <v>0</v>
      </c>
      <c r="X188">
        <f t="shared" si="51"/>
        <v>0</v>
      </c>
      <c r="Y188" s="6">
        <f t="shared" si="52"/>
        <v>0</v>
      </c>
    </row>
    <row r="189" spans="1:25" hidden="1" x14ac:dyDescent="0.25">
      <c r="A189" t="str">
        <f>'rockfish harvests'!A195</f>
        <v>SC</v>
      </c>
      <c r="B189">
        <f>'rockfish harvests'!B195</f>
        <v>2016</v>
      </c>
      <c r="C189" t="str">
        <f>'rockfish harvests'!C195</f>
        <v>PWSI</v>
      </c>
      <c r="D189">
        <f>'rockfish harvests'!D195</f>
        <v>28893</v>
      </c>
      <c r="E189">
        <f>'YE harvest'!E196</f>
        <v>6695</v>
      </c>
      <c r="H189" s="13" t="e">
        <f>#REF!</f>
        <v>#REF!</v>
      </c>
      <c r="I189">
        <f t="shared" si="45"/>
        <v>0</v>
      </c>
      <c r="J189">
        <f t="shared" si="47"/>
        <v>0</v>
      </c>
      <c r="K189" s="6">
        <f t="shared" si="48"/>
        <v>0</v>
      </c>
      <c r="M189" s="2">
        <f>'rockfish harvests'!O195</f>
        <v>64825.548631333717</v>
      </c>
      <c r="N189">
        <f>'rockfish harvests'!P195</f>
        <v>114245520.83381788</v>
      </c>
      <c r="Q189" s="13">
        <f t="shared" si="39"/>
        <v>0</v>
      </c>
      <c r="R189" s="14">
        <f t="shared" si="40"/>
        <v>0</v>
      </c>
      <c r="S189">
        <f t="shared" si="49"/>
        <v>0</v>
      </c>
      <c r="T189" s="6">
        <f t="shared" si="50"/>
        <v>0</v>
      </c>
      <c r="V189" s="13" t="e">
        <f t="shared" si="46"/>
        <v>#REF!</v>
      </c>
      <c r="W189">
        <f t="shared" si="46"/>
        <v>0</v>
      </c>
      <c r="X189">
        <f t="shared" si="51"/>
        <v>0</v>
      </c>
      <c r="Y189" s="6">
        <f t="shared" si="52"/>
        <v>0</v>
      </c>
    </row>
    <row r="190" spans="1:25" hidden="1" x14ac:dyDescent="0.25">
      <c r="A190" t="str">
        <f>'rockfish harvests'!A196</f>
        <v>SC</v>
      </c>
      <c r="B190">
        <f>'rockfish harvests'!B196</f>
        <v>2017</v>
      </c>
      <c r="C190" t="str">
        <f>'rockfish harvests'!C196</f>
        <v>PWSI</v>
      </c>
      <c r="D190">
        <f>'rockfish harvests'!D196</f>
        <v>16300</v>
      </c>
      <c r="E190">
        <f>'YE harvest'!E197</f>
        <v>4734</v>
      </c>
      <c r="H190" s="13" t="e">
        <f>#REF!</f>
        <v>#REF!</v>
      </c>
      <c r="I190">
        <f t="shared" si="45"/>
        <v>0</v>
      </c>
      <c r="J190">
        <f t="shared" si="47"/>
        <v>0</v>
      </c>
      <c r="K190" s="6">
        <f t="shared" si="48"/>
        <v>0</v>
      </c>
      <c r="M190" s="2">
        <f>'rockfish harvests'!O196</f>
        <v>33515.774784613517</v>
      </c>
      <c r="N190">
        <f>'rockfish harvests'!P196</f>
        <v>29331655.3806163</v>
      </c>
      <c r="Q190" s="13">
        <f t="shared" si="39"/>
        <v>0</v>
      </c>
      <c r="R190" s="14">
        <f t="shared" si="40"/>
        <v>0</v>
      </c>
      <c r="S190">
        <f t="shared" si="49"/>
        <v>0</v>
      </c>
      <c r="T190" s="6">
        <f t="shared" si="50"/>
        <v>0</v>
      </c>
      <c r="V190" s="13" t="e">
        <f t="shared" si="46"/>
        <v>#REF!</v>
      </c>
      <c r="W190">
        <f t="shared" si="46"/>
        <v>0</v>
      </c>
      <c r="X190">
        <f t="shared" si="51"/>
        <v>0</v>
      </c>
      <c r="Y190" s="6">
        <f t="shared" si="52"/>
        <v>0</v>
      </c>
    </row>
    <row r="191" spans="1:25" hidden="1" x14ac:dyDescent="0.25">
      <c r="A191" t="str">
        <f>'rockfish harvests'!A197</f>
        <v>SC</v>
      </c>
      <c r="B191">
        <f>'rockfish harvests'!B197</f>
        <v>2018</v>
      </c>
      <c r="C191" t="str">
        <f>'rockfish harvests'!C197</f>
        <v>PWSI</v>
      </c>
      <c r="D191">
        <f>'rockfish harvests'!D197</f>
        <v>12107</v>
      </c>
      <c r="E191">
        <f>'YE harvest'!E198</f>
        <v>3366</v>
      </c>
      <c r="H191" s="13" t="e">
        <f>#REF!</f>
        <v>#REF!</v>
      </c>
      <c r="I191">
        <f t="shared" si="45"/>
        <v>0</v>
      </c>
      <c r="J191">
        <f t="shared" si="47"/>
        <v>0</v>
      </c>
      <c r="K191" s="6">
        <f t="shared" si="48"/>
        <v>0</v>
      </c>
      <c r="M191" s="2">
        <f>'rockfish harvests'!O197</f>
        <v>22239.009039310491</v>
      </c>
      <c r="N191">
        <f>'rockfish harvests'!P197</f>
        <v>18423976.825865198</v>
      </c>
      <c r="Q191" s="13">
        <f t="shared" si="39"/>
        <v>0</v>
      </c>
      <c r="R191" s="14">
        <f t="shared" si="40"/>
        <v>0</v>
      </c>
      <c r="S191">
        <f t="shared" si="49"/>
        <v>0</v>
      </c>
      <c r="T191" s="6">
        <f t="shared" si="50"/>
        <v>0</v>
      </c>
      <c r="V191" s="13" t="e">
        <f t="shared" si="46"/>
        <v>#REF!</v>
      </c>
      <c r="W191">
        <f t="shared" si="46"/>
        <v>0</v>
      </c>
      <c r="X191">
        <f t="shared" si="51"/>
        <v>0</v>
      </c>
      <c r="Y191" s="6">
        <f t="shared" si="52"/>
        <v>0</v>
      </c>
    </row>
    <row r="192" spans="1:25" hidden="1" x14ac:dyDescent="0.25">
      <c r="A192" t="str">
        <f>'rockfish harvests'!A198</f>
        <v>SC</v>
      </c>
      <c r="B192">
        <f>'rockfish harvests'!B198</f>
        <v>2019</v>
      </c>
      <c r="C192" t="str">
        <f>'rockfish harvests'!C198</f>
        <v>PWSI</v>
      </c>
      <c r="D192">
        <f>'rockfish harvests'!D198</f>
        <v>15083</v>
      </c>
      <c r="E192">
        <f>'YE harvest'!E199</f>
        <v>3663</v>
      </c>
      <c r="I192">
        <f t="shared" ref="I192:I193" si="57">(E192^2)*G192</f>
        <v>0</v>
      </c>
      <c r="J192">
        <f t="shared" ref="J192:J193" si="58">SQRT(I192)</f>
        <v>0</v>
      </c>
      <c r="K192" s="6">
        <f t="shared" ref="K192:K193" si="59">(1.96*J192)</f>
        <v>0</v>
      </c>
      <c r="M192" s="2">
        <f>'rockfish harvests'!O198</f>
        <v>32001.722103820983</v>
      </c>
      <c r="N192">
        <f>'rockfish harvests'!P198</f>
        <v>26016565.548853625</v>
      </c>
      <c r="R192" s="14"/>
      <c r="S192"/>
      <c r="T192" s="6"/>
      <c r="Y192" s="6"/>
    </row>
    <row r="193" spans="1:25" hidden="1" x14ac:dyDescent="0.25">
      <c r="A193" t="str">
        <f>'rockfish harvests'!A199</f>
        <v>SC</v>
      </c>
      <c r="B193">
        <f>'rockfish harvests'!B199</f>
        <v>2020</v>
      </c>
      <c r="C193" t="str">
        <f>'rockfish harvests'!C199</f>
        <v>PWSI</v>
      </c>
      <c r="D193">
        <f>'rockfish harvests'!D199</f>
        <v>9001</v>
      </c>
      <c r="E193">
        <f>'YE harvest'!E200</f>
        <v>2287</v>
      </c>
      <c r="I193">
        <f t="shared" si="57"/>
        <v>0</v>
      </c>
      <c r="J193">
        <f t="shared" si="58"/>
        <v>0</v>
      </c>
      <c r="K193" s="6">
        <f t="shared" si="59"/>
        <v>0</v>
      </c>
      <c r="M193" s="2">
        <f>'rockfish harvests'!O199</f>
        <v>18605.884326200114</v>
      </c>
      <c r="N193">
        <f>'rockfish harvests'!P199</f>
        <v>9865637.9851696268</v>
      </c>
      <c r="R193" s="14"/>
      <c r="S193"/>
      <c r="T193" s="6"/>
      <c r="Y193" s="6"/>
    </row>
    <row r="194" spans="1:25" hidden="1" x14ac:dyDescent="0.25">
      <c r="A194" t="str">
        <f>'rockfish harvests'!A200</f>
        <v>SC</v>
      </c>
      <c r="B194">
        <f>'rockfish harvests'!B200</f>
        <v>2021</v>
      </c>
      <c r="C194" t="str">
        <f>'rockfish harvests'!C200</f>
        <v>PWSI</v>
      </c>
      <c r="D194">
        <f>'rockfish harvests'!D200</f>
        <v>16848</v>
      </c>
      <c r="E194">
        <f>'YE harvest'!E201</f>
        <v>3647</v>
      </c>
      <c r="K194" s="6"/>
      <c r="M194" s="2">
        <f>'rockfish harvests'!O200</f>
        <v>26712.114727976325</v>
      </c>
      <c r="N194">
        <f>'rockfish harvests'!P200</f>
        <v>21799295.268585149</v>
      </c>
      <c r="R194" s="14"/>
      <c r="S194"/>
      <c r="T194" s="6"/>
      <c r="Y194" s="6"/>
    </row>
    <row r="195" spans="1:25" hidden="1" x14ac:dyDescent="0.25">
      <c r="A195" t="str">
        <f>'rockfish harvests'!A202</f>
        <v>SC</v>
      </c>
      <c r="B195">
        <f>'rockfish harvests'!B202</f>
        <v>1998</v>
      </c>
      <c r="C195" t="str">
        <f>'rockfish harvests'!C202</f>
        <v>PWSO</v>
      </c>
      <c r="D195">
        <f>'rockfish harvests'!D202</f>
        <v>7091</v>
      </c>
      <c r="E195">
        <f>'YE harvest'!E203</f>
        <v>1652</v>
      </c>
      <c r="H195" s="13">
        <f t="shared" ref="H195:H202" si="60">E195*F195</f>
        <v>0</v>
      </c>
      <c r="I195">
        <f t="shared" si="45"/>
        <v>0</v>
      </c>
      <c r="J195">
        <f t="shared" si="47"/>
        <v>0</v>
      </c>
      <c r="K195" s="6">
        <f t="shared" si="48"/>
        <v>0</v>
      </c>
      <c r="M195" s="2">
        <f>'rockfish harvests'!O202</f>
        <v>1471.2039985303945</v>
      </c>
      <c r="N195">
        <f>'rockfish harvests'!P202</f>
        <v>494154.9077878145</v>
      </c>
      <c r="O195" s="32"/>
      <c r="P195" s="32"/>
      <c r="Q195" s="13">
        <f t="shared" si="39"/>
        <v>0</v>
      </c>
      <c r="R195" s="14">
        <f t="shared" si="40"/>
        <v>0</v>
      </c>
      <c r="S195">
        <f t="shared" si="49"/>
        <v>0</v>
      </c>
      <c r="T195" s="6">
        <f t="shared" si="50"/>
        <v>0</v>
      </c>
      <c r="V195" s="13">
        <f t="shared" si="46"/>
        <v>0</v>
      </c>
      <c r="W195">
        <f t="shared" si="46"/>
        <v>0</v>
      </c>
      <c r="X195">
        <f t="shared" si="51"/>
        <v>0</v>
      </c>
      <c r="Y195" s="6">
        <f t="shared" si="52"/>
        <v>0</v>
      </c>
    </row>
    <row r="196" spans="1:25" hidden="1" x14ac:dyDescent="0.25">
      <c r="A196" t="str">
        <f>'rockfish harvests'!A203</f>
        <v>SC</v>
      </c>
      <c r="B196">
        <f>'rockfish harvests'!B203</f>
        <v>1999</v>
      </c>
      <c r="C196" t="str">
        <f>'rockfish harvests'!C203</f>
        <v>PWSO</v>
      </c>
      <c r="D196">
        <f>'rockfish harvests'!D203</f>
        <v>4594</v>
      </c>
      <c r="E196">
        <f>'YE harvest'!E204</f>
        <v>1341</v>
      </c>
      <c r="H196" s="13">
        <f t="shared" si="60"/>
        <v>0</v>
      </c>
      <c r="I196">
        <f t="shared" si="45"/>
        <v>0</v>
      </c>
      <c r="J196">
        <f t="shared" si="47"/>
        <v>0</v>
      </c>
      <c r="K196" s="6">
        <f t="shared" si="48"/>
        <v>0</v>
      </c>
      <c r="M196" s="2">
        <f>'rockfish harvests'!O203</f>
        <v>953.13935541512274</v>
      </c>
      <c r="N196">
        <f>'rockfish harvests'!P203</f>
        <v>207410.20653889881</v>
      </c>
      <c r="O196" s="32"/>
      <c r="P196" s="32"/>
      <c r="Q196" s="13">
        <f t="shared" ref="Q196:Q270" si="61">M196*O196</f>
        <v>0</v>
      </c>
      <c r="R196" s="14">
        <f t="shared" ref="R196:R270" si="62">(M196^2)*P196+(O196^2)*N196-(P196*N196)</f>
        <v>0</v>
      </c>
      <c r="S196">
        <f t="shared" si="49"/>
        <v>0</v>
      </c>
      <c r="T196" s="6">
        <f t="shared" si="50"/>
        <v>0</v>
      </c>
      <c r="V196" s="13">
        <f t="shared" si="46"/>
        <v>0</v>
      </c>
      <c r="W196">
        <f t="shared" si="46"/>
        <v>0</v>
      </c>
      <c r="X196">
        <f t="shared" si="51"/>
        <v>0</v>
      </c>
      <c r="Y196" s="6">
        <f t="shared" si="52"/>
        <v>0</v>
      </c>
    </row>
    <row r="197" spans="1:25" hidden="1" x14ac:dyDescent="0.25">
      <c r="A197" t="str">
        <f>'rockfish harvests'!A204</f>
        <v>SC</v>
      </c>
      <c r="B197">
        <f>'rockfish harvests'!B204</f>
        <v>2000</v>
      </c>
      <c r="C197" t="str">
        <f>'rockfish harvests'!C204</f>
        <v>PWSO</v>
      </c>
      <c r="D197">
        <f>'rockfish harvests'!D204</f>
        <v>9244</v>
      </c>
      <c r="E197">
        <f>'YE harvest'!E205</f>
        <v>2206</v>
      </c>
      <c r="H197" s="13">
        <f t="shared" si="60"/>
        <v>0</v>
      </c>
      <c r="I197">
        <f t="shared" si="45"/>
        <v>0</v>
      </c>
      <c r="J197">
        <f t="shared" si="47"/>
        <v>0</v>
      </c>
      <c r="K197" s="6">
        <f t="shared" si="48"/>
        <v>0</v>
      </c>
      <c r="M197" s="2">
        <f>'rockfish harvests'!O204</f>
        <v>1917.897301144405</v>
      </c>
      <c r="N197">
        <f>'rockfish harvests'!P204</f>
        <v>839784.81191828009</v>
      </c>
      <c r="O197" s="32"/>
      <c r="P197" s="32"/>
      <c r="Q197" s="13">
        <f t="shared" si="61"/>
        <v>0</v>
      </c>
      <c r="R197" s="14">
        <f t="shared" si="62"/>
        <v>0</v>
      </c>
      <c r="S197">
        <f t="shared" si="49"/>
        <v>0</v>
      </c>
      <c r="T197" s="6">
        <f t="shared" si="50"/>
        <v>0</v>
      </c>
      <c r="V197" s="13">
        <f t="shared" si="46"/>
        <v>0</v>
      </c>
      <c r="W197">
        <f t="shared" si="46"/>
        <v>0</v>
      </c>
      <c r="X197">
        <f t="shared" si="51"/>
        <v>0</v>
      </c>
      <c r="Y197" s="6">
        <f t="shared" si="52"/>
        <v>0</v>
      </c>
    </row>
    <row r="198" spans="1:25" hidden="1" x14ac:dyDescent="0.25">
      <c r="A198" t="str">
        <f>'rockfish harvests'!A205</f>
        <v>SC</v>
      </c>
      <c r="B198">
        <f>'rockfish harvests'!B205</f>
        <v>2001</v>
      </c>
      <c r="C198" t="str">
        <f>'rockfish harvests'!C205</f>
        <v>PWSO</v>
      </c>
      <c r="D198">
        <f>'rockfish harvests'!D205</f>
        <v>11235</v>
      </c>
      <c r="E198">
        <f>'YE harvest'!E206</f>
        <v>3024</v>
      </c>
      <c r="H198" s="13">
        <f t="shared" si="60"/>
        <v>0</v>
      </c>
      <c r="I198">
        <f t="shared" si="45"/>
        <v>0</v>
      </c>
      <c r="J198">
        <f t="shared" si="47"/>
        <v>0</v>
      </c>
      <c r="K198" s="6">
        <f t="shared" si="48"/>
        <v>0</v>
      </c>
      <c r="M198" s="2">
        <f>'rockfish harvests'!O205</f>
        <v>2330.979681778168</v>
      </c>
      <c r="N198">
        <f>'rockfish harvests'!P205</f>
        <v>1240492.9366742759</v>
      </c>
      <c r="Q198" s="13">
        <f t="shared" si="61"/>
        <v>0</v>
      </c>
      <c r="R198" s="14">
        <f t="shared" si="62"/>
        <v>0</v>
      </c>
      <c r="S198">
        <f t="shared" si="49"/>
        <v>0</v>
      </c>
      <c r="T198" s="6">
        <f t="shared" si="50"/>
        <v>0</v>
      </c>
      <c r="V198" s="13">
        <f t="shared" si="46"/>
        <v>0</v>
      </c>
      <c r="W198">
        <f t="shared" si="46"/>
        <v>0</v>
      </c>
      <c r="X198">
        <f t="shared" si="51"/>
        <v>0</v>
      </c>
      <c r="Y198" s="6">
        <f t="shared" si="52"/>
        <v>0</v>
      </c>
    </row>
    <row r="199" spans="1:25" hidden="1" x14ac:dyDescent="0.25">
      <c r="A199" t="str">
        <f>'rockfish harvests'!A206</f>
        <v>SC</v>
      </c>
      <c r="B199">
        <f>'rockfish harvests'!B206</f>
        <v>2002</v>
      </c>
      <c r="C199" t="str">
        <f>'rockfish harvests'!C206</f>
        <v>PWSO</v>
      </c>
      <c r="D199">
        <f>'rockfish harvests'!D206</f>
        <v>9018</v>
      </c>
      <c r="E199">
        <f>'YE harvest'!E207</f>
        <v>2386</v>
      </c>
      <c r="H199" s="13">
        <f t="shared" si="60"/>
        <v>0</v>
      </c>
      <c r="I199">
        <f t="shared" si="45"/>
        <v>0</v>
      </c>
      <c r="J199">
        <f t="shared" si="47"/>
        <v>0</v>
      </c>
      <c r="K199" s="6">
        <f t="shared" si="48"/>
        <v>0</v>
      </c>
      <c r="M199" s="2">
        <f>'rockfish harvests'!O206</f>
        <v>1871.0079902336911</v>
      </c>
      <c r="N199">
        <f>'rockfish harvests'!P206</f>
        <v>799224.16063675296</v>
      </c>
      <c r="O199" s="32"/>
      <c r="P199" s="32"/>
      <c r="Q199" s="13">
        <f t="shared" si="61"/>
        <v>0</v>
      </c>
      <c r="R199" s="14">
        <f t="shared" si="62"/>
        <v>0</v>
      </c>
      <c r="S199">
        <f t="shared" si="49"/>
        <v>0</v>
      </c>
      <c r="T199" s="6">
        <f t="shared" si="50"/>
        <v>0</v>
      </c>
      <c r="V199" s="13">
        <f t="shared" si="46"/>
        <v>0</v>
      </c>
      <c r="W199">
        <f t="shared" si="46"/>
        <v>0</v>
      </c>
      <c r="X199">
        <f t="shared" si="51"/>
        <v>0</v>
      </c>
      <c r="Y199" s="6">
        <f t="shared" si="52"/>
        <v>0</v>
      </c>
    </row>
    <row r="200" spans="1:25" hidden="1" x14ac:dyDescent="0.25">
      <c r="A200" t="str">
        <f>'rockfish harvests'!A207</f>
        <v>SC</v>
      </c>
      <c r="B200">
        <f>'rockfish harvests'!B207</f>
        <v>2003</v>
      </c>
      <c r="C200" t="str">
        <f>'rockfish harvests'!C207</f>
        <v>PWSO</v>
      </c>
      <c r="D200">
        <f>'rockfish harvests'!D207</f>
        <v>9696</v>
      </c>
      <c r="E200">
        <f>'YE harvest'!E208</f>
        <v>2448</v>
      </c>
      <c r="H200" s="13">
        <f t="shared" si="60"/>
        <v>0</v>
      </c>
      <c r="I200">
        <f t="shared" si="45"/>
        <v>0</v>
      </c>
      <c r="J200">
        <f t="shared" si="47"/>
        <v>0</v>
      </c>
      <c r="K200" s="6">
        <f t="shared" si="48"/>
        <v>0</v>
      </c>
      <c r="M200" s="2">
        <f>'rockfish harvests'!O207</f>
        <v>2011.675922965831</v>
      </c>
      <c r="N200">
        <f>'rockfish harvests'!P207</f>
        <v>923917.84611739591</v>
      </c>
      <c r="Q200" s="13">
        <f t="shared" si="61"/>
        <v>0</v>
      </c>
      <c r="R200" s="14">
        <f t="shared" si="62"/>
        <v>0</v>
      </c>
      <c r="S200">
        <f t="shared" si="49"/>
        <v>0</v>
      </c>
      <c r="T200" s="6">
        <f t="shared" si="50"/>
        <v>0</v>
      </c>
      <c r="V200" s="13">
        <f t="shared" si="46"/>
        <v>0</v>
      </c>
      <c r="W200">
        <f t="shared" si="46"/>
        <v>0</v>
      </c>
      <c r="X200">
        <f t="shared" si="51"/>
        <v>0</v>
      </c>
      <c r="Y200" s="6">
        <f t="shared" si="52"/>
        <v>0</v>
      </c>
    </row>
    <row r="201" spans="1:25" hidden="1" x14ac:dyDescent="0.25">
      <c r="A201" t="str">
        <f>'rockfish harvests'!A208</f>
        <v>SC</v>
      </c>
      <c r="B201">
        <f>'rockfish harvests'!B208</f>
        <v>2004</v>
      </c>
      <c r="C201" t="str">
        <f>'rockfish harvests'!C208</f>
        <v>PWSO</v>
      </c>
      <c r="D201">
        <f>'rockfish harvests'!D208</f>
        <v>12216</v>
      </c>
      <c r="E201">
        <f>'YE harvest'!E209</f>
        <v>2976</v>
      </c>
      <c r="H201" s="13">
        <f t="shared" si="60"/>
        <v>0</v>
      </c>
      <c r="I201">
        <f t="shared" si="45"/>
        <v>0</v>
      </c>
      <c r="J201">
        <f t="shared" si="47"/>
        <v>0</v>
      </c>
      <c r="K201" s="6">
        <f t="shared" si="48"/>
        <v>0</v>
      </c>
      <c r="M201" s="2">
        <f>'rockfish harvests'!O208</f>
        <v>2534.5124871029911</v>
      </c>
      <c r="N201">
        <f>'rockfish harvests'!P208</f>
        <v>1466581.4594766509</v>
      </c>
      <c r="Q201" s="13">
        <f t="shared" si="61"/>
        <v>0</v>
      </c>
      <c r="R201" s="14">
        <f t="shared" si="62"/>
        <v>0</v>
      </c>
      <c r="S201">
        <f t="shared" si="49"/>
        <v>0</v>
      </c>
      <c r="T201" s="6">
        <f t="shared" si="50"/>
        <v>0</v>
      </c>
      <c r="V201" s="13">
        <f t="shared" si="46"/>
        <v>0</v>
      </c>
      <c r="W201">
        <f t="shared" si="46"/>
        <v>0</v>
      </c>
      <c r="X201">
        <f t="shared" si="51"/>
        <v>0</v>
      </c>
      <c r="Y201" s="6">
        <f t="shared" si="52"/>
        <v>0</v>
      </c>
    </row>
    <row r="202" spans="1:25" hidden="1" x14ac:dyDescent="0.25">
      <c r="A202" t="str">
        <f>'rockfish harvests'!A209</f>
        <v>SC</v>
      </c>
      <c r="B202">
        <f>'rockfish harvests'!B209</f>
        <v>2005</v>
      </c>
      <c r="C202" t="str">
        <f>'rockfish harvests'!C209</f>
        <v>PWSO</v>
      </c>
      <c r="D202">
        <f>'rockfish harvests'!D209</f>
        <v>9664</v>
      </c>
      <c r="E202">
        <f>'YE harvest'!E210</f>
        <v>2177</v>
      </c>
      <c r="H202" s="13">
        <f t="shared" si="60"/>
        <v>0</v>
      </c>
      <c r="I202">
        <f t="shared" si="45"/>
        <v>0</v>
      </c>
      <c r="J202">
        <f t="shared" si="47"/>
        <v>0</v>
      </c>
      <c r="K202" s="6">
        <f t="shared" si="48"/>
        <v>0</v>
      </c>
      <c r="M202" s="2">
        <f>'rockfish harvests'!O209</f>
        <v>2005.0367285005977</v>
      </c>
      <c r="N202">
        <f>'rockfish harvests'!P209</f>
        <v>917829.44196419709</v>
      </c>
      <c r="Q202" s="13">
        <f t="shared" si="61"/>
        <v>0</v>
      </c>
      <c r="R202" s="14">
        <f t="shared" si="62"/>
        <v>0</v>
      </c>
      <c r="S202">
        <f t="shared" si="49"/>
        <v>0</v>
      </c>
      <c r="T202" s="6">
        <f t="shared" si="50"/>
        <v>0</v>
      </c>
      <c r="V202" s="13">
        <f t="shared" si="46"/>
        <v>0</v>
      </c>
      <c r="W202">
        <f t="shared" si="46"/>
        <v>0</v>
      </c>
      <c r="X202">
        <f t="shared" si="51"/>
        <v>0</v>
      </c>
      <c r="Y202" s="6">
        <f t="shared" si="52"/>
        <v>0</v>
      </c>
    </row>
    <row r="203" spans="1:25" hidden="1" x14ac:dyDescent="0.25">
      <c r="A203" t="str">
        <f>'rockfish harvests'!A210</f>
        <v>SC</v>
      </c>
      <c r="B203">
        <f>'rockfish harvests'!B210</f>
        <v>2006</v>
      </c>
      <c r="C203" t="str">
        <f>'rockfish harvests'!C210</f>
        <v>PWSO</v>
      </c>
      <c r="D203">
        <f>'rockfish harvests'!D210</f>
        <v>9129</v>
      </c>
      <c r="E203">
        <f>'YE harvest'!E211</f>
        <v>2934</v>
      </c>
      <c r="H203" s="13" t="e">
        <f>#REF!</f>
        <v>#REF!</v>
      </c>
      <c r="I203">
        <f t="shared" si="45"/>
        <v>0</v>
      </c>
      <c r="J203">
        <f t="shared" si="47"/>
        <v>0</v>
      </c>
      <c r="K203" s="6">
        <f t="shared" si="48"/>
        <v>0</v>
      </c>
      <c r="M203" s="2">
        <f>'rockfish harvests'!O210</f>
        <v>1894.0376960349713</v>
      </c>
      <c r="N203">
        <f>'rockfish harvests'!P210</f>
        <v>819020.09295315738</v>
      </c>
      <c r="O203" s="32"/>
      <c r="P203" s="32"/>
      <c r="Q203" s="13">
        <f t="shared" si="61"/>
        <v>0</v>
      </c>
      <c r="R203" s="14">
        <f t="shared" si="62"/>
        <v>0</v>
      </c>
      <c r="S203">
        <f t="shared" si="49"/>
        <v>0</v>
      </c>
      <c r="T203" s="6">
        <f t="shared" si="50"/>
        <v>0</v>
      </c>
      <c r="V203" s="13" t="e">
        <f t="shared" si="46"/>
        <v>#REF!</v>
      </c>
      <c r="W203">
        <f t="shared" si="46"/>
        <v>0</v>
      </c>
      <c r="X203">
        <f t="shared" si="51"/>
        <v>0</v>
      </c>
      <c r="Y203" s="6">
        <f t="shared" si="52"/>
        <v>0</v>
      </c>
    </row>
    <row r="204" spans="1:25" hidden="1" x14ac:dyDescent="0.25">
      <c r="A204" t="str">
        <f>'rockfish harvests'!A211</f>
        <v>SC</v>
      </c>
      <c r="B204">
        <f>'rockfish harvests'!B211</f>
        <v>2007</v>
      </c>
      <c r="C204" t="str">
        <f>'rockfish harvests'!C211</f>
        <v>PWSO</v>
      </c>
      <c r="D204">
        <f>'rockfish harvests'!D211</f>
        <v>12198</v>
      </c>
      <c r="E204">
        <f>'YE harvest'!E212</f>
        <v>3859</v>
      </c>
      <c r="H204" s="13" t="e">
        <f>#REF!</f>
        <v>#REF!</v>
      </c>
      <c r="I204">
        <f t="shared" si="45"/>
        <v>0</v>
      </c>
      <c r="J204">
        <f t="shared" si="47"/>
        <v>0</v>
      </c>
      <c r="K204" s="6">
        <f t="shared" si="48"/>
        <v>0</v>
      </c>
      <c r="M204" s="2">
        <f>'rockfish harvests'!O211</f>
        <v>2530.7779402162978</v>
      </c>
      <c r="N204">
        <f>'rockfish harvests'!P211</f>
        <v>1462262.6943327789</v>
      </c>
      <c r="O204" s="32"/>
      <c r="P204" s="32"/>
      <c r="Q204" s="13">
        <f t="shared" si="61"/>
        <v>0</v>
      </c>
      <c r="R204" s="14">
        <f t="shared" si="62"/>
        <v>0</v>
      </c>
      <c r="S204">
        <f t="shared" si="49"/>
        <v>0</v>
      </c>
      <c r="T204" s="6">
        <f t="shared" si="50"/>
        <v>0</v>
      </c>
      <c r="V204" s="13" t="e">
        <f t="shared" si="46"/>
        <v>#REF!</v>
      </c>
      <c r="W204">
        <f t="shared" si="46"/>
        <v>0</v>
      </c>
      <c r="X204">
        <f t="shared" si="51"/>
        <v>0</v>
      </c>
      <c r="Y204" s="6">
        <f t="shared" si="52"/>
        <v>0</v>
      </c>
    </row>
    <row r="205" spans="1:25" hidden="1" x14ac:dyDescent="0.25">
      <c r="A205" t="str">
        <f>'rockfish harvests'!A212</f>
        <v>SC</v>
      </c>
      <c r="B205">
        <f>'rockfish harvests'!B212</f>
        <v>2008</v>
      </c>
      <c r="C205" t="str">
        <f>'rockfish harvests'!C212</f>
        <v>PWSO</v>
      </c>
      <c r="D205">
        <f>'rockfish harvests'!D212</f>
        <v>13387</v>
      </c>
      <c r="E205">
        <f>'YE harvest'!E213</f>
        <v>3569</v>
      </c>
      <c r="H205" s="13" t="e">
        <f>#REF!</f>
        <v>#REF!</v>
      </c>
      <c r="I205">
        <f t="shared" si="45"/>
        <v>0</v>
      </c>
      <c r="J205">
        <f t="shared" si="47"/>
        <v>0</v>
      </c>
      <c r="K205" s="6">
        <f t="shared" si="48"/>
        <v>0</v>
      </c>
      <c r="M205" s="2">
        <f>'rockfish harvests'!O212</f>
        <v>2777.4655095651397</v>
      </c>
      <c r="N205">
        <f>'rockfish harvests'!P212</f>
        <v>1761224.3005580062</v>
      </c>
      <c r="O205" s="32"/>
      <c r="P205" s="32"/>
      <c r="Q205" s="13">
        <f t="shared" si="61"/>
        <v>0</v>
      </c>
      <c r="R205" s="14">
        <f t="shared" si="62"/>
        <v>0</v>
      </c>
      <c r="S205">
        <f t="shared" si="49"/>
        <v>0</v>
      </c>
      <c r="T205" s="6">
        <f t="shared" si="50"/>
        <v>0</v>
      </c>
      <c r="V205" s="13" t="e">
        <f t="shared" si="46"/>
        <v>#REF!</v>
      </c>
      <c r="W205">
        <f t="shared" si="46"/>
        <v>0</v>
      </c>
      <c r="X205">
        <f t="shared" si="51"/>
        <v>0</v>
      </c>
      <c r="Y205" s="6">
        <f t="shared" si="52"/>
        <v>0</v>
      </c>
    </row>
    <row r="206" spans="1:25" hidden="1" x14ac:dyDescent="0.25">
      <c r="A206" t="str">
        <f>'rockfish harvests'!A213</f>
        <v>SC</v>
      </c>
      <c r="B206">
        <f>'rockfish harvests'!B213</f>
        <v>2009</v>
      </c>
      <c r="C206" t="str">
        <f>'rockfish harvests'!C213</f>
        <v>PWSO</v>
      </c>
      <c r="D206">
        <f>'rockfish harvests'!D213</f>
        <v>13724</v>
      </c>
      <c r="E206">
        <f>'YE harvest'!E214</f>
        <v>3376</v>
      </c>
      <c r="H206" s="13" t="e">
        <f>#REF!</f>
        <v>#REF!</v>
      </c>
      <c r="I206">
        <f t="shared" si="45"/>
        <v>0</v>
      </c>
      <c r="J206">
        <f t="shared" si="47"/>
        <v>0</v>
      </c>
      <c r="K206" s="6">
        <f t="shared" si="48"/>
        <v>0</v>
      </c>
      <c r="M206" s="2">
        <f>'rockfish harvests'!O213</f>
        <v>2847.384526277132</v>
      </c>
      <c r="N206">
        <f>'rockfish harvests'!P213</f>
        <v>1851013.392635928</v>
      </c>
      <c r="Q206" s="13">
        <f t="shared" si="61"/>
        <v>0</v>
      </c>
      <c r="R206" s="14">
        <f t="shared" si="62"/>
        <v>0</v>
      </c>
      <c r="S206">
        <f t="shared" si="49"/>
        <v>0</v>
      </c>
      <c r="T206" s="6">
        <f t="shared" si="50"/>
        <v>0</v>
      </c>
      <c r="V206" s="13" t="e">
        <f t="shared" si="46"/>
        <v>#REF!</v>
      </c>
      <c r="W206">
        <f t="shared" si="46"/>
        <v>0</v>
      </c>
      <c r="X206">
        <f t="shared" si="51"/>
        <v>0</v>
      </c>
      <c r="Y206" s="6">
        <f t="shared" si="52"/>
        <v>0</v>
      </c>
    </row>
    <row r="207" spans="1:25" hidden="1" x14ac:dyDescent="0.25">
      <c r="A207" t="str">
        <f>'rockfish harvests'!A214</f>
        <v>SC</v>
      </c>
      <c r="B207">
        <f>'rockfish harvests'!B214</f>
        <v>2010</v>
      </c>
      <c r="C207" t="str">
        <f>'rockfish harvests'!C214</f>
        <v>PWSO</v>
      </c>
      <c r="D207">
        <f>'rockfish harvests'!D214</f>
        <v>13038</v>
      </c>
      <c r="E207">
        <f>'YE harvest'!E215</f>
        <v>4523</v>
      </c>
      <c r="H207" s="13" t="e">
        <f>#REF!</f>
        <v>#REF!</v>
      </c>
      <c r="I207">
        <f t="shared" si="45"/>
        <v>0</v>
      </c>
      <c r="J207">
        <f t="shared" si="47"/>
        <v>0</v>
      </c>
      <c r="K207" s="6">
        <f t="shared" si="48"/>
        <v>0</v>
      </c>
      <c r="M207" s="2">
        <f>'rockfish harvests'!O214</f>
        <v>2705.0567949286833</v>
      </c>
      <c r="N207">
        <f>'rockfish harvests'!P214</f>
        <v>1670590.8394394808</v>
      </c>
      <c r="Q207" s="13">
        <f t="shared" si="61"/>
        <v>0</v>
      </c>
      <c r="R207" s="14">
        <f t="shared" si="62"/>
        <v>0</v>
      </c>
      <c r="S207">
        <f t="shared" si="49"/>
        <v>0</v>
      </c>
      <c r="T207" s="6">
        <f t="shared" si="50"/>
        <v>0</v>
      </c>
      <c r="V207" s="13" t="e">
        <f t="shared" si="46"/>
        <v>#REF!</v>
      </c>
      <c r="W207">
        <f t="shared" si="46"/>
        <v>0</v>
      </c>
      <c r="X207">
        <f t="shared" si="51"/>
        <v>0</v>
      </c>
      <c r="Y207" s="6">
        <f t="shared" si="52"/>
        <v>0</v>
      </c>
    </row>
    <row r="208" spans="1:25" hidden="1" x14ac:dyDescent="0.25">
      <c r="A208" t="str">
        <f>'rockfish harvests'!A215</f>
        <v>SC</v>
      </c>
      <c r="B208">
        <f>'rockfish harvests'!B215</f>
        <v>2011</v>
      </c>
      <c r="C208" t="str">
        <f>'rockfish harvests'!C215</f>
        <v>PWSO</v>
      </c>
      <c r="D208">
        <f>'rockfish harvests'!D215</f>
        <v>15590</v>
      </c>
      <c r="E208">
        <f>'YE harvest'!E216</f>
        <v>4260</v>
      </c>
      <c r="H208" s="13" t="e">
        <f>#REF!</f>
        <v>#REF!</v>
      </c>
      <c r="I208">
        <f t="shared" si="45"/>
        <v>0</v>
      </c>
      <c r="J208">
        <f t="shared" si="47"/>
        <v>0</v>
      </c>
      <c r="K208" s="6">
        <f t="shared" si="48"/>
        <v>0</v>
      </c>
      <c r="M208" s="2">
        <f>'rockfish harvests'!O215</f>
        <v>3693.2731282159002</v>
      </c>
      <c r="N208">
        <f>'rockfish harvests'!P215</f>
        <v>1342172.6209808656</v>
      </c>
      <c r="Q208" s="13">
        <f t="shared" si="61"/>
        <v>0</v>
      </c>
      <c r="R208" s="14">
        <f t="shared" si="62"/>
        <v>0</v>
      </c>
      <c r="S208">
        <f t="shared" si="49"/>
        <v>0</v>
      </c>
      <c r="T208" s="6">
        <f t="shared" si="50"/>
        <v>0</v>
      </c>
      <c r="V208" s="13" t="e">
        <f t="shared" si="46"/>
        <v>#REF!</v>
      </c>
      <c r="W208">
        <f t="shared" si="46"/>
        <v>0</v>
      </c>
      <c r="X208">
        <f t="shared" si="51"/>
        <v>0</v>
      </c>
      <c r="Y208" s="6">
        <f t="shared" si="52"/>
        <v>0</v>
      </c>
    </row>
    <row r="209" spans="1:26" hidden="1" x14ac:dyDescent="0.25">
      <c r="A209" t="str">
        <f>'rockfish harvests'!A216</f>
        <v>SC</v>
      </c>
      <c r="B209">
        <f>'rockfish harvests'!B216</f>
        <v>2012</v>
      </c>
      <c r="C209" t="str">
        <f>'rockfish harvests'!C216</f>
        <v>PWSO</v>
      </c>
      <c r="D209">
        <f>'rockfish harvests'!D216</f>
        <v>16566</v>
      </c>
      <c r="E209">
        <f>'YE harvest'!E217</f>
        <v>5165</v>
      </c>
      <c r="H209" s="13" t="e">
        <f>#REF!</f>
        <v>#REF!</v>
      </c>
      <c r="I209">
        <f t="shared" si="45"/>
        <v>0</v>
      </c>
      <c r="J209">
        <f t="shared" si="47"/>
        <v>0</v>
      </c>
      <c r="K209" s="6">
        <f t="shared" si="48"/>
        <v>0</v>
      </c>
      <c r="M209" s="2">
        <f>'rockfish harvests'!O216</f>
        <v>2004.0431802604508</v>
      </c>
      <c r="N209">
        <f>'rockfish harvests'!P216</f>
        <v>375586.44375818601</v>
      </c>
      <c r="Q209" s="13">
        <f t="shared" si="61"/>
        <v>0</v>
      </c>
      <c r="R209" s="14">
        <f t="shared" si="62"/>
        <v>0</v>
      </c>
      <c r="S209">
        <f t="shared" si="49"/>
        <v>0</v>
      </c>
      <c r="T209" s="6">
        <f t="shared" si="50"/>
        <v>0</v>
      </c>
      <c r="V209" s="13" t="e">
        <f t="shared" si="46"/>
        <v>#REF!</v>
      </c>
      <c r="W209">
        <f t="shared" si="46"/>
        <v>0</v>
      </c>
      <c r="X209">
        <f t="shared" si="51"/>
        <v>0</v>
      </c>
      <c r="Y209" s="6">
        <f t="shared" si="52"/>
        <v>0</v>
      </c>
    </row>
    <row r="210" spans="1:26" hidden="1" x14ac:dyDescent="0.25">
      <c r="A210" t="str">
        <f>'rockfish harvests'!A217</f>
        <v>SC</v>
      </c>
      <c r="B210">
        <f>'rockfish harvests'!B217</f>
        <v>2013</v>
      </c>
      <c r="C210" t="str">
        <f>'rockfish harvests'!C217</f>
        <v>PWSO</v>
      </c>
      <c r="D210">
        <f>'rockfish harvests'!D217</f>
        <v>19818</v>
      </c>
      <c r="E210">
        <f>'YE harvest'!E218</f>
        <v>5595</v>
      </c>
      <c r="H210" s="13" t="e">
        <f>#REF!</f>
        <v>#REF!</v>
      </c>
      <c r="I210">
        <f t="shared" si="45"/>
        <v>0</v>
      </c>
      <c r="J210">
        <f t="shared" si="47"/>
        <v>0</v>
      </c>
      <c r="K210" s="6">
        <f t="shared" si="48"/>
        <v>0</v>
      </c>
      <c r="M210" s="2">
        <f>'rockfish harvests'!O217</f>
        <v>6885.7645042839649</v>
      </c>
      <c r="N210">
        <f>'rockfish harvests'!P217</f>
        <v>4343369.567205376</v>
      </c>
      <c r="Q210" s="13">
        <f t="shared" si="61"/>
        <v>0</v>
      </c>
      <c r="R210" s="14">
        <f t="shared" si="62"/>
        <v>0</v>
      </c>
      <c r="S210">
        <f t="shared" si="49"/>
        <v>0</v>
      </c>
      <c r="T210" s="6">
        <f t="shared" si="50"/>
        <v>0</v>
      </c>
      <c r="V210" s="13" t="e">
        <f t="shared" si="46"/>
        <v>#REF!</v>
      </c>
      <c r="W210">
        <f t="shared" si="46"/>
        <v>0</v>
      </c>
      <c r="X210">
        <f t="shared" si="51"/>
        <v>0</v>
      </c>
      <c r="Y210" s="6">
        <f t="shared" si="52"/>
        <v>0</v>
      </c>
    </row>
    <row r="211" spans="1:26" hidden="1" x14ac:dyDescent="0.25">
      <c r="A211" t="str">
        <f>'rockfish harvests'!A218</f>
        <v>SC</v>
      </c>
      <c r="B211">
        <f>'rockfish harvests'!B218</f>
        <v>2014</v>
      </c>
      <c r="C211" t="str">
        <f>'rockfish harvests'!C218</f>
        <v>PWSO</v>
      </c>
      <c r="D211">
        <f>'rockfish harvests'!D218</f>
        <v>21309</v>
      </c>
      <c r="E211">
        <f>'YE harvest'!E219</f>
        <v>5557</v>
      </c>
      <c r="H211" s="13" t="e">
        <f>#REF!</f>
        <v>#REF!</v>
      </c>
      <c r="I211">
        <f t="shared" si="45"/>
        <v>0</v>
      </c>
      <c r="J211">
        <f t="shared" si="47"/>
        <v>0</v>
      </c>
      <c r="K211" s="6">
        <f t="shared" si="48"/>
        <v>0</v>
      </c>
      <c r="M211" s="2">
        <f>'rockfish harvests'!O218</f>
        <v>7356.7256448320622</v>
      </c>
      <c r="N211">
        <f>'rockfish harvests'!P218</f>
        <v>3862984.9469756186</v>
      </c>
      <c r="Q211" s="13">
        <f t="shared" si="61"/>
        <v>0</v>
      </c>
      <c r="R211" s="14">
        <f t="shared" si="62"/>
        <v>0</v>
      </c>
      <c r="S211">
        <f t="shared" si="49"/>
        <v>0</v>
      </c>
      <c r="T211" s="6">
        <f t="shared" si="50"/>
        <v>0</v>
      </c>
      <c r="V211" s="13" t="e">
        <f t="shared" si="46"/>
        <v>#REF!</v>
      </c>
      <c r="W211">
        <f t="shared" si="46"/>
        <v>0</v>
      </c>
      <c r="X211">
        <f t="shared" si="51"/>
        <v>0</v>
      </c>
      <c r="Y211" s="6">
        <f t="shared" si="52"/>
        <v>0</v>
      </c>
    </row>
    <row r="212" spans="1:26" hidden="1" x14ac:dyDescent="0.25">
      <c r="A212" t="str">
        <f>'rockfish harvests'!A219</f>
        <v>SC</v>
      </c>
      <c r="B212">
        <f>'rockfish harvests'!B219</f>
        <v>2015</v>
      </c>
      <c r="C212" t="str">
        <f>'rockfish harvests'!C219</f>
        <v>PWSO</v>
      </c>
      <c r="D212">
        <f>'rockfish harvests'!D219</f>
        <v>24516</v>
      </c>
      <c r="E212">
        <f>'YE harvest'!E220</f>
        <v>6130</v>
      </c>
      <c r="H212" s="13" t="e">
        <f>#REF!</f>
        <v>#REF!</v>
      </c>
      <c r="I212">
        <f t="shared" si="45"/>
        <v>0</v>
      </c>
      <c r="J212">
        <f t="shared" si="47"/>
        <v>0</v>
      </c>
      <c r="K212" s="6">
        <f t="shared" si="48"/>
        <v>0</v>
      </c>
      <c r="M212" s="2">
        <f>'rockfish harvests'!O219</f>
        <v>2612.963774691143</v>
      </c>
      <c r="N212">
        <f>'rockfish harvests'!P219</f>
        <v>501421.42786728247</v>
      </c>
      <c r="Q212" s="13">
        <f t="shared" si="61"/>
        <v>0</v>
      </c>
      <c r="R212" s="14">
        <f t="shared" si="62"/>
        <v>0</v>
      </c>
      <c r="S212">
        <f t="shared" si="49"/>
        <v>0</v>
      </c>
      <c r="T212" s="6">
        <f t="shared" si="50"/>
        <v>0</v>
      </c>
      <c r="V212" s="13" t="e">
        <f t="shared" si="46"/>
        <v>#REF!</v>
      </c>
      <c r="W212">
        <f t="shared" si="46"/>
        <v>0</v>
      </c>
      <c r="X212">
        <f t="shared" si="51"/>
        <v>0</v>
      </c>
      <c r="Y212" s="6">
        <f t="shared" si="52"/>
        <v>0</v>
      </c>
    </row>
    <row r="213" spans="1:26" hidden="1" x14ac:dyDescent="0.25">
      <c r="A213" t="str">
        <f>'rockfish harvests'!A220</f>
        <v>SC</v>
      </c>
      <c r="B213">
        <f>'rockfish harvests'!B220</f>
        <v>2016</v>
      </c>
      <c r="C213" t="str">
        <f>'rockfish harvests'!C220</f>
        <v>PWSO</v>
      </c>
      <c r="D213">
        <f>'rockfish harvests'!D220</f>
        <v>29349</v>
      </c>
      <c r="E213">
        <f>'YE harvest'!E221</f>
        <v>7689</v>
      </c>
      <c r="H213" s="13" t="e">
        <f>#REF!</f>
        <v>#REF!</v>
      </c>
      <c r="I213">
        <f t="shared" si="45"/>
        <v>0</v>
      </c>
      <c r="J213">
        <f t="shared" si="47"/>
        <v>0</v>
      </c>
      <c r="K213" s="6">
        <f t="shared" si="48"/>
        <v>0</v>
      </c>
      <c r="M213" s="2">
        <f>'rockfish harvests'!O220</f>
        <v>3728.736072598942</v>
      </c>
      <c r="N213">
        <f>'rockfish harvests'!P220</f>
        <v>690520.60458105023</v>
      </c>
      <c r="Q213" s="13">
        <f t="shared" si="61"/>
        <v>0</v>
      </c>
      <c r="R213" s="14">
        <f t="shared" si="62"/>
        <v>0</v>
      </c>
      <c r="S213">
        <f t="shared" si="49"/>
        <v>0</v>
      </c>
      <c r="T213" s="6">
        <f t="shared" si="50"/>
        <v>0</v>
      </c>
      <c r="V213" s="13" t="e">
        <f t="shared" si="46"/>
        <v>#REF!</v>
      </c>
      <c r="W213">
        <f t="shared" si="46"/>
        <v>0</v>
      </c>
      <c r="X213">
        <f t="shared" si="51"/>
        <v>0</v>
      </c>
      <c r="Y213" s="6">
        <f t="shared" si="52"/>
        <v>0</v>
      </c>
    </row>
    <row r="214" spans="1:26" hidden="1" x14ac:dyDescent="0.25">
      <c r="A214" t="str">
        <f>'rockfish harvests'!A221</f>
        <v>SC</v>
      </c>
      <c r="B214">
        <f>'rockfish harvests'!B221</f>
        <v>2017</v>
      </c>
      <c r="C214" t="str">
        <f>'rockfish harvests'!C221</f>
        <v>PWSO</v>
      </c>
      <c r="D214">
        <f>'rockfish harvests'!D221</f>
        <v>28647</v>
      </c>
      <c r="E214">
        <f>'YE harvest'!E222</f>
        <v>7729</v>
      </c>
      <c r="H214" s="13" t="e">
        <f>#REF!</f>
        <v>#REF!</v>
      </c>
      <c r="I214">
        <f t="shared" si="45"/>
        <v>0</v>
      </c>
      <c r="J214">
        <f t="shared" si="47"/>
        <v>0</v>
      </c>
      <c r="K214" s="6">
        <f t="shared" si="48"/>
        <v>0</v>
      </c>
      <c r="M214" s="2">
        <f>'rockfish harvests'!O221</f>
        <v>7308.8621616433084</v>
      </c>
      <c r="N214">
        <f>'rockfish harvests'!P221</f>
        <v>5936209.9806912215</v>
      </c>
      <c r="Q214" s="13">
        <f t="shared" si="61"/>
        <v>0</v>
      </c>
      <c r="R214" s="14">
        <f t="shared" si="62"/>
        <v>0</v>
      </c>
      <c r="S214">
        <f t="shared" si="49"/>
        <v>0</v>
      </c>
      <c r="T214" s="6">
        <f t="shared" si="50"/>
        <v>0</v>
      </c>
      <c r="V214" s="13" t="e">
        <f t="shared" si="46"/>
        <v>#REF!</v>
      </c>
      <c r="W214">
        <f t="shared" si="46"/>
        <v>0</v>
      </c>
      <c r="X214">
        <f t="shared" si="51"/>
        <v>0</v>
      </c>
      <c r="Y214" s="6">
        <f t="shared" si="52"/>
        <v>0</v>
      </c>
    </row>
    <row r="215" spans="1:26" hidden="1" x14ac:dyDescent="0.25">
      <c r="A215" t="str">
        <f>'rockfish harvests'!A222</f>
        <v>SC</v>
      </c>
      <c r="B215">
        <f>'rockfish harvests'!B222</f>
        <v>2018</v>
      </c>
      <c r="C215" t="str">
        <f>'rockfish harvests'!C222</f>
        <v>PWSO</v>
      </c>
      <c r="D215">
        <f>'rockfish harvests'!D222</f>
        <v>27142</v>
      </c>
      <c r="E215">
        <f>'YE harvest'!E223</f>
        <v>5333</v>
      </c>
      <c r="H215" s="13" t="e">
        <f>#REF!</f>
        <v>#REF!</v>
      </c>
      <c r="I215">
        <f t="shared" si="45"/>
        <v>0</v>
      </c>
      <c r="J215">
        <f t="shared" si="47"/>
        <v>0</v>
      </c>
      <c r="K215" s="6">
        <f t="shared" si="48"/>
        <v>0</v>
      </c>
      <c r="M215" s="2">
        <f>'rockfish harvests'!O222</f>
        <v>4727.7448574203227</v>
      </c>
      <c r="N215">
        <f>'rockfish harvests'!P222</f>
        <v>2237274.0611776323</v>
      </c>
      <c r="Q215" s="13">
        <f t="shared" si="61"/>
        <v>0</v>
      </c>
      <c r="R215" s="14">
        <f t="shared" si="62"/>
        <v>0</v>
      </c>
      <c r="S215">
        <f t="shared" si="49"/>
        <v>0</v>
      </c>
      <c r="T215" s="6">
        <f t="shared" si="50"/>
        <v>0</v>
      </c>
      <c r="V215" s="13" t="e">
        <f t="shared" si="46"/>
        <v>#REF!</v>
      </c>
      <c r="W215">
        <f t="shared" si="46"/>
        <v>0</v>
      </c>
      <c r="X215">
        <f t="shared" si="51"/>
        <v>0</v>
      </c>
      <c r="Y215" s="6">
        <f t="shared" si="52"/>
        <v>0</v>
      </c>
    </row>
    <row r="216" spans="1:26" hidden="1" x14ac:dyDescent="0.25">
      <c r="A216" t="str">
        <f>'rockfish harvests'!A223</f>
        <v>SC</v>
      </c>
      <c r="B216">
        <f>'rockfish harvests'!B223</f>
        <v>2019</v>
      </c>
      <c r="C216" t="str">
        <f>'rockfish harvests'!C223</f>
        <v>PWSO</v>
      </c>
      <c r="D216">
        <f>'rockfish harvests'!D223</f>
        <v>33682</v>
      </c>
      <c r="E216">
        <f>'YE harvest'!E224</f>
        <v>7623</v>
      </c>
      <c r="I216">
        <f t="shared" ref="I216:I217" si="63">(E216^2)*G216</f>
        <v>0</v>
      </c>
      <c r="J216">
        <f t="shared" ref="J216:J217" si="64">SQRT(I216)</f>
        <v>0</v>
      </c>
      <c r="K216" s="6">
        <f t="shared" ref="K216:K217" si="65">(1.96*J216)</f>
        <v>0</v>
      </c>
      <c r="M216" s="2">
        <f>'rockfish harvests'!O223</f>
        <v>6995.3520303194382</v>
      </c>
      <c r="N216">
        <f>'rockfish harvests'!P223</f>
        <v>5326815.9562128652</v>
      </c>
      <c r="R216" s="14"/>
      <c r="S216"/>
      <c r="T216" s="6"/>
      <c r="Y216" s="6"/>
    </row>
    <row r="217" spans="1:26" hidden="1" x14ac:dyDescent="0.25">
      <c r="A217" t="str">
        <f>'rockfish harvests'!A224</f>
        <v>SC</v>
      </c>
      <c r="B217">
        <f>'rockfish harvests'!B224</f>
        <v>2020</v>
      </c>
      <c r="C217" t="str">
        <f>'rockfish harvests'!C224</f>
        <v>PWSO</v>
      </c>
      <c r="D217">
        <f>'rockfish harvests'!D224</f>
        <v>29279</v>
      </c>
      <c r="E217">
        <f>'YE harvest'!E225</f>
        <v>5450</v>
      </c>
      <c r="I217">
        <f t="shared" si="63"/>
        <v>0</v>
      </c>
      <c r="J217">
        <f t="shared" si="64"/>
        <v>0</v>
      </c>
      <c r="K217" s="6">
        <f t="shared" si="65"/>
        <v>0</v>
      </c>
      <c r="M217" s="2">
        <f>'rockfish harvests'!O224</f>
        <v>6546.1019423978578</v>
      </c>
      <c r="N217">
        <f>'rockfish harvests'!P224</f>
        <v>3018032.5104616564</v>
      </c>
      <c r="R217" s="14"/>
      <c r="S217"/>
      <c r="T217" s="6"/>
      <c r="Y217" s="6"/>
    </row>
    <row r="218" spans="1:26" hidden="1" x14ac:dyDescent="0.25">
      <c r="A218" t="str">
        <f>'rockfish harvests'!A225</f>
        <v>SC</v>
      </c>
      <c r="B218">
        <f>'rockfish harvests'!B225</f>
        <v>2021</v>
      </c>
      <c r="C218" t="str">
        <f>'rockfish harvests'!C225</f>
        <v>PWSO</v>
      </c>
      <c r="D218">
        <f>'rockfish harvests'!D225</f>
        <v>38638</v>
      </c>
      <c r="E218">
        <f>'YE harvest'!E226</f>
        <v>5963</v>
      </c>
      <c r="K218" s="6"/>
      <c r="M218" s="2">
        <f>'rockfish harvests'!O225</f>
        <v>8140.8816955045913</v>
      </c>
      <c r="N218">
        <f>'rockfish harvests'!P225</f>
        <v>4846611.7748930994</v>
      </c>
      <c r="R218" s="14"/>
      <c r="S218"/>
      <c r="T218" s="6"/>
      <c r="Y218" s="6"/>
    </row>
    <row r="219" spans="1:26" hidden="1" x14ac:dyDescent="0.25">
      <c r="A219" t="str">
        <f>'rockfish harvests'!A227</f>
        <v>SE</v>
      </c>
      <c r="B219">
        <f>'rockfish harvests'!B227</f>
        <v>1998</v>
      </c>
      <c r="C219" t="str">
        <f>'rockfish harvests'!C227</f>
        <v>CSEO</v>
      </c>
      <c r="D219">
        <f>'rockfish harvests'!D227</f>
        <v>9366</v>
      </c>
      <c r="E219">
        <f>'YE harvest'!E228</f>
        <v>4902</v>
      </c>
      <c r="F219" s="32">
        <v>0.12033498300000001</v>
      </c>
      <c r="G219" s="48">
        <v>4.2679450000000004E-3</v>
      </c>
      <c r="H219" s="13">
        <f t="shared" ref="H219:H294" si="66">E219*F219</f>
        <v>589.88208666600008</v>
      </c>
      <c r="I219">
        <f t="shared" si="45"/>
        <v>102557.02824378001</v>
      </c>
      <c r="J219">
        <f t="shared" si="47"/>
        <v>320.24526264065173</v>
      </c>
      <c r="K219" s="6">
        <f t="shared" si="48"/>
        <v>627.68071477567742</v>
      </c>
      <c r="M219" s="2">
        <f>'rockfish harvests'!O227</f>
        <v>1419.5566561478372</v>
      </c>
      <c r="N219">
        <f>'rockfish harvests'!P227</f>
        <v>224247.08472663842</v>
      </c>
      <c r="O219" s="32">
        <v>4.0472332999999999E-2</v>
      </c>
      <c r="P219" s="32">
        <v>4.72614E-4</v>
      </c>
      <c r="Q219" s="13">
        <f t="shared" si="61"/>
        <v>57.452769699981765</v>
      </c>
      <c r="R219" s="14">
        <f t="shared" si="62"/>
        <v>1213.720492744992</v>
      </c>
      <c r="S219">
        <f t="shared" si="49"/>
        <v>34.838491539459511</v>
      </c>
      <c r="T219" s="6">
        <f t="shared" si="50"/>
        <v>68.283443417340635</v>
      </c>
      <c r="V219" s="13">
        <f t="shared" si="46"/>
        <v>647.33485636598186</v>
      </c>
      <c r="W219">
        <f t="shared" si="46"/>
        <v>103770.748736525</v>
      </c>
      <c r="X219">
        <f t="shared" si="51"/>
        <v>322.13467484349616</v>
      </c>
      <c r="Y219" s="6">
        <f t="shared" si="52"/>
        <v>631.38396269325244</v>
      </c>
      <c r="Z219" s="14">
        <f t="shared" ref="Z219:Z288" si="67">X219/V219</f>
        <v>0.49763220947486225</v>
      </c>
    </row>
    <row r="220" spans="1:26" hidden="1" x14ac:dyDescent="0.25">
      <c r="A220" t="str">
        <f>'rockfish harvests'!A228</f>
        <v>SE</v>
      </c>
      <c r="B220">
        <f>'rockfish harvests'!B228</f>
        <v>1999</v>
      </c>
      <c r="C220" t="str">
        <f>'rockfish harvests'!C228</f>
        <v>CSEO</v>
      </c>
      <c r="D220">
        <f>'rockfish harvests'!D228</f>
        <v>9636</v>
      </c>
      <c r="E220">
        <f>'YE harvest'!E229</f>
        <v>5800</v>
      </c>
      <c r="F220" s="32">
        <v>0.12033498300000001</v>
      </c>
      <c r="G220" s="48">
        <v>4.2679450000000004E-3</v>
      </c>
      <c r="H220" s="13">
        <f t="shared" si="66"/>
        <v>697.94290139999998</v>
      </c>
      <c r="I220">
        <f t="shared" si="45"/>
        <v>143573.6698</v>
      </c>
      <c r="J220">
        <f t="shared" si="47"/>
        <v>378.91116346711141</v>
      </c>
      <c r="K220" s="6">
        <f t="shared" si="48"/>
        <v>742.66588039553835</v>
      </c>
      <c r="M220" s="2">
        <f>'rockfish harvests'!O228</f>
        <v>1460.4791734615155</v>
      </c>
      <c r="N220">
        <f>'rockfish harvests'!P228</f>
        <v>237362.48582500662</v>
      </c>
      <c r="O220" s="32">
        <v>4.0472332999999999E-2</v>
      </c>
      <c r="P220" s="32">
        <v>4.72614E-4</v>
      </c>
      <c r="Q220" s="13">
        <f t="shared" si="61"/>
        <v>59.108999447899215</v>
      </c>
      <c r="R220" s="14">
        <f t="shared" si="62"/>
        <v>1284.7066154991155</v>
      </c>
      <c r="S220">
        <f t="shared" si="49"/>
        <v>35.842804235984602</v>
      </c>
      <c r="T220" s="6">
        <f t="shared" si="50"/>
        <v>70.251896302529815</v>
      </c>
      <c r="V220" s="13">
        <f t="shared" si="46"/>
        <v>757.05190084789922</v>
      </c>
      <c r="W220">
        <f t="shared" si="46"/>
        <v>144858.37641549911</v>
      </c>
      <c r="X220">
        <f t="shared" si="51"/>
        <v>380.60264898644505</v>
      </c>
      <c r="Y220" s="6">
        <f t="shared" si="52"/>
        <v>745.98119201343229</v>
      </c>
      <c r="Z220" s="14">
        <f t="shared" si="67"/>
        <v>0.50274313895806821</v>
      </c>
    </row>
    <row r="221" spans="1:26" hidden="1" x14ac:dyDescent="0.25">
      <c r="A221" t="str">
        <f>'rockfish harvests'!A229</f>
        <v>SE</v>
      </c>
      <c r="B221">
        <f>'rockfish harvests'!B229</f>
        <v>2000</v>
      </c>
      <c r="C221" t="str">
        <f>'rockfish harvests'!C229</f>
        <v>CSEO</v>
      </c>
      <c r="D221">
        <f>'rockfish harvests'!D229</f>
        <v>16855</v>
      </c>
      <c r="E221">
        <f>'YE harvest'!E230</f>
        <v>11078</v>
      </c>
      <c r="F221" s="32">
        <v>0.12033498300000001</v>
      </c>
      <c r="G221" s="48">
        <v>4.2679450000000004E-3</v>
      </c>
      <c r="H221" s="13">
        <f t="shared" si="66"/>
        <v>1333.0709416740001</v>
      </c>
      <c r="I221">
        <f t="shared" si="45"/>
        <v>523771.10479738005</v>
      </c>
      <c r="J221">
        <f t="shared" si="47"/>
        <v>723.72032222218274</v>
      </c>
      <c r="K221" s="6">
        <f t="shared" si="48"/>
        <v>1418.4918315554783</v>
      </c>
      <c r="M221" s="2">
        <f>'rockfish harvests'!O229</f>
        <v>2554.6260345261362</v>
      </c>
      <c r="N221">
        <f>'rockfish harvests'!P229</f>
        <v>726233.05564746587</v>
      </c>
      <c r="O221" s="32">
        <v>4.0472332999999999E-2</v>
      </c>
      <c r="P221" s="32">
        <v>4.72614E-4</v>
      </c>
      <c r="Q221" s="13">
        <f t="shared" si="61"/>
        <v>103.39167555981128</v>
      </c>
      <c r="R221" s="14">
        <f t="shared" si="62"/>
        <v>3930.681833490235</v>
      </c>
      <c r="S221">
        <f t="shared" si="49"/>
        <v>62.695149999742682</v>
      </c>
      <c r="T221" s="6">
        <f t="shared" si="50"/>
        <v>122.88249399949565</v>
      </c>
      <c r="V221" s="13">
        <f t="shared" si="46"/>
        <v>1436.4626172338114</v>
      </c>
      <c r="W221">
        <f t="shared" si="46"/>
        <v>527701.78663087031</v>
      </c>
      <c r="X221">
        <f t="shared" si="51"/>
        <v>726.43085467983144</v>
      </c>
      <c r="Y221" s="6">
        <f t="shared" si="52"/>
        <v>1423.8044751724697</v>
      </c>
      <c r="Z221" s="14">
        <f t="shared" si="67"/>
        <v>0.50570815137446146</v>
      </c>
    </row>
    <row r="222" spans="1:26" hidden="1" x14ac:dyDescent="0.25">
      <c r="A222" t="str">
        <f>'rockfish harvests'!A230</f>
        <v>SE</v>
      </c>
      <c r="B222">
        <f>'rockfish harvests'!B230</f>
        <v>2001</v>
      </c>
      <c r="C222" t="str">
        <f>'rockfish harvests'!C230</f>
        <v>CSEO</v>
      </c>
      <c r="D222">
        <f>'rockfish harvests'!D230</f>
        <v>15083</v>
      </c>
      <c r="E222">
        <f>'YE harvest'!E231</f>
        <v>11046</v>
      </c>
      <c r="F222" s="32">
        <v>0.12033498300000001</v>
      </c>
      <c r="G222" s="48">
        <v>4.2679450000000004E-3</v>
      </c>
      <c r="H222" s="13">
        <f t="shared" si="66"/>
        <v>1329.2202222180001</v>
      </c>
      <c r="I222">
        <f t="shared" ref="I222:I297" si="68">(E222^2)*G222</f>
        <v>520749.53631162003</v>
      </c>
      <c r="J222">
        <f t="shared" si="47"/>
        <v>721.62977787201942</v>
      </c>
      <c r="K222" s="6">
        <f t="shared" si="48"/>
        <v>1414.394364629158</v>
      </c>
      <c r="M222" s="2">
        <f>'rockfish harvests'!O230</f>
        <v>2286.0530690452506</v>
      </c>
      <c r="N222">
        <f>'rockfish harvests'!P230</f>
        <v>581559.24091147329</v>
      </c>
      <c r="O222" s="32">
        <v>4.0472332999999999E-2</v>
      </c>
      <c r="P222" s="32">
        <v>4.72614E-4</v>
      </c>
      <c r="Q222" s="13">
        <f t="shared" si="61"/>
        <v>92.521901066071379</v>
      </c>
      <c r="R222" s="14">
        <f t="shared" si="62"/>
        <v>3147.6456842233715</v>
      </c>
      <c r="S222">
        <f t="shared" si="49"/>
        <v>56.103882969214986</v>
      </c>
      <c r="T222" s="6">
        <f t="shared" si="50"/>
        <v>109.96361061966137</v>
      </c>
      <c r="V222" s="13">
        <f t="shared" ref="V222:W297" si="69">Q222+H222</f>
        <v>1421.7421232840716</v>
      </c>
      <c r="W222">
        <f t="shared" si="69"/>
        <v>523897.18199584342</v>
      </c>
      <c r="X222">
        <f t="shared" si="51"/>
        <v>723.80742051725565</v>
      </c>
      <c r="Y222" s="6">
        <f t="shared" si="52"/>
        <v>1418.6625442138211</v>
      </c>
      <c r="Z222" s="14">
        <f t="shared" si="67"/>
        <v>0.50909894886235652</v>
      </c>
    </row>
    <row r="223" spans="1:26" hidden="1" x14ac:dyDescent="0.25">
      <c r="A223" t="str">
        <f>'rockfish harvests'!A231</f>
        <v>SE</v>
      </c>
      <c r="B223">
        <f>'rockfish harvests'!B231</f>
        <v>2002</v>
      </c>
      <c r="C223" t="str">
        <f>'rockfish harvests'!C231</f>
        <v>CSEO</v>
      </c>
      <c r="D223">
        <f>'rockfish harvests'!D231</f>
        <v>14004</v>
      </c>
      <c r="E223">
        <f>'YE harvest'!E232</f>
        <v>8798</v>
      </c>
      <c r="F223" s="32">
        <v>0.12033498300000001</v>
      </c>
      <c r="G223" s="48">
        <v>4.2679450000000004E-3</v>
      </c>
      <c r="H223" s="13">
        <f t="shared" si="66"/>
        <v>1058.7071804340001</v>
      </c>
      <c r="I223">
        <f t="shared" si="68"/>
        <v>330359.44620778004</v>
      </c>
      <c r="J223">
        <f t="shared" ref="J223:J298" si="70">SQRT(I223)</f>
        <v>574.76903727304239</v>
      </c>
      <c r="K223" s="6">
        <f t="shared" ref="K223:K298" si="71">(1.96*J223)</f>
        <v>1126.5473130551632</v>
      </c>
      <c r="M223" s="2">
        <f>'rockfish harvests'!O231</f>
        <v>2122.5145646694764</v>
      </c>
      <c r="N223">
        <f>'rockfish harvests'!P231</f>
        <v>501328.85623143055</v>
      </c>
      <c r="O223" s="32">
        <v>4.0472332999999999E-2</v>
      </c>
      <c r="P223" s="32">
        <v>4.72614E-4</v>
      </c>
      <c r="Q223" s="13">
        <f t="shared" si="61"/>
        <v>85.903116258653085</v>
      </c>
      <c r="R223" s="14">
        <f t="shared" si="62"/>
        <v>2713.40475687448</v>
      </c>
      <c r="S223">
        <f t="shared" ref="S223:S298" si="72">SQRT(R223)</f>
        <v>52.090351859768425</v>
      </c>
      <c r="T223" s="6">
        <f t="shared" ref="T223:T298" si="73">(1.96*S223)</f>
        <v>102.09708964514611</v>
      </c>
      <c r="V223" s="13">
        <f t="shared" si="69"/>
        <v>1144.6102966926533</v>
      </c>
      <c r="W223">
        <f t="shared" si="69"/>
        <v>333072.85096465453</v>
      </c>
      <c r="X223">
        <f t="shared" ref="X223:X298" si="74">SQRT(W223)</f>
        <v>577.12464075332502</v>
      </c>
      <c r="Y223" s="6">
        <f t="shared" ref="Y223:Y298" si="75">(1.96*X223)</f>
        <v>1131.1642958765169</v>
      </c>
      <c r="Z223" s="14">
        <f t="shared" si="67"/>
        <v>0.50421059676024604</v>
      </c>
    </row>
    <row r="224" spans="1:26" hidden="1" x14ac:dyDescent="0.25">
      <c r="A224" t="str">
        <f>'rockfish harvests'!A232</f>
        <v>SE</v>
      </c>
      <c r="B224">
        <f>'rockfish harvests'!B232</f>
        <v>2003</v>
      </c>
      <c r="C224" t="str">
        <f>'rockfish harvests'!C232</f>
        <v>CSEO</v>
      </c>
      <c r="D224">
        <f>'rockfish harvests'!D232</f>
        <v>15272</v>
      </c>
      <c r="E224">
        <f>'YE harvest'!E233</f>
        <v>8561</v>
      </c>
      <c r="F224" s="32">
        <v>0.12033498300000001</v>
      </c>
      <c r="G224" s="48">
        <v>4.2679450000000004E-3</v>
      </c>
      <c r="H224" s="13">
        <f t="shared" si="66"/>
        <v>1030.1877894629999</v>
      </c>
      <c r="I224">
        <f t="shared" si="68"/>
        <v>312800.76623834501</v>
      </c>
      <c r="J224">
        <f t="shared" si="70"/>
        <v>559.28594317964496</v>
      </c>
      <c r="K224" s="6">
        <f t="shared" si="71"/>
        <v>1096.2004486321041</v>
      </c>
      <c r="M224" s="2">
        <f>'rockfish harvests'!O232</f>
        <v>2314.6988311648274</v>
      </c>
      <c r="N224">
        <f>'rockfish harvests'!P232</f>
        <v>596225.20240177307</v>
      </c>
      <c r="O224" s="32">
        <v>4.0472332999999999E-2</v>
      </c>
      <c r="P224" s="32">
        <v>4.72614E-4</v>
      </c>
      <c r="Q224" s="13">
        <f t="shared" si="61"/>
        <v>93.681261889613666</v>
      </c>
      <c r="R224" s="14">
        <f t="shared" si="62"/>
        <v>3227.0240985661294</v>
      </c>
      <c r="S224">
        <f t="shared" si="72"/>
        <v>56.806901856782588</v>
      </c>
      <c r="T224" s="6">
        <f t="shared" si="73"/>
        <v>111.34152763929387</v>
      </c>
      <c r="V224" s="13">
        <f t="shared" si="69"/>
        <v>1123.8690513526135</v>
      </c>
      <c r="W224">
        <f t="shared" si="69"/>
        <v>316027.79033691116</v>
      </c>
      <c r="X224">
        <f t="shared" si="74"/>
        <v>562.1634907541677</v>
      </c>
      <c r="Y224" s="6">
        <f t="shared" si="75"/>
        <v>1101.8404418781686</v>
      </c>
      <c r="Z224" s="14">
        <f t="shared" si="67"/>
        <v>0.50020372932023116</v>
      </c>
    </row>
    <row r="225" spans="1:26" hidden="1" x14ac:dyDescent="0.25">
      <c r="A225" t="str">
        <f>'rockfish harvests'!A233</f>
        <v>SE</v>
      </c>
      <c r="B225">
        <f>'rockfish harvests'!B233</f>
        <v>2004</v>
      </c>
      <c r="C225" t="str">
        <f>'rockfish harvests'!C233</f>
        <v>CSEO</v>
      </c>
      <c r="D225">
        <f>'rockfish harvests'!D233</f>
        <v>21796</v>
      </c>
      <c r="E225">
        <f>'YE harvest'!E234</f>
        <v>12007</v>
      </c>
      <c r="F225" s="32">
        <v>0.12033498300000001</v>
      </c>
      <c r="G225" s="48">
        <v>4.2679450000000004E-3</v>
      </c>
      <c r="H225" s="13">
        <f t="shared" si="66"/>
        <v>1444.8621408810002</v>
      </c>
      <c r="I225">
        <f t="shared" si="68"/>
        <v>615301.3038893051</v>
      </c>
      <c r="J225">
        <f t="shared" si="70"/>
        <v>784.41143788786326</v>
      </c>
      <c r="K225" s="6">
        <f t="shared" si="71"/>
        <v>1537.4464182602119</v>
      </c>
      <c r="M225" s="2">
        <f>'rockfish harvests'!O233</f>
        <v>3303.5081013664603</v>
      </c>
      <c r="N225">
        <f>'rockfish harvests'!P233</f>
        <v>1214428.9103843591</v>
      </c>
      <c r="O225" s="32">
        <v>4.0472332999999999E-2</v>
      </c>
      <c r="P225" s="32">
        <v>4.72614E-4</v>
      </c>
      <c r="Q225" s="13">
        <f t="shared" si="61"/>
        <v>133.70067994670114</v>
      </c>
      <c r="R225" s="14">
        <f t="shared" si="62"/>
        <v>6573.0052067890892</v>
      </c>
      <c r="S225">
        <f t="shared" si="72"/>
        <v>81.074072346152008</v>
      </c>
      <c r="T225" s="6">
        <f t="shared" si="73"/>
        <v>158.90518179845793</v>
      </c>
      <c r="V225" s="13">
        <f t="shared" si="69"/>
        <v>1578.5628208277012</v>
      </c>
      <c r="W225">
        <f t="shared" si="69"/>
        <v>621874.30909609422</v>
      </c>
      <c r="X225">
        <f t="shared" si="74"/>
        <v>788.59007671672748</v>
      </c>
      <c r="Y225" s="6">
        <f t="shared" si="75"/>
        <v>1545.6365503647858</v>
      </c>
      <c r="Z225" s="14">
        <f t="shared" si="67"/>
        <v>0.49956204866350479</v>
      </c>
    </row>
    <row r="226" spans="1:26" hidden="1" x14ac:dyDescent="0.25">
      <c r="A226" t="str">
        <f>'rockfish harvests'!A234</f>
        <v>SE</v>
      </c>
      <c r="B226">
        <f>'rockfish harvests'!B234</f>
        <v>2005</v>
      </c>
      <c r="C226" t="str">
        <f>'rockfish harvests'!C234</f>
        <v>CSEO</v>
      </c>
      <c r="D226">
        <f>'rockfish harvests'!D234</f>
        <v>27304</v>
      </c>
      <c r="E226">
        <f>'YE harvest'!E235</f>
        <v>14418</v>
      </c>
      <c r="F226" s="32">
        <v>0.12033498300000001</v>
      </c>
      <c r="G226" s="48">
        <v>4.2679450000000004E-3</v>
      </c>
      <c r="H226" s="13">
        <f t="shared" si="66"/>
        <v>1734.9897848940002</v>
      </c>
      <c r="I226">
        <f t="shared" si="68"/>
        <v>887214.96070218005</v>
      </c>
      <c r="J226">
        <f t="shared" si="70"/>
        <v>941.92088877048479</v>
      </c>
      <c r="K226" s="6">
        <f t="shared" si="71"/>
        <v>1846.1649419901501</v>
      </c>
      <c r="M226" s="2">
        <f>'rockfish harvests'!O234</f>
        <v>4138.3274545655077</v>
      </c>
      <c r="N226">
        <f>'rockfish harvests'!P234</f>
        <v>1905772.4719131205</v>
      </c>
      <c r="O226" s="32">
        <v>4.0472332999999999E-2</v>
      </c>
      <c r="P226" s="32">
        <v>4.72614E-4</v>
      </c>
      <c r="Q226" s="13">
        <f t="shared" si="61"/>
        <v>167.48776680421759</v>
      </c>
      <c r="R226" s="14">
        <f t="shared" si="62"/>
        <v>10314.850275489278</v>
      </c>
      <c r="S226">
        <f t="shared" si="72"/>
        <v>101.56205135526397</v>
      </c>
      <c r="T226" s="6">
        <f t="shared" si="73"/>
        <v>199.06162065631739</v>
      </c>
      <c r="V226" s="13">
        <f t="shared" si="69"/>
        <v>1902.4775516982177</v>
      </c>
      <c r="W226">
        <f t="shared" si="69"/>
        <v>897529.81097766932</v>
      </c>
      <c r="X226">
        <f t="shared" si="74"/>
        <v>947.38049957642113</v>
      </c>
      <c r="Y226" s="6">
        <f t="shared" si="75"/>
        <v>1856.8657791697854</v>
      </c>
      <c r="Z226" s="14">
        <f t="shared" si="67"/>
        <v>0.49797197277347965</v>
      </c>
    </row>
    <row r="227" spans="1:26" hidden="1" x14ac:dyDescent="0.25">
      <c r="A227" t="str">
        <f>'rockfish harvests'!A235</f>
        <v>SE</v>
      </c>
      <c r="B227">
        <f>'rockfish harvests'!B235</f>
        <v>2006</v>
      </c>
      <c r="C227" t="str">
        <f>'rockfish harvests'!C235</f>
        <v>CSEO</v>
      </c>
      <c r="D227">
        <f>'rockfish harvests'!D235</f>
        <v>33748</v>
      </c>
      <c r="E227">
        <f>'YE harvest'!E236</f>
        <v>13609</v>
      </c>
      <c r="F227">
        <f>IF([2]species_comp_Region1_forR!$H10&gt;49,[2]species_comp_Region1_forR!$AV10,[2]species_comp_Region1_forR!$AX10)</f>
        <v>3.4948741999999998E-2</v>
      </c>
      <c r="G227" s="49">
        <f>IF([2]species_comp_Region1_forR!$H10&gt;49,[2]species_comp_Region1_forR!$AW10,[2]species_comp_Region1_forR!$AY10)</f>
        <v>1.57237E-5</v>
      </c>
      <c r="H227" s="13">
        <f t="shared" si="66"/>
        <v>475.617429878</v>
      </c>
      <c r="I227">
        <f t="shared" si="68"/>
        <v>2912.1059873796999</v>
      </c>
      <c r="J227">
        <f t="shared" si="70"/>
        <v>53.96393228240229</v>
      </c>
      <c r="K227" s="6">
        <f t="shared" si="71"/>
        <v>105.76930727350849</v>
      </c>
      <c r="M227" s="2">
        <f>'rockfish harvests'!O235</f>
        <v>5115.01153445198</v>
      </c>
      <c r="N227">
        <f>'rockfish harvests'!P235</f>
        <v>2911485.1530098896</v>
      </c>
      <c r="O227">
        <f>IF([2]species_comp_Region1_forR!$D32&gt;49,[2]species_comp_Region1_forR!$AR32,[2]species_comp_Region1_forR!$AT32)</f>
        <v>3.2818532999999997E-2</v>
      </c>
      <c r="P227">
        <f>IF([2]species_comp_Region1_forR!$D32&gt;49,[2]species_comp_Region1_forR!$AS32,[2]species_comp_Region1_forR!$AU32)</f>
        <v>6.1395499999999999E-5</v>
      </c>
      <c r="Q227" s="13">
        <f t="shared" si="61"/>
        <v>167.86717483879292</v>
      </c>
      <c r="R227" s="14">
        <f t="shared" si="62"/>
        <v>4563.3923064889059</v>
      </c>
      <c r="S227">
        <f t="shared" si="72"/>
        <v>67.552885256581789</v>
      </c>
      <c r="T227" s="6">
        <f t="shared" si="73"/>
        <v>132.4036551029003</v>
      </c>
      <c r="V227" s="13">
        <f t="shared" si="69"/>
        <v>643.48460471679289</v>
      </c>
      <c r="W227">
        <f t="shared" si="69"/>
        <v>7475.4982938686062</v>
      </c>
      <c r="X227">
        <f t="shared" si="74"/>
        <v>86.460963988777081</v>
      </c>
      <c r="Y227" s="6">
        <f t="shared" si="75"/>
        <v>169.46348941800306</v>
      </c>
      <c r="Z227" s="14">
        <f t="shared" si="67"/>
        <v>0.13436368695538542</v>
      </c>
    </row>
    <row r="228" spans="1:26" hidden="1" x14ac:dyDescent="0.25">
      <c r="A228" t="str">
        <f>'rockfish harvests'!A236</f>
        <v>SE</v>
      </c>
      <c r="B228">
        <f>'rockfish harvests'!B236</f>
        <v>2007</v>
      </c>
      <c r="C228" t="str">
        <f>'rockfish harvests'!C236</f>
        <v>CSEO</v>
      </c>
      <c r="D228">
        <f>'rockfish harvests'!D236</f>
        <v>38443</v>
      </c>
      <c r="E228">
        <f>'YE harvest'!E237</f>
        <v>14388</v>
      </c>
      <c r="F228">
        <f>IF([2]species_comp_Region1_forR!$H11&gt;49,[2]species_comp_Region1_forR!$AV11,[2]species_comp_Region1_forR!$AX11)</f>
        <v>4.3135192000000003E-2</v>
      </c>
      <c r="G228" s="49">
        <f>IF([2]species_comp_Region1_forR!$H11&gt;49,[2]species_comp_Region1_forR!$AW11,[2]species_comp_Region1_forR!$AY11)</f>
        <v>2.1723399999999999E-5</v>
      </c>
      <c r="H228" s="13">
        <f t="shared" si="66"/>
        <v>620.62914249599999</v>
      </c>
      <c r="I228">
        <f t="shared" si="68"/>
        <v>4497.0597451295998</v>
      </c>
      <c r="J228">
        <f t="shared" si="70"/>
        <v>67.060120378132339</v>
      </c>
      <c r="K228" s="6">
        <f t="shared" si="71"/>
        <v>131.43783594113938</v>
      </c>
      <c r="M228" s="2">
        <f>'rockfish harvests'!O236</f>
        <v>5826.6086410731732</v>
      </c>
      <c r="N228">
        <f>'rockfish harvests'!P236</f>
        <v>3777922.4788372577</v>
      </c>
      <c r="O228">
        <f>IF([2]species_comp_Region1_forR!$D33&gt;49,[2]species_comp_Region1_forR!$AR33,[2]species_comp_Region1_forR!$AT33)</f>
        <v>1.4044944E-2</v>
      </c>
      <c r="P228">
        <f>IF([2]species_comp_Region1_forR!$D33&gt;49,[2]species_comp_Region1_forR!$AS33,[2]species_comp_Region1_forR!$AU33)</f>
        <v>3.9007600000000002E-5</v>
      </c>
      <c r="Q228" s="13">
        <f t="shared" si="61"/>
        <v>81.83439207378882</v>
      </c>
      <c r="R228" s="14">
        <f t="shared" si="62"/>
        <v>1922.1503839632981</v>
      </c>
      <c r="S228">
        <f t="shared" si="72"/>
        <v>43.842335521312023</v>
      </c>
      <c r="T228" s="6">
        <f t="shared" si="73"/>
        <v>85.930977621771561</v>
      </c>
      <c r="V228" s="13">
        <f t="shared" si="69"/>
        <v>702.46353456978886</v>
      </c>
      <c r="W228">
        <f t="shared" si="69"/>
        <v>6419.2101290928977</v>
      </c>
      <c r="X228">
        <f t="shared" si="74"/>
        <v>80.119973346805963</v>
      </c>
      <c r="Y228" s="6">
        <f t="shared" si="75"/>
        <v>157.03514775973969</v>
      </c>
      <c r="Z228" s="14">
        <f t="shared" si="67"/>
        <v>0.114055704536854</v>
      </c>
    </row>
    <row r="229" spans="1:26" hidden="1" x14ac:dyDescent="0.25">
      <c r="A229" t="str">
        <f>'rockfish harvests'!A237</f>
        <v>SE</v>
      </c>
      <c r="B229">
        <f>'rockfish harvests'!B237</f>
        <v>2008</v>
      </c>
      <c r="C229" t="str">
        <f>'rockfish harvests'!C237</f>
        <v>CSEO</v>
      </c>
      <c r="D229">
        <f>'rockfish harvests'!D237</f>
        <v>52901</v>
      </c>
      <c r="E229">
        <f>'YE harvest'!E238</f>
        <v>15276</v>
      </c>
      <c r="F229">
        <f>IF([2]species_comp_Region1_forR!$H12&gt;49,[2]species_comp_Region1_forR!$AV12,[2]species_comp_Region1_forR!$AX12)</f>
        <v>8.0645161000000007E-2</v>
      </c>
      <c r="G229" s="49">
        <f>IF([2]species_comp_Region1_forR!$H12&gt;49,[2]species_comp_Region1_forR!$AW12,[2]species_comp_Region1_forR!$AY12)</f>
        <v>3.5188200000000003E-5</v>
      </c>
      <c r="H229" s="13">
        <f t="shared" si="66"/>
        <v>1231.9354794360002</v>
      </c>
      <c r="I229">
        <f t="shared" si="68"/>
        <v>8211.3837923232004</v>
      </c>
      <c r="J229">
        <f t="shared" si="70"/>
        <v>90.616686059043232</v>
      </c>
      <c r="K229" s="6">
        <f t="shared" si="71"/>
        <v>177.60870467572474</v>
      </c>
      <c r="M229" s="2">
        <f>'rockfish harvests'!O237</f>
        <v>8017.9336607812002</v>
      </c>
      <c r="N229">
        <f>'rockfish harvests'!P237</f>
        <v>7153955.9598475369</v>
      </c>
      <c r="O229">
        <f>IF([2]species_comp_Region1_forR!$D34&gt;49,[2]species_comp_Region1_forR!$AR34,[2]species_comp_Region1_forR!$AT34)</f>
        <v>1.5209125E-2</v>
      </c>
      <c r="P229">
        <f>IF([2]species_comp_Region1_forR!$D34&gt;49,[2]species_comp_Region1_forR!$AS34,[2]species_comp_Region1_forR!$AU34)</f>
        <v>2.8529200000000001E-5</v>
      </c>
      <c r="Q229" s="13">
        <f t="shared" si="61"/>
        <v>121.94575528852887</v>
      </c>
      <c r="R229" s="14">
        <f t="shared" si="62"/>
        <v>3284.8025510304924</v>
      </c>
      <c r="S229">
        <f t="shared" si="72"/>
        <v>57.313197005842312</v>
      </c>
      <c r="T229" s="6">
        <f t="shared" si="73"/>
        <v>112.33386613145093</v>
      </c>
      <c r="V229" s="13">
        <f t="shared" si="69"/>
        <v>1353.8812347245291</v>
      </c>
      <c r="W229">
        <f t="shared" si="69"/>
        <v>11496.186343353693</v>
      </c>
      <c r="X229">
        <f t="shared" si="74"/>
        <v>107.22027020742716</v>
      </c>
      <c r="Y229" s="6">
        <f t="shared" si="75"/>
        <v>210.15172960655724</v>
      </c>
      <c r="Z229" s="14">
        <f t="shared" si="67"/>
        <v>7.9194738399076051E-2</v>
      </c>
    </row>
    <row r="230" spans="1:26" hidden="1" x14ac:dyDescent="0.25">
      <c r="A230" t="str">
        <f>'rockfish harvests'!A238</f>
        <v>SE</v>
      </c>
      <c r="B230">
        <f>'rockfish harvests'!B238</f>
        <v>2009</v>
      </c>
      <c r="C230" t="str">
        <f>'rockfish harvests'!C238</f>
        <v>CSEO</v>
      </c>
      <c r="D230">
        <f>'rockfish harvests'!D238</f>
        <v>31717</v>
      </c>
      <c r="E230">
        <f>'YE harvest'!E239</f>
        <v>9427</v>
      </c>
      <c r="F230">
        <f>IF([2]species_comp_Region1_forR!$H13&gt;49,[2]species_comp_Region1_forR!$AV13,[2]species_comp_Region1_forR!$AX13)</f>
        <v>4.0901502999999999E-2</v>
      </c>
      <c r="G230" s="49">
        <f>IF([2]species_comp_Region1_forR!$H13&gt;49,[2]species_comp_Region1_forR!$AW13,[2]species_comp_Region1_forR!$AY13)</f>
        <v>3.2772399999999998E-5</v>
      </c>
      <c r="H230" s="13">
        <f t="shared" si="66"/>
        <v>385.57846878099997</v>
      </c>
      <c r="I230">
        <f t="shared" si="68"/>
        <v>2912.4284253195997</v>
      </c>
      <c r="J230">
        <f t="shared" si="70"/>
        <v>53.966919731624479</v>
      </c>
      <c r="K230" s="6">
        <f t="shared" si="71"/>
        <v>105.77516267398397</v>
      </c>
      <c r="M230" s="2">
        <f>'rockfish harvests'!O238</f>
        <v>4807.1832653257516</v>
      </c>
      <c r="N230">
        <f>'rockfish harvests'!P238</f>
        <v>2571595.7734261826</v>
      </c>
      <c r="O230">
        <f>IF([2]species_comp_Region1_forR!$D35&gt;49,[2]species_comp_Region1_forR!$AR35,[2]species_comp_Region1_forR!$AT35)</f>
        <v>1.0256410000000001E-2</v>
      </c>
      <c r="P230">
        <f>IF([2]species_comp_Region1_forR!$D35&gt;49,[2]species_comp_Region1_forR!$AS35,[2]species_comp_Region1_forR!$AU35)</f>
        <v>2.6095700000000002E-5</v>
      </c>
      <c r="Q230" s="13">
        <f t="shared" si="61"/>
        <v>49.304442514319696</v>
      </c>
      <c r="R230" s="14">
        <f t="shared" si="62"/>
        <v>806.45453228028214</v>
      </c>
      <c r="S230">
        <f t="shared" si="72"/>
        <v>28.398143113243904</v>
      </c>
      <c r="T230" s="6">
        <f t="shared" si="73"/>
        <v>55.660360501958053</v>
      </c>
      <c r="V230" s="13">
        <f t="shared" si="69"/>
        <v>434.88291129531967</v>
      </c>
      <c r="W230">
        <f t="shared" si="69"/>
        <v>3718.8829575998816</v>
      </c>
      <c r="X230">
        <f t="shared" si="74"/>
        <v>60.982644724543405</v>
      </c>
      <c r="Y230" s="6">
        <f t="shared" si="75"/>
        <v>119.52598366010507</v>
      </c>
      <c r="Z230" s="14">
        <f t="shared" si="67"/>
        <v>0.14022773289229432</v>
      </c>
    </row>
    <row r="231" spans="1:26" hidden="1" x14ac:dyDescent="0.25">
      <c r="A231" t="str">
        <f>'rockfish harvests'!A239</f>
        <v>SE</v>
      </c>
      <c r="B231">
        <f>'rockfish harvests'!B239</f>
        <v>2010</v>
      </c>
      <c r="C231" t="str">
        <f>'rockfish harvests'!C239</f>
        <v>CSEO</v>
      </c>
      <c r="D231">
        <f>'rockfish harvests'!D239</f>
        <v>43813</v>
      </c>
      <c r="E231">
        <f>'YE harvest'!E240</f>
        <v>13028</v>
      </c>
      <c r="F231">
        <f>IF([2]species_comp_Region1_forR!$H14&gt;49,[2]species_comp_Region1_forR!$AV14,[2]species_comp_Region1_forR!$AX14)</f>
        <v>8.8066931000000001E-2</v>
      </c>
      <c r="G231" s="49">
        <f>IF([2]species_comp_Region1_forR!$H14&gt;49,[2]species_comp_Region1_forR!$AW14,[2]species_comp_Region1_forR!$AY14)</f>
        <v>3.5379400000000002E-5</v>
      </c>
      <c r="H231" s="13">
        <f t="shared" si="66"/>
        <v>1147.3359770679999</v>
      </c>
      <c r="I231">
        <f t="shared" si="68"/>
        <v>6004.9025406496003</v>
      </c>
      <c r="J231">
        <f t="shared" si="70"/>
        <v>77.491306226244504</v>
      </c>
      <c r="K231" s="6">
        <f t="shared" si="71"/>
        <v>151.88296020343921</v>
      </c>
      <c r="M231" s="2">
        <f>'rockfish harvests'!O239</f>
        <v>6640.5120409785595</v>
      </c>
      <c r="N231">
        <f>'rockfish harvests'!P239</f>
        <v>4907095.1826566225</v>
      </c>
      <c r="O231">
        <f>IF([2]species_comp_Region1_forR!$D36&gt;49,[2]species_comp_Region1_forR!$AR36,[2]species_comp_Region1_forR!$AT36)</f>
        <v>2.530253E-2</v>
      </c>
      <c r="P231">
        <f>IF([2]species_comp_Region1_forR!$D36&gt;49,[2]species_comp_Region1_forR!$AS36,[2]species_comp_Region1_forR!$AU36)</f>
        <v>2.71611E-5</v>
      </c>
      <c r="Q231" s="13">
        <f t="shared" si="61"/>
        <v>168.02175513222124</v>
      </c>
      <c r="R231" s="14">
        <f t="shared" si="62"/>
        <v>4206.0354149810391</v>
      </c>
      <c r="S231">
        <f t="shared" si="72"/>
        <v>64.853954505342529</v>
      </c>
      <c r="T231" s="6">
        <f t="shared" si="73"/>
        <v>127.11375083047136</v>
      </c>
      <c r="V231" s="13">
        <f t="shared" si="69"/>
        <v>1315.3577322002211</v>
      </c>
      <c r="W231">
        <f t="shared" si="69"/>
        <v>10210.937955630639</v>
      </c>
      <c r="X231">
        <f t="shared" si="74"/>
        <v>101.04918582369004</v>
      </c>
      <c r="Y231" s="6">
        <f t="shared" si="75"/>
        <v>198.05640421443246</v>
      </c>
      <c r="Z231" s="14">
        <f t="shared" si="67"/>
        <v>7.6822588524768365E-2</v>
      </c>
    </row>
    <row r="232" spans="1:26" hidden="1" x14ac:dyDescent="0.25">
      <c r="A232" t="str">
        <f>'rockfish harvests'!A240</f>
        <v>SE</v>
      </c>
      <c r="B232">
        <f>'rockfish harvests'!B240</f>
        <v>2011</v>
      </c>
      <c r="C232" t="str">
        <f>'rockfish harvests'!C240</f>
        <v>CSEO</v>
      </c>
      <c r="D232">
        <f>'rockfish harvests'!D240</f>
        <v>58843</v>
      </c>
      <c r="E232">
        <f>'YE harvest'!E241</f>
        <v>12339</v>
      </c>
      <c r="F232">
        <f>IF([2]species_comp_Region1_forR!$H15&gt;49,[2]species_comp_Region1_forR!$AV15,[2]species_comp_Region1_forR!$AX15)</f>
        <v>0.124932687</v>
      </c>
      <c r="G232" s="49">
        <f>IF([2]species_comp_Region1_forR!$H15&gt;49,[2]species_comp_Region1_forR!$AW15,[2]species_comp_Region1_forR!$AY15)</f>
        <v>5.8903300000000002E-5</v>
      </c>
      <c r="H232" s="13">
        <f t="shared" si="66"/>
        <v>1541.544424893</v>
      </c>
      <c r="I232">
        <f t="shared" si="68"/>
        <v>8968.0816749392998</v>
      </c>
      <c r="J232">
        <f t="shared" si="70"/>
        <v>94.699956045075865</v>
      </c>
      <c r="K232" s="6">
        <f t="shared" si="71"/>
        <v>185.61191384834871</v>
      </c>
      <c r="M232" s="2">
        <f>'rockfish harvests'!O240</f>
        <v>9637.9680383923114</v>
      </c>
      <c r="N232">
        <f>'rockfish harvests'!P240</f>
        <v>7141508.8030922944</v>
      </c>
      <c r="O232">
        <f>IF([2]species_comp_Region1_forR!$D37&gt;49,[2]species_comp_Region1_forR!$AR37,[2]species_comp_Region1_forR!$AT37)</f>
        <v>4.9019607999999999E-2</v>
      </c>
      <c r="P232">
        <f>IF([2]species_comp_Region1_forR!$D37&gt;49,[2]species_comp_Region1_forR!$AS37,[2]species_comp_Region1_forR!$AU37)</f>
        <v>6.5381000000000003E-5</v>
      </c>
      <c r="Q232" s="13">
        <f t="shared" si="61"/>
        <v>472.44941515852003</v>
      </c>
      <c r="R232" s="14">
        <f t="shared" si="62"/>
        <v>22766.838471066578</v>
      </c>
      <c r="S232">
        <f t="shared" si="72"/>
        <v>150.88683995321321</v>
      </c>
      <c r="T232" s="6">
        <f t="shared" si="73"/>
        <v>295.73820630829789</v>
      </c>
      <c r="V232" s="13">
        <f t="shared" si="69"/>
        <v>2013.99384005152</v>
      </c>
      <c r="W232">
        <f t="shared" si="69"/>
        <v>31734.920146005876</v>
      </c>
      <c r="X232">
        <f t="shared" si="74"/>
        <v>178.14297669570325</v>
      </c>
      <c r="Y232" s="6">
        <f t="shared" si="75"/>
        <v>349.16023432357838</v>
      </c>
      <c r="Z232" s="14">
        <f t="shared" si="67"/>
        <v>8.8452592631140414E-2</v>
      </c>
    </row>
    <row r="233" spans="1:26" hidden="1" x14ac:dyDescent="0.25">
      <c r="A233" t="str">
        <f>'rockfish harvests'!A241</f>
        <v>SE</v>
      </c>
      <c r="B233">
        <f>'rockfish harvests'!B241</f>
        <v>2012</v>
      </c>
      <c r="C233" t="str">
        <f>'rockfish harvests'!C241</f>
        <v>CSEO</v>
      </c>
      <c r="D233">
        <f>'rockfish harvests'!D241</f>
        <v>57675</v>
      </c>
      <c r="E233">
        <f>'YE harvest'!E242</f>
        <v>14295</v>
      </c>
      <c r="F233">
        <f>IF([2]species_comp_Region1_forR!$H16&gt;49,[2]species_comp_Region1_forR!$AV16,[2]species_comp_Region1_forR!$AX16)</f>
        <v>9.8330240999999999E-2</v>
      </c>
      <c r="G233" s="49">
        <f>IF([2]species_comp_Region1_forR!$H16&gt;49,[2]species_comp_Region1_forR!$AW16,[2]species_comp_Region1_forR!$AY16)</f>
        <v>4.1142200000000001E-5</v>
      </c>
      <c r="H233" s="13">
        <f t="shared" si="66"/>
        <v>1405.6307950949999</v>
      </c>
      <c r="I233">
        <f t="shared" si="68"/>
        <v>8407.2861719550001</v>
      </c>
      <c r="J233">
        <f t="shared" si="70"/>
        <v>91.691254609995383</v>
      </c>
      <c r="K233" s="6">
        <f t="shared" si="71"/>
        <v>179.71485903559093</v>
      </c>
      <c r="M233" s="2">
        <f>'rockfish harvests'!O241</f>
        <v>6152.5876396981548</v>
      </c>
      <c r="N233">
        <f>'rockfish harvests'!P241</f>
        <v>1027468.7062518544</v>
      </c>
      <c r="O233">
        <f>IF([2]species_comp_Region1_forR!$D38&gt;49,[2]species_comp_Region1_forR!$AR38,[2]species_comp_Region1_forR!$AT38)</f>
        <v>4.1853513000000002E-2</v>
      </c>
      <c r="P233">
        <f>IF([2]species_comp_Region1_forR!$D38&gt;49,[2]species_comp_Region1_forR!$AS38,[2]species_comp_Region1_forR!$AU38)</f>
        <v>6.0032599999999998E-5</v>
      </c>
      <c r="Q233" s="13">
        <f t="shared" si="61"/>
        <v>257.50740676174604</v>
      </c>
      <c r="R233" s="14">
        <f t="shared" si="62"/>
        <v>4010.6464511068566</v>
      </c>
      <c r="S233">
        <f t="shared" si="72"/>
        <v>63.329664858633642</v>
      </c>
      <c r="T233" s="6">
        <f t="shared" si="73"/>
        <v>124.12614312292193</v>
      </c>
      <c r="V233" s="13">
        <f t="shared" si="69"/>
        <v>1663.138201856746</v>
      </c>
      <c r="W233">
        <f t="shared" si="69"/>
        <v>12417.932623061857</v>
      </c>
      <c r="X233">
        <f t="shared" si="74"/>
        <v>111.43577802062431</v>
      </c>
      <c r="Y233" s="6">
        <f t="shared" si="75"/>
        <v>218.41412492042366</v>
      </c>
      <c r="Z233" s="14">
        <f t="shared" si="67"/>
        <v>6.7003318122460395E-2</v>
      </c>
    </row>
    <row r="234" spans="1:26" hidden="1" x14ac:dyDescent="0.25">
      <c r="A234" t="str">
        <f>'rockfish harvests'!A242</f>
        <v>SE</v>
      </c>
      <c r="B234">
        <f>'rockfish harvests'!B242</f>
        <v>2013</v>
      </c>
      <c r="C234" t="str">
        <f>'rockfish harvests'!C242</f>
        <v>CSEO</v>
      </c>
      <c r="D234">
        <f>'rockfish harvests'!D242</f>
        <v>60735</v>
      </c>
      <c r="E234">
        <f>'YE harvest'!E243</f>
        <v>12452</v>
      </c>
      <c r="F234">
        <f>IF([2]species_comp_Region1_forR!$H17&gt;49,[2]species_comp_Region1_forR!$AV17,[2]species_comp_Region1_forR!$AX17)</f>
        <v>0.15886699500000001</v>
      </c>
      <c r="G234" s="49">
        <f>IF([2]species_comp_Region1_forR!$H17&gt;49,[2]species_comp_Region1_forR!$AW17,[2]species_comp_Region1_forR!$AY17)</f>
        <v>5.4878099999999999E-5</v>
      </c>
      <c r="H234" s="13">
        <f t="shared" si="66"/>
        <v>1978.2118217400002</v>
      </c>
      <c r="I234">
        <f t="shared" si="68"/>
        <v>8508.9758441424001</v>
      </c>
      <c r="J234">
        <f t="shared" si="70"/>
        <v>92.244110078326415</v>
      </c>
      <c r="K234" s="6">
        <f t="shared" si="71"/>
        <v>180.79845575351976</v>
      </c>
      <c r="M234" s="2">
        <f>'rockfish harvests'!O242</f>
        <v>9629.9871638141776</v>
      </c>
      <c r="N234">
        <f>'rockfish harvests'!P242</f>
        <v>3833914.1323344847</v>
      </c>
      <c r="O234">
        <f>IF([2]species_comp_Region1_forR!$D39&gt;49,[2]species_comp_Region1_forR!$AR39,[2]species_comp_Region1_forR!$AT39)</f>
        <v>4.6840959000000001E-2</v>
      </c>
      <c r="P234">
        <f>IF([2]species_comp_Region1_forR!$D39&gt;49,[2]species_comp_Region1_forR!$AS39,[2]species_comp_Region1_forR!$AU39)</f>
        <v>4.8687999999999999E-5</v>
      </c>
      <c r="Q234" s="13">
        <f t="shared" si="61"/>
        <v>451.07783391074616</v>
      </c>
      <c r="R234" s="14">
        <f t="shared" si="62"/>
        <v>12740.393376021231</v>
      </c>
      <c r="S234">
        <f t="shared" si="72"/>
        <v>112.87335104452792</v>
      </c>
      <c r="T234" s="6">
        <f t="shared" si="73"/>
        <v>221.23176804727473</v>
      </c>
      <c r="V234" s="13">
        <f t="shared" si="69"/>
        <v>2429.2896556507462</v>
      </c>
      <c r="W234">
        <f t="shared" si="69"/>
        <v>21249.36922016363</v>
      </c>
      <c r="X234">
        <f t="shared" si="74"/>
        <v>145.77163379808718</v>
      </c>
      <c r="Y234" s="6">
        <f t="shared" si="75"/>
        <v>285.71240224425088</v>
      </c>
      <c r="Z234" s="14">
        <f t="shared" si="67"/>
        <v>6.0005867747804073E-2</v>
      </c>
    </row>
    <row r="235" spans="1:26" hidden="1" x14ac:dyDescent="0.25">
      <c r="A235" t="str">
        <f>'rockfish harvests'!A243</f>
        <v>SE</v>
      </c>
      <c r="B235">
        <f>'rockfish harvests'!B243</f>
        <v>2014</v>
      </c>
      <c r="C235" t="str">
        <f>'rockfish harvests'!C243</f>
        <v>CSEO</v>
      </c>
      <c r="D235">
        <f>'rockfish harvests'!D243</f>
        <v>73709</v>
      </c>
      <c r="E235">
        <f>'YE harvest'!E244</f>
        <v>13508</v>
      </c>
      <c r="F235">
        <f>IF([2]species_comp_Region1_forR!$H18&gt;49,[2]species_comp_Region1_forR!$AV18,[2]species_comp_Region1_forR!$AX18)</f>
        <v>0.219897959</v>
      </c>
      <c r="G235" s="49">
        <f>IF([2]species_comp_Region1_forR!$H18&gt;49,[2]species_comp_Region1_forR!$AW18,[2]species_comp_Region1_forR!$AY18)</f>
        <v>8.7566500000000003E-5</v>
      </c>
      <c r="H235" s="13">
        <f t="shared" si="66"/>
        <v>2970.3816301719999</v>
      </c>
      <c r="I235">
        <f t="shared" si="68"/>
        <v>15977.914593256</v>
      </c>
      <c r="J235">
        <f t="shared" si="70"/>
        <v>126.40377602451598</v>
      </c>
      <c r="K235" s="6">
        <f t="shared" si="71"/>
        <v>247.75140100805132</v>
      </c>
      <c r="M235" s="2">
        <f>'rockfish harvests'!O243</f>
        <v>12999.052896462119</v>
      </c>
      <c r="N235">
        <f>'rockfish harvests'!P243</f>
        <v>10006306.818414057</v>
      </c>
      <c r="O235">
        <f>IF([2]species_comp_Region1_forR!$D40&gt;49,[2]species_comp_Region1_forR!$AR40,[2]species_comp_Region1_forR!$AT40)</f>
        <v>7.9245283E-2</v>
      </c>
      <c r="P235">
        <f>IF([2]species_comp_Region1_forR!$D40&gt;49,[2]species_comp_Region1_forR!$AS40,[2]species_comp_Region1_forR!$AU40)</f>
        <v>6.8900300000000002E-5</v>
      </c>
      <c r="Q235" s="13">
        <f t="shared" si="61"/>
        <v>1030.1136255121103</v>
      </c>
      <c r="R235" s="14">
        <f t="shared" si="62"/>
        <v>73790.771001066736</v>
      </c>
      <c r="S235">
        <f t="shared" si="72"/>
        <v>271.64456740576782</v>
      </c>
      <c r="T235" s="6">
        <f t="shared" si="73"/>
        <v>532.42335211530497</v>
      </c>
      <c r="V235" s="13">
        <f t="shared" si="69"/>
        <v>4000.4952556841099</v>
      </c>
      <c r="W235">
        <f t="shared" si="69"/>
        <v>89768.685594322742</v>
      </c>
      <c r="X235">
        <f t="shared" si="74"/>
        <v>299.61422795708944</v>
      </c>
      <c r="Y235" s="6">
        <f t="shared" si="75"/>
        <v>587.24388679589526</v>
      </c>
      <c r="Z235" s="14">
        <f t="shared" si="67"/>
        <v>7.4894284034303524E-2</v>
      </c>
    </row>
    <row r="236" spans="1:26" hidden="1" x14ac:dyDescent="0.25">
      <c r="A236" t="str">
        <f>'rockfish harvests'!A244</f>
        <v>SE</v>
      </c>
      <c r="B236">
        <f>'rockfish harvests'!B244</f>
        <v>2015</v>
      </c>
      <c r="C236" t="str">
        <f>'rockfish harvests'!C244</f>
        <v>CSEO</v>
      </c>
      <c r="D236">
        <f>'rockfish harvests'!D244</f>
        <v>80105</v>
      </c>
      <c r="E236">
        <f>'YE harvest'!E245</f>
        <v>16888</v>
      </c>
      <c r="F236">
        <f>IF([2]species_comp_Region1_forR!$H19&gt;49,[2]species_comp_Region1_forR!$AV19,[2]species_comp_Region1_forR!$AX19)</f>
        <v>0.136752137</v>
      </c>
      <c r="G236" s="49">
        <f>IF([2]species_comp_Region1_forR!$H19&gt;49,[2]species_comp_Region1_forR!$AW19,[2]species_comp_Region1_forR!$AY19)</f>
        <v>4.3885099999999998E-5</v>
      </c>
      <c r="H236" s="13">
        <f t="shared" si="66"/>
        <v>2309.4700896559998</v>
      </c>
      <c r="I236">
        <f t="shared" si="68"/>
        <v>12516.229933894399</v>
      </c>
      <c r="J236">
        <f t="shared" si="70"/>
        <v>111.87595780101459</v>
      </c>
      <c r="K236" s="6">
        <f t="shared" si="71"/>
        <v>219.27687728998859</v>
      </c>
      <c r="M236" s="2">
        <f>'rockfish harvests'!O244</f>
        <v>8154.5459903117735</v>
      </c>
      <c r="N236">
        <f>'rockfish harvests'!P244</f>
        <v>3137762.110543259</v>
      </c>
      <c r="O236">
        <f>IF([2]species_comp_Region1_forR!$D41&gt;49,[2]species_comp_Region1_forR!$AR41,[2]species_comp_Region1_forR!$AT41)</f>
        <v>4.3111528000000003E-2</v>
      </c>
      <c r="P236">
        <f>IF([2]species_comp_Region1_forR!$D41&gt;49,[2]species_comp_Region1_forR!$AS41,[2]species_comp_Region1_forR!$AU41)</f>
        <v>3.8698800000000003E-5</v>
      </c>
      <c r="Q236" s="13">
        <f t="shared" si="61"/>
        <v>351.55493778861376</v>
      </c>
      <c r="R236" s="14">
        <f t="shared" si="62"/>
        <v>8283.7685096572823</v>
      </c>
      <c r="S236">
        <f t="shared" si="72"/>
        <v>91.015210320348558</v>
      </c>
      <c r="T236" s="6">
        <f t="shared" si="73"/>
        <v>178.38981222788317</v>
      </c>
      <c r="V236" s="13">
        <f t="shared" si="69"/>
        <v>2661.0250274446134</v>
      </c>
      <c r="W236">
        <f t="shared" si="69"/>
        <v>20799.998443551682</v>
      </c>
      <c r="X236">
        <f t="shared" si="74"/>
        <v>144.22204562254581</v>
      </c>
      <c r="Y236" s="6">
        <f t="shared" si="75"/>
        <v>282.67520942018979</v>
      </c>
      <c r="Z236" s="14">
        <f t="shared" si="67"/>
        <v>5.4197929044298564E-2</v>
      </c>
    </row>
    <row r="237" spans="1:26" hidden="1" x14ac:dyDescent="0.25">
      <c r="A237" t="str">
        <f>'rockfish harvests'!A245</f>
        <v>SE</v>
      </c>
      <c r="B237">
        <f>'rockfish harvests'!B245</f>
        <v>2016</v>
      </c>
      <c r="C237" t="str">
        <f>'rockfish harvests'!C245</f>
        <v>CSEO</v>
      </c>
      <c r="D237">
        <f>'rockfish harvests'!D245</f>
        <v>54908</v>
      </c>
      <c r="E237">
        <f>'YE harvest'!E246</f>
        <v>12620</v>
      </c>
      <c r="F237">
        <f>IF([2]species_comp_Region1_forR!$H20&gt;49,[2]species_comp_Region1_forR!$AV20,[2]species_comp_Region1_forR!$AX20)</f>
        <v>0.132767099</v>
      </c>
      <c r="G237" s="49">
        <f>IF([2]species_comp_Region1_forR!$H20&gt;49,[2]species_comp_Region1_forR!$AW20,[2]species_comp_Region1_forR!$AY20)</f>
        <v>5.1493699999999998E-5</v>
      </c>
      <c r="H237" s="13">
        <f t="shared" si="66"/>
        <v>1675.52078938</v>
      </c>
      <c r="I237">
        <f t="shared" si="68"/>
        <v>8201.1132342799992</v>
      </c>
      <c r="J237">
        <f t="shared" si="70"/>
        <v>90.559997980786193</v>
      </c>
      <c r="K237" s="6">
        <f t="shared" si="71"/>
        <v>177.49759604234094</v>
      </c>
      <c r="M237" s="2">
        <f>'rockfish harvests'!O245</f>
        <v>8439.7721422199611</v>
      </c>
      <c r="N237">
        <f>'rockfish harvests'!P245</f>
        <v>2423165.6191606135</v>
      </c>
      <c r="O237">
        <f>IF([2]species_comp_Region1_forR!$D42&gt;49,[2]species_comp_Region1_forR!$AR42,[2]species_comp_Region1_forR!$AT42)</f>
        <v>7.3378840000000001E-2</v>
      </c>
      <c r="P237">
        <f>IF([2]species_comp_Region1_forR!$D42&gt;49,[2]species_comp_Region1_forR!$AS42,[2]species_comp_Region1_forR!$AU42)</f>
        <v>5.8065200000000001E-5</v>
      </c>
      <c r="Q237" s="13">
        <f t="shared" si="61"/>
        <v>619.30068966041574</v>
      </c>
      <c r="R237" s="14">
        <f t="shared" si="62"/>
        <v>17042.692502611124</v>
      </c>
      <c r="S237">
        <f t="shared" si="72"/>
        <v>130.54766371946732</v>
      </c>
      <c r="T237" s="6">
        <f t="shared" si="73"/>
        <v>255.87342089015596</v>
      </c>
      <c r="V237" s="13">
        <f t="shared" si="69"/>
        <v>2294.8214790404159</v>
      </c>
      <c r="W237">
        <f t="shared" si="69"/>
        <v>25243.805736891125</v>
      </c>
      <c r="X237">
        <f t="shared" si="74"/>
        <v>158.88299385677223</v>
      </c>
      <c r="Y237" s="6">
        <f t="shared" si="75"/>
        <v>311.41066795927355</v>
      </c>
      <c r="Z237" s="14">
        <f t="shared" si="67"/>
        <v>6.9235448294308916E-2</v>
      </c>
    </row>
    <row r="238" spans="1:26" hidden="1" x14ac:dyDescent="0.25">
      <c r="A238" t="str">
        <f>'rockfish harvests'!A246</f>
        <v>SE</v>
      </c>
      <c r="B238">
        <f>'rockfish harvests'!B246</f>
        <v>2017</v>
      </c>
      <c r="C238" t="str">
        <f>'rockfish harvests'!C246</f>
        <v>CSEO</v>
      </c>
      <c r="D238">
        <f>'rockfish harvests'!D246</f>
        <v>57388</v>
      </c>
      <c r="E238">
        <f>'YE harvest'!E247</f>
        <v>11329</v>
      </c>
      <c r="F238">
        <f>IF([2]species_comp_Region1_forR!$H21&gt;49,[2]species_comp_Region1_forR!$AV21,[2]species_comp_Region1_forR!$AX21)</f>
        <v>0.20341614899999999</v>
      </c>
      <c r="G238" s="49">
        <f>IF([2]species_comp_Region1_forR!$H21&gt;49,[2]species_comp_Region1_forR!$AW21,[2]species_comp_Region1_forR!$AY21)</f>
        <v>8.3913999999999997E-5</v>
      </c>
      <c r="H238" s="13">
        <f t="shared" si="66"/>
        <v>2304.501552021</v>
      </c>
      <c r="I238">
        <f t="shared" si="68"/>
        <v>10770.046467274</v>
      </c>
      <c r="J238">
        <f t="shared" si="70"/>
        <v>103.77883438964807</v>
      </c>
      <c r="K238" s="6">
        <f t="shared" si="71"/>
        <v>203.40651540371022</v>
      </c>
      <c r="M238" s="2">
        <f>'rockfish harvests'!O246</f>
        <v>14552.082903438393</v>
      </c>
      <c r="N238">
        <f>'rockfish harvests'!P246</f>
        <v>13249322.287968032</v>
      </c>
      <c r="O238">
        <f>IF([2]species_comp_Region1_forR!$D43&gt;49,[2]species_comp_Region1_forR!$AR43,[2]species_comp_Region1_forR!$AT43)</f>
        <v>6.6753927000000005E-2</v>
      </c>
      <c r="P238">
        <f>IF([2]species_comp_Region1_forR!$D43&gt;49,[2]species_comp_Region1_forR!$AS43,[2]species_comp_Region1_forR!$AU43)</f>
        <v>8.1648499999999996E-5</v>
      </c>
      <c r="Q238" s="13">
        <f t="shared" si="61"/>
        <v>971.40867983407463</v>
      </c>
      <c r="R238" s="14">
        <f t="shared" si="62"/>
        <v>75248.483311384363</v>
      </c>
      <c r="S238">
        <f t="shared" si="72"/>
        <v>274.31456999471311</v>
      </c>
      <c r="T238" s="6">
        <f t="shared" si="73"/>
        <v>537.65655718963774</v>
      </c>
      <c r="V238" s="13">
        <f t="shared" si="69"/>
        <v>3275.9102318550745</v>
      </c>
      <c r="W238">
        <f t="shared" si="69"/>
        <v>86018.529778658369</v>
      </c>
      <c r="X238">
        <f t="shared" si="74"/>
        <v>293.28915728110093</v>
      </c>
      <c r="Y238" s="6">
        <f t="shared" si="75"/>
        <v>574.84674827095785</v>
      </c>
      <c r="Z238" s="14">
        <f t="shared" si="67"/>
        <v>8.9529058039852893E-2</v>
      </c>
    </row>
    <row r="239" spans="1:26" hidden="1" x14ac:dyDescent="0.25">
      <c r="A239" t="str">
        <f>'rockfish harvests'!A247</f>
        <v>SE</v>
      </c>
      <c r="B239">
        <f>'rockfish harvests'!B247</f>
        <v>2018</v>
      </c>
      <c r="C239" t="str">
        <f>'rockfish harvests'!C247</f>
        <v>CSEO</v>
      </c>
      <c r="D239">
        <f>'rockfish harvests'!D247</f>
        <v>55460</v>
      </c>
      <c r="E239">
        <f>'YE harvest'!E248</f>
        <v>10517</v>
      </c>
      <c r="F239">
        <f>IF([2]species_comp_Region1_forR!$H22&gt;49,[2]species_comp_Region1_forR!$AV22,[2]species_comp_Region1_forR!$AX22)</f>
        <v>0.23470839299999999</v>
      </c>
      <c r="G239" s="49">
        <f>IF([2]species_comp_Region1_forR!$H22&gt;49,[2]species_comp_Region1_forR!$AW22,[2]species_comp_Region1_forR!$AY22)</f>
        <v>8.5208899999999997E-5</v>
      </c>
      <c r="H239" s="13">
        <f t="shared" si="66"/>
        <v>2468.4281691809997</v>
      </c>
      <c r="I239">
        <f t="shared" si="68"/>
        <v>9424.7254276720996</v>
      </c>
      <c r="J239">
        <f t="shared" si="70"/>
        <v>97.081025065004852</v>
      </c>
      <c r="K239" s="6">
        <f t="shared" si="71"/>
        <v>190.27880912740952</v>
      </c>
      <c r="M239" s="2">
        <f>'rockfish harvests'!O247</f>
        <v>6239.0473207200412</v>
      </c>
      <c r="N239">
        <f>'rockfish harvests'!P247</f>
        <v>1305580.4963851175</v>
      </c>
      <c r="O239">
        <f>IF([2]species_comp_Region1_forR!$D44&gt;49,[2]species_comp_Region1_forR!$AR44,[2]species_comp_Region1_forR!$AT44)</f>
        <v>4.0712468000000002E-2</v>
      </c>
      <c r="P239">
        <f>IF([2]species_comp_Region1_forR!$D44&gt;49,[2]species_comp_Region1_forR!$AS44,[2]species_comp_Region1_forR!$AU44)</f>
        <v>4.97515E-5</v>
      </c>
      <c r="Q239" s="13">
        <f t="shared" si="61"/>
        <v>254.00701439530042</v>
      </c>
      <c r="R239" s="14">
        <f t="shared" si="62"/>
        <v>4035.6642129327547</v>
      </c>
      <c r="S239">
        <f t="shared" si="72"/>
        <v>63.526877878050598</v>
      </c>
      <c r="T239" s="6">
        <f t="shared" si="73"/>
        <v>124.51268064097917</v>
      </c>
      <c r="V239" s="13">
        <f t="shared" si="69"/>
        <v>2722.4351835763</v>
      </c>
      <c r="W239" s="14">
        <f>R239+I239</f>
        <v>13460.389640604855</v>
      </c>
      <c r="X239">
        <f t="shared" si="74"/>
        <v>116.01891932182809</v>
      </c>
      <c r="Y239" s="6">
        <f>(1.96*X239)</f>
        <v>227.39708187078307</v>
      </c>
      <c r="Z239" s="14">
        <f t="shared" si="67"/>
        <v>4.2615860984216707E-2</v>
      </c>
    </row>
    <row r="240" spans="1:26" hidden="1" x14ac:dyDescent="0.25">
      <c r="A240" t="str">
        <f>'rockfish harvests'!A248</f>
        <v>SE</v>
      </c>
      <c r="B240">
        <f>'rockfish harvests'!B248</f>
        <v>2019</v>
      </c>
      <c r="C240" t="str">
        <f>'rockfish harvests'!C248</f>
        <v>CSEO</v>
      </c>
      <c r="D240">
        <f>'rockfish harvests'!D248</f>
        <v>59842</v>
      </c>
      <c r="E240">
        <f>'YE harvest'!E249</f>
        <v>8780</v>
      </c>
      <c r="F240">
        <v>9.8395721925133683E-2</v>
      </c>
      <c r="G240" s="49">
        <v>9.4982873481761726E-5</v>
      </c>
      <c r="H240" s="13">
        <f>E240*F240</f>
        <v>863.91443850267376</v>
      </c>
      <c r="I240">
        <f>(E240^2)*G240</f>
        <v>7322.0777441114406</v>
      </c>
      <c r="K240" s="6"/>
      <c r="M240" s="2">
        <f>'rockfish harvests'!O248</f>
        <v>9834.2503043694014</v>
      </c>
      <c r="N240">
        <f>'rockfish harvests'!P248</f>
        <v>3923387.5515685715</v>
      </c>
      <c r="O240">
        <v>2.6845637583892617E-2</v>
      </c>
      <c r="P240">
        <v>3.5114179202428642E-5</v>
      </c>
      <c r="Q240" s="13">
        <f t="shared" ref="Q240:Q242" si="76">M240*O240</f>
        <v>264.00671958038663</v>
      </c>
      <c r="R240" s="14">
        <f t="shared" ref="R240:R242" si="77">(M240^2)*P240+(O240^2)*N240-(P240*N240)</f>
        <v>6085.7521240673859</v>
      </c>
      <c r="S240">
        <f t="shared" ref="S240:S242" si="78">SQRT(R240)</f>
        <v>78.011230756009653</v>
      </c>
      <c r="T240" s="6">
        <f t="shared" ref="T240:T242" si="79">(1.96*S240)</f>
        <v>152.90201228177892</v>
      </c>
      <c r="V240" s="13">
        <f t="shared" ref="V240:V242" si="80">Q240+H240</f>
        <v>1127.9211580830604</v>
      </c>
      <c r="W240" s="14">
        <f>R240+I240</f>
        <v>13407.829868178826</v>
      </c>
      <c r="X240">
        <f t="shared" ref="X240:X242" si="81">SQRT(W240)</f>
        <v>115.79218396843038</v>
      </c>
      <c r="Y240" s="6">
        <f t="shared" ref="Y240:Y242" si="82">(1.96*X240)</f>
        <v>226.95268057812353</v>
      </c>
      <c r="Z240" s="14">
        <f t="shared" ref="Z240:Z242" si="83">X240/V240</f>
        <v>0.10265982080274393</v>
      </c>
    </row>
    <row r="241" spans="1:26" hidden="1" x14ac:dyDescent="0.25">
      <c r="A241" t="str">
        <f>'rockfish harvests'!A249</f>
        <v>SE</v>
      </c>
      <c r="B241">
        <f>'rockfish harvests'!B249</f>
        <v>2020</v>
      </c>
      <c r="C241" t="str">
        <f>'rockfish harvests'!C249</f>
        <v>CSEO</v>
      </c>
      <c r="D241">
        <f>'rockfish harvests'!D249</f>
        <v>24728</v>
      </c>
      <c r="E241">
        <f>'YE harvest'!E250</f>
        <v>824</v>
      </c>
      <c r="F241" t="s">
        <v>244</v>
      </c>
      <c r="G241" t="s">
        <v>215</v>
      </c>
      <c r="H241" s="13">
        <f t="shared" ref="H241" si="84">E241*F241</f>
        <v>817.94117647058783</v>
      </c>
      <c r="I241">
        <f t="shared" ref="I241" si="85">(E241^2)*G241</f>
        <v>1.5510989814318419</v>
      </c>
      <c r="J241">
        <f t="shared" ref="J241" si="86">SQRT(I241)</f>
        <v>1.2454312431571009</v>
      </c>
      <c r="K241" s="6">
        <f t="shared" ref="K241" si="87">(1.96*J241)</f>
        <v>2.4410452365879176</v>
      </c>
      <c r="M241" s="2">
        <f>'rockfish harvests'!O249</f>
        <v>5579.5825129317564</v>
      </c>
      <c r="N241">
        <f>'rockfish harvests'!P249</f>
        <v>3148769.5238355137</v>
      </c>
      <c r="O241" t="s">
        <v>247</v>
      </c>
      <c r="P241" t="s">
        <v>248</v>
      </c>
      <c r="Q241" s="13">
        <f t="shared" si="76"/>
        <v>286.51910201541421</v>
      </c>
      <c r="R241" s="14">
        <f t="shared" si="77"/>
        <v>11997.420157123794</v>
      </c>
      <c r="S241">
        <f t="shared" si="78"/>
        <v>109.53273555026276</v>
      </c>
      <c r="T241" s="6">
        <f t="shared" si="79"/>
        <v>214.68416167851501</v>
      </c>
      <c r="V241" s="13">
        <f t="shared" si="80"/>
        <v>1104.4602784860022</v>
      </c>
      <c r="W241">
        <f t="shared" ref="W241:W242" si="88">R241+I241</f>
        <v>11998.971256105226</v>
      </c>
      <c r="X241">
        <f t="shared" si="81"/>
        <v>109.53981584841753</v>
      </c>
      <c r="Y241" s="6">
        <f t="shared" si="82"/>
        <v>214.69803906289837</v>
      </c>
      <c r="Z241" s="14">
        <f t="shared" si="83"/>
        <v>9.917949787979255E-2</v>
      </c>
    </row>
    <row r="242" spans="1:26" hidden="1" x14ac:dyDescent="0.25">
      <c r="A242" t="str">
        <f>'rockfish harvests'!A250</f>
        <v>SE</v>
      </c>
      <c r="B242">
        <f>'rockfish harvests'!B250</f>
        <v>2021</v>
      </c>
      <c r="C242" t="str">
        <f>'rockfish harvests'!C250</f>
        <v>CSEO</v>
      </c>
      <c r="D242">
        <f>'rockfish harvests'!D250</f>
        <v>56521</v>
      </c>
      <c r="E242">
        <f>'YE harvest'!E251</f>
        <v>2821</v>
      </c>
      <c r="F242" t="s">
        <v>245</v>
      </c>
      <c r="G242" t="s">
        <v>217</v>
      </c>
      <c r="H242" s="13">
        <f>E242*F242</f>
        <v>2776.921875</v>
      </c>
      <c r="I242">
        <f>(E242^2)*G242</f>
        <v>13.326239468860571</v>
      </c>
      <c r="K242" s="6"/>
      <c r="M242" s="2">
        <f>'rockfish harvests'!O250</f>
        <v>6300.3832456916716</v>
      </c>
      <c r="N242">
        <f>'rockfish harvests'!P250</f>
        <v>1468791.0672018982</v>
      </c>
      <c r="O242" t="s">
        <v>249</v>
      </c>
      <c r="P242" t="s">
        <v>250</v>
      </c>
      <c r="Q242" s="13">
        <f t="shared" si="76"/>
        <v>201.07606103271308</v>
      </c>
      <c r="R242" s="14">
        <f t="shared" si="77"/>
        <v>4014.2708164073911</v>
      </c>
      <c r="S242">
        <f t="shared" si="78"/>
        <v>63.358273464539664</v>
      </c>
      <c r="T242" s="6">
        <f t="shared" si="79"/>
        <v>124.18221599049774</v>
      </c>
      <c r="V242" s="13">
        <f t="shared" si="80"/>
        <v>2977.9979360327129</v>
      </c>
      <c r="W242">
        <f t="shared" si="88"/>
        <v>4027.5970558762515</v>
      </c>
      <c r="X242">
        <f t="shared" si="81"/>
        <v>63.463352069334093</v>
      </c>
      <c r="Y242" s="6">
        <f t="shared" si="82"/>
        <v>124.38817005589482</v>
      </c>
      <c r="Z242" s="14">
        <f t="shared" si="83"/>
        <v>2.1310744141710164E-2</v>
      </c>
    </row>
    <row r="243" spans="1:26" hidden="1" x14ac:dyDescent="0.25">
      <c r="A243" t="s">
        <v>151</v>
      </c>
      <c r="B243">
        <v>2022</v>
      </c>
      <c r="C243" t="s">
        <v>42</v>
      </c>
      <c r="D243">
        <f>'rockfish harvests'!D251</f>
        <v>67729</v>
      </c>
      <c r="E243">
        <f>'YE harvest'!E252</f>
        <v>3398</v>
      </c>
      <c r="F243" t="s">
        <v>246</v>
      </c>
      <c r="G243" t="s">
        <v>219</v>
      </c>
      <c r="H243" s="13">
        <f>E243*F243</f>
        <v>3206.1774193548381</v>
      </c>
      <c r="I243">
        <f>(E243^2)*G243</f>
        <v>64.111042070977632</v>
      </c>
      <c r="K243" s="6"/>
      <c r="M243" s="2">
        <f>'rockfish harvests'!O251</f>
        <v>11225.939425595861</v>
      </c>
      <c r="N243">
        <f>'rockfish harvests'!P251</f>
        <v>5307635.0491281012</v>
      </c>
      <c r="O243" t="s">
        <v>251</v>
      </c>
      <c r="P243" t="s">
        <v>252</v>
      </c>
      <c r="Q243" s="13">
        <f t="shared" ref="Q243" si="89">M243*O243</f>
        <v>527.13106868015302</v>
      </c>
      <c r="R243" s="14">
        <f t="shared" ref="R243" si="90">(M243^2)*P243+(O243^2)*N243-(P243*N243)</f>
        <v>21114.293340673761</v>
      </c>
      <c r="S243">
        <f t="shared" ref="S243" si="91">SQRT(R243)</f>
        <v>145.30758184167047</v>
      </c>
      <c r="T243" s="6"/>
      <c r="V243" s="13">
        <f t="shared" ref="V243" si="92">Q243+H243</f>
        <v>3733.3084880349911</v>
      </c>
      <c r="W243">
        <f t="shared" ref="W243" si="93">R243+I243</f>
        <v>21178.404382744739</v>
      </c>
      <c r="X243">
        <f t="shared" ref="X243" si="94">SQRT(W243)</f>
        <v>145.52801923596959</v>
      </c>
      <c r="Y243" s="6">
        <f t="shared" ref="Y243" si="95">(1.96*X243)</f>
        <v>285.23491770250041</v>
      </c>
      <c r="Z243" s="14">
        <f t="shared" ref="Z243" si="96">X243/V243</f>
        <v>3.8980978856255073E-2</v>
      </c>
    </row>
    <row r="244" spans="1:26" hidden="1" x14ac:dyDescent="0.25">
      <c r="A244" t="str">
        <f>'rockfish harvests'!A252</f>
        <v>SE</v>
      </c>
      <c r="B244">
        <f>'rockfish harvests'!B252</f>
        <v>1998</v>
      </c>
      <c r="C244" t="str">
        <f>'rockfish harvests'!C252</f>
        <v>EWYKT</v>
      </c>
      <c r="D244">
        <f>'rockfish harvests'!D252</f>
        <v>1305</v>
      </c>
      <c r="E244">
        <f>'YE harvest'!E253</f>
        <v>606</v>
      </c>
      <c r="F244" s="32">
        <v>1.1788528E-2</v>
      </c>
      <c r="G244" s="32">
        <v>5.1482899999999996E-4</v>
      </c>
      <c r="H244" s="13">
        <f t="shared" si="66"/>
        <v>7.1438479679999993</v>
      </c>
      <c r="I244">
        <f t="shared" si="68"/>
        <v>189.06374264399997</v>
      </c>
      <c r="J244">
        <f t="shared" si="70"/>
        <v>13.750045186980294</v>
      </c>
      <c r="K244" s="6">
        <f t="shared" si="71"/>
        <v>26.950088566481377</v>
      </c>
      <c r="M244" s="2">
        <f>'rockfish harvests'!O252</f>
        <v>340.03895326402039</v>
      </c>
      <c r="N244">
        <f>'rockfish harvests'!P252</f>
        <v>27091.93854220381</v>
      </c>
      <c r="O244" s="50">
        <f t="shared" ref="O244:P259" si="97">O294</f>
        <v>2.6213604000000001E-2</v>
      </c>
      <c r="P244" s="50">
        <f t="shared" si="97"/>
        <v>5.4350899999999996E-4</v>
      </c>
      <c r="Q244" s="13">
        <f t="shared" si="61"/>
        <v>8.9136464654375391</v>
      </c>
      <c r="R244" s="14">
        <f t="shared" si="62"/>
        <v>66.735633169609443</v>
      </c>
      <c r="S244">
        <f t="shared" si="72"/>
        <v>8.1691880361275473</v>
      </c>
      <c r="T244" s="6">
        <f t="shared" si="73"/>
        <v>16.011608550809992</v>
      </c>
      <c r="V244" s="13">
        <f t="shared" si="69"/>
        <v>16.05749443343754</v>
      </c>
      <c r="W244">
        <f t="shared" si="69"/>
        <v>255.7993758136094</v>
      </c>
      <c r="X244">
        <f t="shared" si="74"/>
        <v>15.993729265359265</v>
      </c>
      <c r="Y244" s="6">
        <f t="shared" si="75"/>
        <v>31.347709360104158</v>
      </c>
      <c r="Z244" s="14">
        <f t="shared" si="67"/>
        <v>0.9960289465867419</v>
      </c>
    </row>
    <row r="245" spans="1:26" hidden="1" x14ac:dyDescent="0.25">
      <c r="A245" t="str">
        <f>'rockfish harvests'!A253</f>
        <v>SE</v>
      </c>
      <c r="B245">
        <f>'rockfish harvests'!B253</f>
        <v>1999</v>
      </c>
      <c r="C245" t="str">
        <f>'rockfish harvests'!C253</f>
        <v>EWYKT</v>
      </c>
      <c r="D245">
        <f>'rockfish harvests'!D253</f>
        <v>663</v>
      </c>
      <c r="E245">
        <f>'YE harvest'!E254</f>
        <v>116</v>
      </c>
      <c r="F245" s="32">
        <v>1.1788528E-2</v>
      </c>
      <c r="G245" s="32">
        <v>5.1482899999999996E-4</v>
      </c>
      <c r="H245" s="13">
        <f t="shared" si="66"/>
        <v>1.3674692479999999</v>
      </c>
      <c r="I245">
        <f t="shared" si="68"/>
        <v>6.9275390239999997</v>
      </c>
      <c r="J245">
        <f t="shared" si="70"/>
        <v>2.6320218509731257</v>
      </c>
      <c r="K245" s="6">
        <f t="shared" si="71"/>
        <v>5.1587628279073261</v>
      </c>
      <c r="M245" s="2">
        <f>'rockfish harvests'!O253</f>
        <v>172.7554222329851</v>
      </c>
      <c r="N245">
        <f>'rockfish harvests'!P253</f>
        <v>6992.7196212962144</v>
      </c>
      <c r="O245" s="50">
        <f t="shared" si="97"/>
        <v>2.6213604000000001E-2</v>
      </c>
      <c r="P245" s="50">
        <f t="shared" si="97"/>
        <v>5.4350899999999996E-4</v>
      </c>
      <c r="Q245" s="13">
        <f t="shared" si="61"/>
        <v>4.5285422272682672</v>
      </c>
      <c r="R245" s="14">
        <f t="shared" si="62"/>
        <v>17.225181977206482</v>
      </c>
      <c r="S245">
        <f t="shared" si="72"/>
        <v>4.1503231172050308</v>
      </c>
      <c r="T245" s="6">
        <f t="shared" si="73"/>
        <v>8.1346333097218597</v>
      </c>
      <c r="V245" s="13">
        <f t="shared" si="69"/>
        <v>5.8960114752682671</v>
      </c>
      <c r="W245">
        <f t="shared" si="69"/>
        <v>24.15272100120648</v>
      </c>
      <c r="X245">
        <f t="shared" si="74"/>
        <v>4.9145417895472701</v>
      </c>
      <c r="Y245" s="6">
        <f t="shared" si="75"/>
        <v>9.6325019075126495</v>
      </c>
      <c r="Z245" s="14">
        <f t="shared" si="67"/>
        <v>0.83353667308180734</v>
      </c>
    </row>
    <row r="246" spans="1:26" hidden="1" x14ac:dyDescent="0.25">
      <c r="A246" t="str">
        <f>'rockfish harvests'!A254</f>
        <v>SE</v>
      </c>
      <c r="B246">
        <f>'rockfish harvests'!B254</f>
        <v>2000</v>
      </c>
      <c r="C246" t="str">
        <f>'rockfish harvests'!C254</f>
        <v>EWYKT</v>
      </c>
      <c r="D246">
        <f>'rockfish harvests'!D254</f>
        <v>1199</v>
      </c>
      <c r="E246">
        <f>'YE harvest'!E255</f>
        <v>142</v>
      </c>
      <c r="F246" s="32">
        <v>1.1788528E-2</v>
      </c>
      <c r="G246" s="32">
        <v>5.1482899999999996E-4</v>
      </c>
      <c r="H246" s="13">
        <f t="shared" si="66"/>
        <v>1.6739709759999999</v>
      </c>
      <c r="I246">
        <f t="shared" si="68"/>
        <v>10.381011956</v>
      </c>
      <c r="J246">
        <f t="shared" si="70"/>
        <v>3.2219577830877921</v>
      </c>
      <c r="K246" s="6">
        <f t="shared" si="71"/>
        <v>6.3150372548520721</v>
      </c>
      <c r="M246" s="2">
        <f>'rockfish harvests'!O254</f>
        <v>312.41893100655966</v>
      </c>
      <c r="N246">
        <f>'rockfish harvests'!P254</f>
        <v>22869.539754384543</v>
      </c>
      <c r="O246" s="50">
        <f t="shared" si="97"/>
        <v>2.6213604000000001E-2</v>
      </c>
      <c r="P246" s="50">
        <f t="shared" si="97"/>
        <v>5.4350899999999996E-4</v>
      </c>
      <c r="Q246" s="13">
        <f t="shared" si="61"/>
        <v>8.1896261395092775</v>
      </c>
      <c r="R246" s="14">
        <f t="shared" si="62"/>
        <v>56.334588734906227</v>
      </c>
      <c r="S246">
        <f t="shared" si="72"/>
        <v>7.5056371305110554</v>
      </c>
      <c r="T246" s="6">
        <f t="shared" si="73"/>
        <v>14.711048775801668</v>
      </c>
      <c r="V246" s="13">
        <f t="shared" si="69"/>
        <v>9.8635971155092772</v>
      </c>
      <c r="W246">
        <f t="shared" si="69"/>
        <v>66.715600690906228</v>
      </c>
      <c r="X246">
        <f t="shared" si="74"/>
        <v>8.1679618443591071</v>
      </c>
      <c r="Y246" s="6">
        <f t="shared" si="75"/>
        <v>16.009205214943851</v>
      </c>
      <c r="Z246" s="14">
        <f t="shared" si="67"/>
        <v>0.82809159262151988</v>
      </c>
    </row>
    <row r="247" spans="1:26" hidden="1" x14ac:dyDescent="0.25">
      <c r="A247" t="str">
        <f>'rockfish harvests'!A255</f>
        <v>SE</v>
      </c>
      <c r="B247">
        <f>'rockfish harvests'!B255</f>
        <v>2001</v>
      </c>
      <c r="C247" t="str">
        <f>'rockfish harvests'!C255</f>
        <v>EWYKT</v>
      </c>
      <c r="D247">
        <f>'rockfish harvests'!D255</f>
        <v>1043</v>
      </c>
      <c r="E247">
        <f>'YE harvest'!E256</f>
        <v>152</v>
      </c>
      <c r="F247" s="32">
        <v>1.1788528E-2</v>
      </c>
      <c r="G247" s="32">
        <v>5.1482899999999996E-4</v>
      </c>
      <c r="H247" s="13">
        <f t="shared" si="66"/>
        <v>1.791856256</v>
      </c>
      <c r="I247">
        <f t="shared" si="68"/>
        <v>11.894609215999999</v>
      </c>
      <c r="J247">
        <f t="shared" si="70"/>
        <v>3.4488562185165099</v>
      </c>
      <c r="K247" s="6">
        <f t="shared" si="71"/>
        <v>6.7597581882923592</v>
      </c>
      <c r="M247" s="2">
        <f>'rockfish harvests'!O255</f>
        <v>271.77059636350441</v>
      </c>
      <c r="N247">
        <f>'rockfish harvests'!P255</f>
        <v>17305.640405277591</v>
      </c>
      <c r="O247" s="50">
        <f t="shared" si="97"/>
        <v>2.6213604000000001E-2</v>
      </c>
      <c r="P247" s="50">
        <f t="shared" si="97"/>
        <v>5.4350899999999996E-4</v>
      </c>
      <c r="Q247" s="13">
        <f t="shared" si="61"/>
        <v>7.1240867919167448</v>
      </c>
      <c r="R247" s="14">
        <f t="shared" si="62"/>
        <v>42.629022949120809</v>
      </c>
      <c r="S247">
        <f t="shared" si="72"/>
        <v>6.5290905146981082</v>
      </c>
      <c r="T247" s="6">
        <f t="shared" si="73"/>
        <v>12.797017408808292</v>
      </c>
      <c r="V247" s="13">
        <f t="shared" si="69"/>
        <v>8.9159430479167447</v>
      </c>
      <c r="W247">
        <f t="shared" si="69"/>
        <v>54.523632165120809</v>
      </c>
      <c r="X247">
        <f t="shared" si="74"/>
        <v>7.3840119288311561</v>
      </c>
      <c r="Y247" s="6">
        <f t="shared" si="75"/>
        <v>14.472663380509065</v>
      </c>
      <c r="Z247" s="14">
        <f t="shared" si="67"/>
        <v>0.82818069711161602</v>
      </c>
    </row>
    <row r="248" spans="1:26" hidden="1" x14ac:dyDescent="0.25">
      <c r="A248" t="str">
        <f>'rockfish harvests'!A256</f>
        <v>SE</v>
      </c>
      <c r="B248">
        <f>'rockfish harvests'!B256</f>
        <v>2002</v>
      </c>
      <c r="C248" t="str">
        <f>'rockfish harvests'!C256</f>
        <v>EWYKT</v>
      </c>
      <c r="D248">
        <f>'rockfish harvests'!D256</f>
        <v>893</v>
      </c>
      <c r="E248">
        <f>'YE harvest'!E257</f>
        <v>102</v>
      </c>
      <c r="F248" s="32">
        <v>1.1788528E-2</v>
      </c>
      <c r="G248" s="32">
        <v>5.1482899999999996E-4</v>
      </c>
      <c r="H248" s="13">
        <f t="shared" si="66"/>
        <v>1.202429856</v>
      </c>
      <c r="I248">
        <f t="shared" si="68"/>
        <v>5.3562809159999993</v>
      </c>
      <c r="J248">
        <f t="shared" si="70"/>
        <v>2.314364041372921</v>
      </c>
      <c r="K248" s="6">
        <f t="shared" si="71"/>
        <v>4.5361535210909247</v>
      </c>
      <c r="M248" s="2">
        <f>'rockfish harvests'!O256</f>
        <v>232.6856592067204</v>
      </c>
      <c r="N248">
        <f>'rockfish harvests'!P256</f>
        <v>12685.920229322461</v>
      </c>
      <c r="O248" s="50">
        <f t="shared" si="97"/>
        <v>2.6213604000000001E-2</v>
      </c>
      <c r="P248" s="50">
        <f t="shared" si="97"/>
        <v>5.4350899999999996E-4</v>
      </c>
      <c r="Q248" s="13">
        <f t="shared" si="61"/>
        <v>6.0995297269239233</v>
      </c>
      <c r="R248" s="14">
        <f t="shared" si="62"/>
        <v>31.249255845023921</v>
      </c>
      <c r="S248">
        <f t="shared" si="72"/>
        <v>5.5901033841087342</v>
      </c>
      <c r="T248" s="6">
        <f t="shared" si="73"/>
        <v>10.956602632853119</v>
      </c>
      <c r="V248" s="13">
        <f t="shared" si="69"/>
        <v>7.3019595829239234</v>
      </c>
      <c r="W248">
        <f t="shared" si="69"/>
        <v>36.60553676102392</v>
      </c>
      <c r="X248">
        <f t="shared" si="74"/>
        <v>6.0502509667801316</v>
      </c>
      <c r="Y248" s="6">
        <f t="shared" si="75"/>
        <v>11.858491894889058</v>
      </c>
      <c r="Z248" s="14">
        <f t="shared" si="67"/>
        <v>0.82857908183017215</v>
      </c>
    </row>
    <row r="249" spans="1:26" hidden="1" x14ac:dyDescent="0.25">
      <c r="A249" t="str">
        <f>'rockfish harvests'!A257</f>
        <v>SE</v>
      </c>
      <c r="B249">
        <f>'rockfish harvests'!B257</f>
        <v>2003</v>
      </c>
      <c r="C249" t="str">
        <f>'rockfish harvests'!C257</f>
        <v>EWYKT</v>
      </c>
      <c r="D249">
        <f>'rockfish harvests'!D257</f>
        <v>1627</v>
      </c>
      <c r="E249">
        <f>'YE harvest'!E258</f>
        <v>443</v>
      </c>
      <c r="F249" s="32">
        <v>1.1788528E-2</v>
      </c>
      <c r="G249" s="32">
        <v>5.1482899999999996E-4</v>
      </c>
      <c r="H249" s="13">
        <f t="shared" si="66"/>
        <v>5.2223179039999996</v>
      </c>
      <c r="I249">
        <f t="shared" si="68"/>
        <v>101.03467642099999</v>
      </c>
      <c r="J249">
        <f t="shared" si="70"/>
        <v>10.051600689492195</v>
      </c>
      <c r="K249" s="6">
        <f t="shared" si="71"/>
        <v>19.701137351404704</v>
      </c>
      <c r="M249" s="2">
        <f>'rockfish harvests'!O257</f>
        <v>423.94128502725016</v>
      </c>
      <c r="N249">
        <f>'rockfish harvests'!P257</f>
        <v>42110.865184765593</v>
      </c>
      <c r="O249" s="50">
        <f t="shared" si="97"/>
        <v>2.6213604000000001E-2</v>
      </c>
      <c r="P249" s="50">
        <f t="shared" si="97"/>
        <v>5.4350899999999996E-4</v>
      </c>
      <c r="Q249" s="13">
        <f t="shared" si="61"/>
        <v>11.113028964955465</v>
      </c>
      <c r="R249" s="14">
        <f t="shared" si="62"/>
        <v>103.73178896177994</v>
      </c>
      <c r="S249">
        <f t="shared" si="72"/>
        <v>10.18488040979274</v>
      </c>
      <c r="T249" s="6">
        <f t="shared" si="73"/>
        <v>19.962365603193771</v>
      </c>
      <c r="V249" s="13">
        <f t="shared" si="69"/>
        <v>16.335346868955465</v>
      </c>
      <c r="W249">
        <f t="shared" si="69"/>
        <v>204.76646538277993</v>
      </c>
      <c r="X249">
        <f t="shared" si="74"/>
        <v>14.309663356724363</v>
      </c>
      <c r="Y249" s="6">
        <f t="shared" si="75"/>
        <v>28.046940179179749</v>
      </c>
      <c r="Z249" s="14">
        <f t="shared" si="67"/>
        <v>0.87599384766779476</v>
      </c>
    </row>
    <row r="250" spans="1:26" hidden="1" x14ac:dyDescent="0.25">
      <c r="A250" t="str">
        <f>'rockfish harvests'!A258</f>
        <v>SE</v>
      </c>
      <c r="B250">
        <f>'rockfish harvests'!B258</f>
        <v>2004</v>
      </c>
      <c r="C250" t="str">
        <f>'rockfish harvests'!C258</f>
        <v>EWYKT</v>
      </c>
      <c r="D250">
        <f>'rockfish harvests'!D258</f>
        <v>1501</v>
      </c>
      <c r="E250">
        <f>'YE harvest'!E259</f>
        <v>378</v>
      </c>
      <c r="F250" s="32">
        <v>1.1788528E-2</v>
      </c>
      <c r="G250" s="32">
        <v>5.1482899999999996E-4</v>
      </c>
      <c r="H250" s="13">
        <f t="shared" si="66"/>
        <v>4.4560635839999998</v>
      </c>
      <c r="I250">
        <f t="shared" si="68"/>
        <v>73.56082683599999</v>
      </c>
      <c r="J250">
        <f t="shared" si="70"/>
        <v>8.57676085920553</v>
      </c>
      <c r="K250" s="6">
        <f t="shared" si="71"/>
        <v>16.810451284042838</v>
      </c>
      <c r="M250" s="2">
        <f>'rockfish harvests'!O258</f>
        <v>391.10993781555135</v>
      </c>
      <c r="N250">
        <f>'rockfish harvests'!P258</f>
        <v>35841.026777365994</v>
      </c>
      <c r="O250" s="50">
        <f t="shared" si="97"/>
        <v>2.6213604000000001E-2</v>
      </c>
      <c r="P250" s="50">
        <f t="shared" si="97"/>
        <v>5.4350899999999996E-4</v>
      </c>
      <c r="Q250" s="13">
        <f t="shared" si="61"/>
        <v>10.252401030361488</v>
      </c>
      <c r="R250" s="14">
        <f t="shared" si="62"/>
        <v>88.287281905293938</v>
      </c>
      <c r="S250">
        <f t="shared" si="72"/>
        <v>9.3961312200976597</v>
      </c>
      <c r="T250" s="6">
        <f t="shared" si="73"/>
        <v>18.416417191391414</v>
      </c>
      <c r="V250" s="13">
        <f t="shared" si="69"/>
        <v>14.708464614361489</v>
      </c>
      <c r="W250">
        <f t="shared" si="69"/>
        <v>161.84810874129391</v>
      </c>
      <c r="X250">
        <f t="shared" si="74"/>
        <v>12.721953809902546</v>
      </c>
      <c r="Y250" s="6">
        <f t="shared" si="75"/>
        <v>24.935029467408988</v>
      </c>
      <c r="Z250" s="14">
        <f t="shared" si="67"/>
        <v>0.86494098082003101</v>
      </c>
    </row>
    <row r="251" spans="1:26" hidden="1" x14ac:dyDescent="0.25">
      <c r="A251" t="str">
        <f>'rockfish harvests'!A259</f>
        <v>SE</v>
      </c>
      <c r="B251">
        <f>'rockfish harvests'!B259</f>
        <v>2005</v>
      </c>
      <c r="C251" t="str">
        <f>'rockfish harvests'!C259</f>
        <v>EWYKT</v>
      </c>
      <c r="D251">
        <f>'rockfish harvests'!D259</f>
        <v>1676</v>
      </c>
      <c r="E251">
        <f>'YE harvest'!E260</f>
        <v>284</v>
      </c>
      <c r="F251" s="32">
        <v>1.1788528E-2</v>
      </c>
      <c r="G251" s="32">
        <v>5.1482899999999996E-4</v>
      </c>
      <c r="H251" s="13">
        <f t="shared" si="66"/>
        <v>3.3479419519999998</v>
      </c>
      <c r="I251">
        <f t="shared" si="68"/>
        <v>41.524047824</v>
      </c>
      <c r="J251">
        <f t="shared" si="70"/>
        <v>6.4439155661755843</v>
      </c>
      <c r="K251" s="6">
        <f t="shared" si="71"/>
        <v>12.630074509704144</v>
      </c>
      <c r="M251" s="2">
        <f>'rockfish harvests'!O259</f>
        <v>436.70903116513273</v>
      </c>
      <c r="N251">
        <f>'rockfish harvests'!P259</f>
        <v>44685.54786836687</v>
      </c>
      <c r="O251" s="50">
        <f t="shared" si="97"/>
        <v>2.6213604000000001E-2</v>
      </c>
      <c r="P251" s="50">
        <f t="shared" si="97"/>
        <v>5.4350899999999996E-4</v>
      </c>
      <c r="Q251" s="13">
        <f t="shared" si="61"/>
        <v>11.447717606186449</v>
      </c>
      <c r="R251" s="14">
        <f t="shared" si="62"/>
        <v>110.074010609496</v>
      </c>
      <c r="S251">
        <f t="shared" si="72"/>
        <v>10.491616205785265</v>
      </c>
      <c r="T251" s="6">
        <f t="shared" si="73"/>
        <v>20.563567763339119</v>
      </c>
      <c r="V251" s="13">
        <f t="shared" si="69"/>
        <v>14.795659558186449</v>
      </c>
      <c r="W251">
        <f t="shared" si="69"/>
        <v>151.59805843349599</v>
      </c>
      <c r="X251">
        <f t="shared" si="74"/>
        <v>12.312516332313878</v>
      </c>
      <c r="Y251" s="6">
        <f t="shared" si="75"/>
        <v>24.132532011335201</v>
      </c>
      <c r="Z251" s="14">
        <f t="shared" si="67"/>
        <v>0.83217083252644553</v>
      </c>
    </row>
    <row r="252" spans="1:26" hidden="1" x14ac:dyDescent="0.25">
      <c r="A252" t="str">
        <f>'rockfish harvests'!A260</f>
        <v>SE</v>
      </c>
      <c r="B252">
        <f>'rockfish harvests'!B260</f>
        <v>2006</v>
      </c>
      <c r="C252" t="str">
        <f>'rockfish harvests'!C260</f>
        <v>EWYKT</v>
      </c>
      <c r="D252">
        <f>'rockfish harvests'!D260</f>
        <v>2529</v>
      </c>
      <c r="E252">
        <f>'YE harvest'!E261</f>
        <v>440</v>
      </c>
      <c r="F252">
        <f>IF([2]species_comp_Region1_forR!$H318&gt;49,[2]species_comp_Region1_forR!$AV318,[2]species_comp_Region1_forR!$AX318)</f>
        <v>0</v>
      </c>
      <c r="G252">
        <f>IF([2]species_comp_Region1_forR!$H318&gt;49,[2]species_comp_Region1_forR!$AW318,[2]species_comp_Region1_forR!$AY318)</f>
        <v>0</v>
      </c>
      <c r="H252" s="13">
        <f t="shared" si="66"/>
        <v>0</v>
      </c>
      <c r="I252">
        <f t="shared" si="68"/>
        <v>0</v>
      </c>
      <c r="J252">
        <f t="shared" si="70"/>
        <v>0</v>
      </c>
      <c r="K252" s="6">
        <f t="shared" si="71"/>
        <v>0</v>
      </c>
      <c r="M252" s="2">
        <f>'rockfish harvests'!O260</f>
        <v>658.97204046337765</v>
      </c>
      <c r="N252">
        <f>'rockfish harvests'!P260</f>
        <v>101745.85299552699</v>
      </c>
      <c r="O252" s="27">
        <f t="shared" si="97"/>
        <v>6.0606061000000003E-2</v>
      </c>
      <c r="P252" s="27">
        <f t="shared" si="97"/>
        <v>8.7589199999999997E-4</v>
      </c>
      <c r="Q252" s="13">
        <f t="shared" si="61"/>
        <v>39.937699681617936</v>
      </c>
      <c r="R252" s="14">
        <f t="shared" si="62"/>
        <v>664.95474471445061</v>
      </c>
      <c r="S252">
        <f t="shared" si="72"/>
        <v>25.786716439175628</v>
      </c>
      <c r="T252" s="6">
        <f t="shared" si="73"/>
        <v>50.54196422078423</v>
      </c>
      <c r="V252" s="13">
        <f t="shared" si="69"/>
        <v>39.937699681617936</v>
      </c>
      <c r="W252">
        <f t="shared" si="69"/>
        <v>664.95474471445061</v>
      </c>
      <c r="X252">
        <f t="shared" si="74"/>
        <v>25.786716439175628</v>
      </c>
      <c r="Y252" s="6">
        <f t="shared" si="75"/>
        <v>50.54196422078423</v>
      </c>
      <c r="Z252" s="14">
        <f t="shared" si="67"/>
        <v>0.64567355267695703</v>
      </c>
    </row>
    <row r="253" spans="1:26" hidden="1" x14ac:dyDescent="0.25">
      <c r="A253" t="str">
        <f>'rockfish harvests'!A261</f>
        <v>SE</v>
      </c>
      <c r="B253">
        <f>'rockfish harvests'!B261</f>
        <v>2007</v>
      </c>
      <c r="C253" t="str">
        <f>'rockfish harvests'!C261</f>
        <v>EWYKT</v>
      </c>
      <c r="D253">
        <f>'rockfish harvests'!D261</f>
        <v>2290</v>
      </c>
      <c r="E253">
        <f>'YE harvest'!E262</f>
        <v>334</v>
      </c>
      <c r="F253">
        <f>IF([2]species_comp_Region1_forR!$H319&gt;49,[2]species_comp_Region1_forR!$AV319,[2]species_comp_Region1_forR!$AX319)</f>
        <v>0</v>
      </c>
      <c r="G253">
        <f>IF([2]species_comp_Region1_forR!$H319&gt;49,[2]species_comp_Region1_forR!$AW319,[2]species_comp_Region1_forR!$AY319)</f>
        <v>0</v>
      </c>
      <c r="H253" s="13">
        <f t="shared" si="66"/>
        <v>0</v>
      </c>
      <c r="I253">
        <f t="shared" si="68"/>
        <v>0</v>
      </c>
      <c r="J253">
        <f t="shared" si="70"/>
        <v>0</v>
      </c>
      <c r="K253" s="6">
        <f t="shared" si="71"/>
        <v>0</v>
      </c>
      <c r="M253" s="2">
        <f>'rockfish harvests'!O261</f>
        <v>596.69670726023514</v>
      </c>
      <c r="N253">
        <f>'rockfish harvests'!P261</f>
        <v>83423.810519029968</v>
      </c>
      <c r="O253" s="27">
        <f t="shared" si="97"/>
        <v>1.6393443000000001E-2</v>
      </c>
      <c r="P253" s="27">
        <f t="shared" si="97"/>
        <v>2.6874499999999998E-4</v>
      </c>
      <c r="Q253" s="13">
        <f t="shared" si="61"/>
        <v>9.7819134587583516</v>
      </c>
      <c r="R253" s="14">
        <f t="shared" si="62"/>
        <v>95.685838167981402</v>
      </c>
      <c r="S253">
        <f t="shared" si="72"/>
        <v>9.7819138295111454</v>
      </c>
      <c r="T253" s="6">
        <f t="shared" si="73"/>
        <v>19.172551105841844</v>
      </c>
      <c r="V253" s="13">
        <f t="shared" si="69"/>
        <v>9.7819134587583516</v>
      </c>
      <c r="W253">
        <f t="shared" si="69"/>
        <v>95.685838167981402</v>
      </c>
      <c r="X253">
        <f t="shared" si="74"/>
        <v>9.7819138295111454</v>
      </c>
      <c r="Y253" s="6">
        <f t="shared" si="75"/>
        <v>19.172551105841844</v>
      </c>
      <c r="Z253" s="14">
        <f t="shared" si="67"/>
        <v>1.0000000379018681</v>
      </c>
    </row>
    <row r="254" spans="1:26" hidden="1" x14ac:dyDescent="0.25">
      <c r="A254" t="str">
        <f>'rockfish harvests'!A262</f>
        <v>SE</v>
      </c>
      <c r="B254">
        <f>'rockfish harvests'!B262</f>
        <v>2008</v>
      </c>
      <c r="C254" t="str">
        <f>'rockfish harvests'!C262</f>
        <v>EWYKT</v>
      </c>
      <c r="D254">
        <f>'rockfish harvests'!D262</f>
        <v>2857</v>
      </c>
      <c r="E254">
        <f>'YE harvest'!E263</f>
        <v>401</v>
      </c>
      <c r="F254">
        <f>IF([2]species_comp_Region1_forR!$H320&gt;49,[2]species_comp_Region1_forR!$AV320,[2]species_comp_Region1_forR!$AX320)</f>
        <v>0</v>
      </c>
      <c r="G254">
        <f>IF([2]species_comp_Region1_forR!$H320&gt;49,[2]species_comp_Region1_forR!$AW320,[2]species_comp_Region1_forR!$AY320)</f>
        <v>0</v>
      </c>
      <c r="H254" s="13">
        <f t="shared" si="66"/>
        <v>0</v>
      </c>
      <c r="I254">
        <f t="shared" si="68"/>
        <v>0</v>
      </c>
      <c r="J254">
        <f t="shared" si="70"/>
        <v>0</v>
      </c>
      <c r="K254" s="6">
        <f t="shared" si="71"/>
        <v>0</v>
      </c>
      <c r="M254" s="2">
        <f>'rockfish harvests'!O262</f>
        <v>744.43776971287843</v>
      </c>
      <c r="N254">
        <f>'rockfish harvests'!P262</f>
        <v>129849.277997606</v>
      </c>
      <c r="O254" s="27">
        <f t="shared" si="97"/>
        <v>7.9207921000000001E-2</v>
      </c>
      <c r="P254" s="27">
        <f t="shared" si="97"/>
        <v>7.2933999999999998E-4</v>
      </c>
      <c r="Q254" s="13">
        <f t="shared" si="61"/>
        <v>58.965368052833867</v>
      </c>
      <c r="R254" s="14">
        <f t="shared" si="62"/>
        <v>1124.1476100547659</v>
      </c>
      <c r="S254">
        <f t="shared" si="72"/>
        <v>33.528310575613048</v>
      </c>
      <c r="T254" s="6">
        <f t="shared" si="73"/>
        <v>65.715488728201578</v>
      </c>
      <c r="V254" s="13">
        <f t="shared" si="69"/>
        <v>58.965368052833867</v>
      </c>
      <c r="W254">
        <f t="shared" si="69"/>
        <v>1124.1476100547659</v>
      </c>
      <c r="X254">
        <f t="shared" si="74"/>
        <v>33.528310575613048</v>
      </c>
      <c r="Y254" s="6">
        <f t="shared" si="75"/>
        <v>65.715488728201578</v>
      </c>
      <c r="Z254" s="14">
        <f t="shared" si="67"/>
        <v>0.56861021448337556</v>
      </c>
    </row>
    <row r="255" spans="1:26" hidden="1" x14ac:dyDescent="0.25">
      <c r="A255" t="str">
        <f>'rockfish harvests'!A263</f>
        <v>SE</v>
      </c>
      <c r="B255">
        <f>'rockfish harvests'!B263</f>
        <v>2009</v>
      </c>
      <c r="C255" t="str">
        <f>'rockfish harvests'!C263</f>
        <v>EWYKT</v>
      </c>
      <c r="D255">
        <f>'rockfish harvests'!D263</f>
        <v>2494</v>
      </c>
      <c r="E255">
        <f>'YE harvest'!E264</f>
        <v>301</v>
      </c>
      <c r="F255">
        <f>IF([2]species_comp_Region1_forR!$H321&gt;49,[2]species_comp_Region1_forR!$AV321,[2]species_comp_Region1_forR!$AX321)</f>
        <v>0</v>
      </c>
      <c r="G255">
        <f>IF([2]species_comp_Region1_forR!$H321&gt;49,[2]species_comp_Region1_forR!$AW321,[2]species_comp_Region1_forR!$AY321)</f>
        <v>0</v>
      </c>
      <c r="H255" s="13">
        <f t="shared" si="66"/>
        <v>0</v>
      </c>
      <c r="I255">
        <f t="shared" si="68"/>
        <v>0</v>
      </c>
      <c r="J255">
        <f t="shared" si="70"/>
        <v>0</v>
      </c>
      <c r="K255" s="6">
        <f t="shared" si="71"/>
        <v>0</v>
      </c>
      <c r="M255" s="2">
        <f>'rockfish harvests'!O263</f>
        <v>649.85222179346101</v>
      </c>
      <c r="N255">
        <f>'rockfish harvests'!P263</f>
        <v>98949.124670686113</v>
      </c>
      <c r="O255" s="27">
        <f t="shared" si="97"/>
        <v>5.1282051000000002E-2</v>
      </c>
      <c r="P255" s="27">
        <f t="shared" si="97"/>
        <v>6.3184700000000005E-4</v>
      </c>
      <c r="Q255" s="13">
        <f t="shared" si="61"/>
        <v>33.325754780475577</v>
      </c>
      <c r="R255" s="14">
        <f t="shared" si="62"/>
        <v>464.53451084176942</v>
      </c>
      <c r="S255">
        <f t="shared" si="72"/>
        <v>21.553062678927315</v>
      </c>
      <c r="T255" s="6">
        <f t="shared" si="73"/>
        <v>42.244002850697534</v>
      </c>
      <c r="V255" s="13">
        <f t="shared" si="69"/>
        <v>33.325754780475577</v>
      </c>
      <c r="W255">
        <f t="shared" si="69"/>
        <v>464.53451084176942</v>
      </c>
      <c r="X255">
        <f t="shared" si="74"/>
        <v>21.553062678927315</v>
      </c>
      <c r="Y255" s="6">
        <f t="shared" si="75"/>
        <v>42.244002850697534</v>
      </c>
      <c r="Z255" s="14">
        <f t="shared" si="67"/>
        <v>0.64673892072069494</v>
      </c>
    </row>
    <row r="256" spans="1:26" hidden="1" x14ac:dyDescent="0.25">
      <c r="A256" t="str">
        <f>'rockfish harvests'!A264</f>
        <v>SE</v>
      </c>
      <c r="B256">
        <f>'rockfish harvests'!B264</f>
        <v>2010</v>
      </c>
      <c r="C256" t="str">
        <f>'rockfish harvests'!C264</f>
        <v>EWYKT</v>
      </c>
      <c r="D256">
        <f>'rockfish harvests'!D264</f>
        <v>2435</v>
      </c>
      <c r="E256">
        <f>'YE harvest'!E265</f>
        <v>503</v>
      </c>
      <c r="F256">
        <f>IF([2]species_comp_Region1_forR!$H322&gt;49,[2]species_comp_Region1_forR!$AV322,[2]species_comp_Region1_forR!$AX322)</f>
        <v>0</v>
      </c>
      <c r="G256">
        <f>IF([2]species_comp_Region1_forR!$H322&gt;49,[2]species_comp_Region1_forR!$AW322,[2]species_comp_Region1_forR!$AY322)</f>
        <v>0</v>
      </c>
      <c r="H256" s="13">
        <f t="shared" si="66"/>
        <v>0</v>
      </c>
      <c r="I256">
        <f t="shared" si="68"/>
        <v>0</v>
      </c>
      <c r="J256">
        <f t="shared" si="70"/>
        <v>0</v>
      </c>
      <c r="K256" s="6">
        <f t="shared" si="71"/>
        <v>0</v>
      </c>
      <c r="M256" s="2">
        <f>'rockfish harvests'!O264</f>
        <v>634.4788131784594</v>
      </c>
      <c r="N256">
        <f>'rockfish harvests'!P264</f>
        <v>94322.866254399312</v>
      </c>
      <c r="O256" s="27">
        <f t="shared" si="97"/>
        <v>0</v>
      </c>
      <c r="P256" s="27">
        <f t="shared" si="97"/>
        <v>0</v>
      </c>
      <c r="Q256" s="13">
        <f t="shared" si="61"/>
        <v>0</v>
      </c>
      <c r="R256" s="14">
        <f t="shared" si="62"/>
        <v>0</v>
      </c>
      <c r="S256">
        <f t="shared" si="72"/>
        <v>0</v>
      </c>
      <c r="T256" s="6">
        <f t="shared" si="73"/>
        <v>0</v>
      </c>
      <c r="V256" s="13">
        <f t="shared" si="69"/>
        <v>0</v>
      </c>
      <c r="W256">
        <f t="shared" si="69"/>
        <v>0</v>
      </c>
      <c r="X256">
        <f t="shared" si="74"/>
        <v>0</v>
      </c>
      <c r="Y256" s="6">
        <f t="shared" si="75"/>
        <v>0</v>
      </c>
      <c r="Z256" s="14" t="e">
        <f t="shared" si="67"/>
        <v>#DIV/0!</v>
      </c>
    </row>
    <row r="257" spans="1:26" hidden="1" x14ac:dyDescent="0.25">
      <c r="A257" t="str">
        <f>'rockfish harvests'!A265</f>
        <v>SE</v>
      </c>
      <c r="B257">
        <f>'rockfish harvests'!B265</f>
        <v>2011</v>
      </c>
      <c r="C257" t="str">
        <f>'rockfish harvests'!C265</f>
        <v>EWYKT</v>
      </c>
      <c r="D257">
        <f>'rockfish harvests'!D265</f>
        <v>2848</v>
      </c>
      <c r="E257">
        <f>'YE harvest'!E266</f>
        <v>485</v>
      </c>
      <c r="F257">
        <f>IF([2]species_comp_Region1_forR!$H323&gt;49,[2]species_comp_Region1_forR!$AV323,[2]species_comp_Region1_forR!$AX323)</f>
        <v>2.3148148E-2</v>
      </c>
      <c r="G257">
        <f>IF([2]species_comp_Region1_forR!$H323&gt;49,[2]species_comp_Region1_forR!$AW323,[2]species_comp_Region1_forR!$AY323)</f>
        <v>1.0517400000000001E-4</v>
      </c>
      <c r="H257" s="13">
        <f t="shared" si="66"/>
        <v>11.226851780000001</v>
      </c>
      <c r="I257">
        <f t="shared" si="68"/>
        <v>24.73955415</v>
      </c>
      <c r="J257">
        <f t="shared" si="70"/>
        <v>4.9738872273102457</v>
      </c>
      <c r="K257" s="6">
        <f t="shared" si="71"/>
        <v>9.7488189655280806</v>
      </c>
      <c r="M257" s="2">
        <f>'rockfish harvests'!O265</f>
        <v>1436.4366812227072</v>
      </c>
      <c r="N257">
        <f>'rockfish harvests'!P265</f>
        <v>404683.38862902793</v>
      </c>
      <c r="O257" s="27">
        <f t="shared" si="97"/>
        <v>3.6363635999999998E-2</v>
      </c>
      <c r="P257" s="27">
        <f t="shared" si="97"/>
        <v>2.1366700000000001E-4</v>
      </c>
      <c r="Q257" s="13">
        <f t="shared" si="61"/>
        <v>52.234060613030557</v>
      </c>
      <c r="R257" s="14">
        <f t="shared" si="62"/>
        <v>889.52091103572968</v>
      </c>
      <c r="S257">
        <f t="shared" si="72"/>
        <v>29.824837150196306</v>
      </c>
      <c r="T257" s="6">
        <f t="shared" si="73"/>
        <v>58.456680814384761</v>
      </c>
      <c r="V257" s="13">
        <f t="shared" si="69"/>
        <v>63.460912393030554</v>
      </c>
      <c r="W257">
        <f t="shared" si="69"/>
        <v>914.26046518572969</v>
      </c>
      <c r="X257">
        <f t="shared" si="74"/>
        <v>30.236740320109401</v>
      </c>
      <c r="Y257" s="6">
        <f t="shared" si="75"/>
        <v>59.264011027414426</v>
      </c>
      <c r="Z257" s="14">
        <f t="shared" si="67"/>
        <v>0.47646242671150252</v>
      </c>
    </row>
    <row r="258" spans="1:26" hidden="1" x14ac:dyDescent="0.25">
      <c r="A258" t="str">
        <f>'rockfish harvests'!A266</f>
        <v>SE</v>
      </c>
      <c r="B258">
        <f>'rockfish harvests'!B266</f>
        <v>2012</v>
      </c>
      <c r="C258" t="str">
        <f>'rockfish harvests'!C266</f>
        <v>EWYKT</v>
      </c>
      <c r="D258">
        <f>'rockfish harvests'!D266</f>
        <v>3241</v>
      </c>
      <c r="E258">
        <f>'YE harvest'!E267</f>
        <v>514</v>
      </c>
      <c r="F258">
        <f>IF([2]species_comp_Region1_forR!$H324&gt;49,[2]species_comp_Region1_forR!$AV324,[2]species_comp_Region1_forR!$AX324)</f>
        <v>7.3170732000000002E-2</v>
      </c>
      <c r="G258">
        <f>IF([2]species_comp_Region1_forR!$H324&gt;49,[2]species_comp_Region1_forR!$AW324,[2]species_comp_Region1_forR!$AY324)</f>
        <v>2.3712200000000001E-4</v>
      </c>
      <c r="H258" s="13">
        <f t="shared" si="66"/>
        <v>37.609756248000004</v>
      </c>
      <c r="I258">
        <f t="shared" si="68"/>
        <v>62.646683912</v>
      </c>
      <c r="J258">
        <f t="shared" si="70"/>
        <v>7.9149658187512095</v>
      </c>
      <c r="K258" s="6">
        <f t="shared" si="71"/>
        <v>15.51333300475237</v>
      </c>
      <c r="M258" s="2">
        <f>'rockfish harvests'!O266</f>
        <v>535.14427701186287</v>
      </c>
      <c r="N258">
        <f>'rockfish harvests'!P266</f>
        <v>48300.340637739224</v>
      </c>
      <c r="O258" s="27">
        <f t="shared" si="97"/>
        <v>1.5564201999999999E-2</v>
      </c>
      <c r="P258" s="27">
        <f t="shared" si="97"/>
        <v>5.9851400000000001E-5</v>
      </c>
      <c r="Q258" s="13">
        <f t="shared" si="61"/>
        <v>8.32909362655659</v>
      </c>
      <c r="R258" s="14">
        <f t="shared" si="62"/>
        <v>25.949851106835609</v>
      </c>
      <c r="S258">
        <f t="shared" si="72"/>
        <v>5.0940996365241631</v>
      </c>
      <c r="T258" s="6">
        <f t="shared" si="73"/>
        <v>9.9844352875873597</v>
      </c>
      <c r="V258" s="13">
        <f t="shared" si="69"/>
        <v>45.938849874556595</v>
      </c>
      <c r="W258">
        <f t="shared" si="69"/>
        <v>88.59653501883561</v>
      </c>
      <c r="X258">
        <f t="shared" si="74"/>
        <v>9.4125732410874559</v>
      </c>
      <c r="Y258" s="6">
        <f t="shared" si="75"/>
        <v>18.448643552531411</v>
      </c>
      <c r="Z258" s="14">
        <f t="shared" si="67"/>
        <v>0.20489353274603084</v>
      </c>
    </row>
    <row r="259" spans="1:26" hidden="1" x14ac:dyDescent="0.25">
      <c r="A259" t="str">
        <f>'rockfish harvests'!A267</f>
        <v>SE</v>
      </c>
      <c r="B259">
        <f>'rockfish harvests'!B267</f>
        <v>2013</v>
      </c>
      <c r="C259" t="str">
        <f>'rockfish harvests'!C267</f>
        <v>EWYKT</v>
      </c>
      <c r="D259">
        <f>'rockfish harvests'!D267</f>
        <v>3884</v>
      </c>
      <c r="E259">
        <f>'YE harvest'!E268</f>
        <v>452</v>
      </c>
      <c r="F259">
        <f>IF([2]species_comp_Region1_forR!$H325&gt;49,[2]species_comp_Region1_forR!$AV325,[2]species_comp_Region1_forR!$AX325)</f>
        <v>0</v>
      </c>
      <c r="G259">
        <f>IF([2]species_comp_Region1_forR!$H325&gt;49,[2]species_comp_Region1_forR!$AW325,[2]species_comp_Region1_forR!$AY325)</f>
        <v>0</v>
      </c>
      <c r="H259" s="13">
        <f t="shared" si="66"/>
        <v>0</v>
      </c>
      <c r="I259">
        <f t="shared" si="68"/>
        <v>0</v>
      </c>
      <c r="J259">
        <f t="shared" si="70"/>
        <v>0</v>
      </c>
      <c r="K259" s="6">
        <f t="shared" si="71"/>
        <v>0</v>
      </c>
      <c r="M259" s="2">
        <f>'rockfish harvests'!O267</f>
        <v>591.36648814078035</v>
      </c>
      <c r="N259">
        <f>'rockfish harvests'!P267</f>
        <v>87012.297802534755</v>
      </c>
      <c r="O259" s="27">
        <f t="shared" si="97"/>
        <v>1.3071895E-2</v>
      </c>
      <c r="P259" s="27">
        <f t="shared" si="97"/>
        <v>4.2298400000000001E-5</v>
      </c>
      <c r="Q259" s="13">
        <f t="shared" si="61"/>
        <v>7.7302806394950263</v>
      </c>
      <c r="R259" s="14">
        <f t="shared" si="62"/>
        <v>25.980052918757981</v>
      </c>
      <c r="S259">
        <f t="shared" si="72"/>
        <v>5.0970631660553298</v>
      </c>
      <c r="T259" s="6">
        <f t="shared" si="73"/>
        <v>9.990243805468447</v>
      </c>
      <c r="V259" s="13">
        <f t="shared" si="69"/>
        <v>7.7302806394950263</v>
      </c>
      <c r="W259">
        <f t="shared" si="69"/>
        <v>25.980052918757981</v>
      </c>
      <c r="X259">
        <f t="shared" si="74"/>
        <v>5.0970631660553298</v>
      </c>
      <c r="Y259" s="6">
        <f t="shared" si="75"/>
        <v>9.990243805468447</v>
      </c>
      <c r="Z259" s="14">
        <f t="shared" si="67"/>
        <v>0.65936327589631871</v>
      </c>
    </row>
    <row r="260" spans="1:26" hidden="1" x14ac:dyDescent="0.25">
      <c r="A260" t="str">
        <f>'rockfish harvests'!A268</f>
        <v>SE</v>
      </c>
      <c r="B260">
        <f>'rockfish harvests'!B268</f>
        <v>2014</v>
      </c>
      <c r="C260" t="str">
        <f>'rockfish harvests'!C268</f>
        <v>EWYKT</v>
      </c>
      <c r="D260">
        <f>'rockfish harvests'!D268</f>
        <v>4695</v>
      </c>
      <c r="E260">
        <f>'YE harvest'!E269</f>
        <v>675</v>
      </c>
      <c r="F260">
        <f>IF([2]species_comp_Region1_forR!$H326&gt;49,[2]species_comp_Region1_forR!$AV326,[2]species_comp_Region1_forR!$AX326)</f>
        <v>0</v>
      </c>
      <c r="G260">
        <f>IF([2]species_comp_Region1_forR!$H326&gt;49,[2]species_comp_Region1_forR!$AW326,[2]species_comp_Region1_forR!$AY326)</f>
        <v>0</v>
      </c>
      <c r="H260" s="13">
        <f t="shared" si="66"/>
        <v>0</v>
      </c>
      <c r="I260">
        <f t="shared" si="68"/>
        <v>0</v>
      </c>
      <c r="J260">
        <f t="shared" si="70"/>
        <v>0</v>
      </c>
      <c r="K260" s="6">
        <f t="shared" si="71"/>
        <v>0</v>
      </c>
      <c r="M260" s="2">
        <f>'rockfish harvests'!O268</f>
        <v>1023.1397849462364</v>
      </c>
      <c r="N260">
        <f>'rockfish harvests'!P268</f>
        <v>234030.60206548884</v>
      </c>
      <c r="O260" s="27">
        <f t="shared" ref="O260:P264" si="98">O310</f>
        <v>1.4150942999999999E-2</v>
      </c>
      <c r="P260" s="27">
        <f t="shared" si="98"/>
        <v>3.29804E-5</v>
      </c>
      <c r="Q260" s="13">
        <f t="shared" si="61"/>
        <v>14.47839277780645</v>
      </c>
      <c r="R260" s="14">
        <f t="shared" si="62"/>
        <v>73.670393183513866</v>
      </c>
      <c r="S260">
        <f t="shared" si="72"/>
        <v>8.5831458791933546</v>
      </c>
      <c r="T260" s="6">
        <f t="shared" si="73"/>
        <v>16.822965923218973</v>
      </c>
      <c r="V260" s="13">
        <f t="shared" si="69"/>
        <v>14.47839277780645</v>
      </c>
      <c r="W260">
        <f t="shared" si="69"/>
        <v>73.670393183513866</v>
      </c>
      <c r="X260">
        <f t="shared" si="74"/>
        <v>8.5831458791933546</v>
      </c>
      <c r="Y260" s="6">
        <f t="shared" si="75"/>
        <v>16.822965923218973</v>
      </c>
      <c r="Z260" s="14">
        <f t="shared" si="67"/>
        <v>0.59282449446669483</v>
      </c>
    </row>
    <row r="261" spans="1:26" hidden="1" x14ac:dyDescent="0.25">
      <c r="A261" t="str">
        <f>'rockfish harvests'!A269</f>
        <v>SE</v>
      </c>
      <c r="B261">
        <f>'rockfish harvests'!B269</f>
        <v>2015</v>
      </c>
      <c r="C261" t="str">
        <f>'rockfish harvests'!C269</f>
        <v>EWYKT</v>
      </c>
      <c r="D261">
        <f>'rockfish harvests'!D269</f>
        <v>5729</v>
      </c>
      <c r="E261">
        <f>'YE harvest'!E270</f>
        <v>1014</v>
      </c>
      <c r="F261">
        <f>IF([2]species_comp_Region1_forR!$H327&gt;49,[2]species_comp_Region1_forR!$AV327,[2]species_comp_Region1_forR!$AX327)</f>
        <v>0</v>
      </c>
      <c r="G261">
        <f>IF([2]species_comp_Region1_forR!$H327&gt;49,[2]species_comp_Region1_forR!$AW327,[2]species_comp_Region1_forR!$AY327)</f>
        <v>0</v>
      </c>
      <c r="H261" s="13">
        <f t="shared" si="66"/>
        <v>0</v>
      </c>
      <c r="I261">
        <f t="shared" si="68"/>
        <v>0</v>
      </c>
      <c r="J261">
        <f t="shared" si="70"/>
        <v>0</v>
      </c>
      <c r="K261" s="6">
        <f t="shared" si="71"/>
        <v>0</v>
      </c>
      <c r="M261" s="2">
        <f>'rockfish harvests'!O269</f>
        <v>2397.5678935972783</v>
      </c>
      <c r="N261">
        <f>'rockfish harvests'!P269</f>
        <v>1115072.9274274483</v>
      </c>
      <c r="O261" s="27">
        <f t="shared" si="98"/>
        <v>1.2779553000000001E-2</v>
      </c>
      <c r="P261" s="27">
        <f t="shared" si="98"/>
        <v>4.0436699999999999E-5</v>
      </c>
      <c r="Q261" s="13">
        <f t="shared" si="61"/>
        <v>30.639845967324781</v>
      </c>
      <c r="R261" s="14">
        <f t="shared" si="62"/>
        <v>369.46403650864301</v>
      </c>
      <c r="S261">
        <f t="shared" si="72"/>
        <v>19.221447305253655</v>
      </c>
      <c r="T261" s="6">
        <f t="shared" si="73"/>
        <v>37.67403671829716</v>
      </c>
      <c r="V261" s="13">
        <f t="shared" si="69"/>
        <v>30.639845967324781</v>
      </c>
      <c r="W261">
        <f t="shared" si="69"/>
        <v>369.46403650864301</v>
      </c>
      <c r="X261">
        <f t="shared" si="74"/>
        <v>19.221447305253655</v>
      </c>
      <c r="Y261" s="6">
        <f t="shared" si="75"/>
        <v>37.67403671829716</v>
      </c>
      <c r="Z261" s="14">
        <f t="shared" si="67"/>
        <v>0.62733498483484418</v>
      </c>
    </row>
    <row r="262" spans="1:26" hidden="1" x14ac:dyDescent="0.25">
      <c r="A262" t="str">
        <f>'rockfish harvests'!A270</f>
        <v>SE</v>
      </c>
      <c r="B262">
        <f>'rockfish harvests'!B270</f>
        <v>2016</v>
      </c>
      <c r="C262" t="str">
        <f>'rockfish harvests'!C270</f>
        <v>EWYKT</v>
      </c>
      <c r="D262">
        <f>'rockfish harvests'!D270</f>
        <v>7499</v>
      </c>
      <c r="E262">
        <f>'YE harvest'!E271</f>
        <v>1262</v>
      </c>
      <c r="F262">
        <f>IF([2]species_comp_Region1_forR!$H328&gt;49,[2]species_comp_Region1_forR!$AV328,[2]species_comp_Region1_forR!$AX328)</f>
        <v>0</v>
      </c>
      <c r="G262">
        <f>IF([2]species_comp_Region1_forR!$H328&gt;49,[2]species_comp_Region1_forR!$AW328,[2]species_comp_Region1_forR!$AY328)</f>
        <v>0</v>
      </c>
      <c r="H262" s="13">
        <f t="shared" si="66"/>
        <v>0</v>
      </c>
      <c r="I262">
        <f t="shared" si="68"/>
        <v>0</v>
      </c>
      <c r="J262">
        <f t="shared" si="70"/>
        <v>0</v>
      </c>
      <c r="K262" s="6">
        <f t="shared" si="71"/>
        <v>0</v>
      </c>
      <c r="M262" s="2">
        <f>'rockfish harvests'!O270</f>
        <v>2107.8674308497375</v>
      </c>
      <c r="N262">
        <f>'rockfish harvests'!P270</f>
        <v>521828.91183042602</v>
      </c>
      <c r="O262" s="27">
        <f t="shared" si="98"/>
        <v>9.9601589999999997E-3</v>
      </c>
      <c r="P262" s="27">
        <f t="shared" si="98"/>
        <v>1.96825E-5</v>
      </c>
      <c r="Q262" s="13">
        <f t="shared" si="61"/>
        <v>20.994694762184889</v>
      </c>
      <c r="R262" s="14">
        <f t="shared" si="62"/>
        <v>128.94843446377774</v>
      </c>
      <c r="S262">
        <f t="shared" si="72"/>
        <v>11.355546418547094</v>
      </c>
      <c r="T262" s="6">
        <f t="shared" si="73"/>
        <v>22.256870980352303</v>
      </c>
      <c r="V262" s="13">
        <f t="shared" si="69"/>
        <v>20.994694762184889</v>
      </c>
      <c r="W262">
        <f t="shared" si="69"/>
        <v>128.94843446377774</v>
      </c>
      <c r="X262">
        <f t="shared" si="74"/>
        <v>11.355546418547094</v>
      </c>
      <c r="Y262" s="6">
        <f t="shared" si="75"/>
        <v>22.256870980352303</v>
      </c>
      <c r="Z262" s="14">
        <f t="shared" si="67"/>
        <v>0.54087694758965565</v>
      </c>
    </row>
    <row r="263" spans="1:26" hidden="1" x14ac:dyDescent="0.25">
      <c r="A263" t="str">
        <f>'rockfish harvests'!A271</f>
        <v>SE</v>
      </c>
      <c r="B263">
        <f>'rockfish harvests'!B271</f>
        <v>2017</v>
      </c>
      <c r="C263" t="str">
        <f>'rockfish harvests'!C271</f>
        <v>EWYKT</v>
      </c>
      <c r="D263">
        <f>'rockfish harvests'!D271</f>
        <v>6324</v>
      </c>
      <c r="E263">
        <f>'YE harvest'!E272</f>
        <v>797</v>
      </c>
      <c r="F263">
        <f>IF([2]species_comp_Region1_forR!$H329&gt;49,[2]species_comp_Region1_forR!$AV329,[2]species_comp_Region1_forR!$AX329)</f>
        <v>1.1583012E-2</v>
      </c>
      <c r="G263">
        <f>IF([2]species_comp_Region1_forR!$H329&gt;49,[2]species_comp_Region1_forR!$AW329,[2]species_comp_Region1_forR!$AY329)</f>
        <v>4.4375400000000002E-5</v>
      </c>
      <c r="H263" s="13">
        <f t="shared" si="66"/>
        <v>9.2316605640000002</v>
      </c>
      <c r="I263">
        <f t="shared" si="68"/>
        <v>28.1876534586</v>
      </c>
      <c r="J263">
        <f t="shared" si="70"/>
        <v>5.3092045975456621</v>
      </c>
      <c r="K263" s="6">
        <f t="shared" si="71"/>
        <v>10.406041011189497</v>
      </c>
      <c r="M263" s="2">
        <f>'rockfish harvests'!O271</f>
        <v>1256.0488400488402</v>
      </c>
      <c r="N263">
        <f>'rockfish harvests'!P271</f>
        <v>191271.46761998921</v>
      </c>
      <c r="O263" s="27">
        <f t="shared" si="98"/>
        <v>9.7465889999999999E-3</v>
      </c>
      <c r="P263" s="27">
        <f t="shared" si="98"/>
        <v>1.8850799999999999E-5</v>
      </c>
      <c r="Q263" s="13">
        <f t="shared" si="61"/>
        <v>12.242191807882786</v>
      </c>
      <c r="R263" s="14">
        <f t="shared" si="62"/>
        <v>44.304532015045112</v>
      </c>
      <c r="S263">
        <f t="shared" si="72"/>
        <v>6.6561649630282682</v>
      </c>
      <c r="T263" s="6">
        <f t="shared" si="73"/>
        <v>13.046083327535406</v>
      </c>
      <c r="V263" s="13">
        <f t="shared" si="69"/>
        <v>21.473852371882785</v>
      </c>
      <c r="W263">
        <f t="shared" si="69"/>
        <v>72.492185473645108</v>
      </c>
      <c r="X263">
        <f t="shared" si="74"/>
        <v>8.5142342858089766</v>
      </c>
      <c r="Y263" s="6">
        <f t="shared" si="75"/>
        <v>16.687899200185594</v>
      </c>
      <c r="Z263" s="14">
        <f t="shared" si="67"/>
        <v>0.39649309953146827</v>
      </c>
    </row>
    <row r="264" spans="1:26" hidden="1" x14ac:dyDescent="0.25">
      <c r="A264" t="str">
        <f>'rockfish harvests'!A272</f>
        <v>SE</v>
      </c>
      <c r="B264">
        <f>'rockfish harvests'!B272</f>
        <v>2018</v>
      </c>
      <c r="C264" t="str">
        <f>'rockfish harvests'!C272</f>
        <v>EWYKT</v>
      </c>
      <c r="D264">
        <f>'rockfish harvests'!D272</f>
        <v>8659</v>
      </c>
      <c r="E264">
        <f>'YE harvest'!E273</f>
        <v>977</v>
      </c>
      <c r="F264">
        <f>IF([2]species_comp_Region1_forR!$H330&gt;49,[2]species_comp_Region1_forR!$AV330,[2]species_comp_Region1_forR!$AX330)</f>
        <v>5.0193050000000003E-2</v>
      </c>
      <c r="G264">
        <f>IF([2]species_comp_Region1_forR!$H330&gt;49,[2]species_comp_Region1_forR!$AW330,[2]species_comp_Region1_forR!$AY330)</f>
        <v>1.8478200000000001E-4</v>
      </c>
      <c r="H264" s="13">
        <f t="shared" si="66"/>
        <v>49.03860985</v>
      </c>
      <c r="I264">
        <f t="shared" si="68"/>
        <v>176.37977767800001</v>
      </c>
      <c r="J264">
        <f t="shared" si="70"/>
        <v>13.280804858064892</v>
      </c>
      <c r="K264" s="6">
        <f t="shared" si="71"/>
        <v>26.030377521807189</v>
      </c>
      <c r="M264" s="2">
        <f>'rockfish harvests'!O272</f>
        <v>1971.3795063043872</v>
      </c>
      <c r="N264">
        <f>'rockfish harvests'!P272</f>
        <v>502872.73387700756</v>
      </c>
      <c r="O264" s="27">
        <f t="shared" si="98"/>
        <v>1.6985138E-2</v>
      </c>
      <c r="P264" s="27">
        <f t="shared" si="98"/>
        <v>3.5524800000000002E-5</v>
      </c>
      <c r="Q264" s="13">
        <f t="shared" si="61"/>
        <v>33.484152964951889</v>
      </c>
      <c r="R264" s="14">
        <f t="shared" si="62"/>
        <v>265.27312251880642</v>
      </c>
      <c r="S264">
        <f t="shared" si="72"/>
        <v>16.287207327188</v>
      </c>
      <c r="T264" s="6">
        <f t="shared" si="73"/>
        <v>31.922926361288479</v>
      </c>
      <c r="V264" s="13">
        <f t="shared" si="69"/>
        <v>82.522762814951889</v>
      </c>
      <c r="W264">
        <f t="shared" si="69"/>
        <v>441.6529001968064</v>
      </c>
      <c r="X264">
        <f t="shared" si="74"/>
        <v>21.015539493356016</v>
      </c>
      <c r="Y264" s="6">
        <f t="shared" si="75"/>
        <v>41.190457406977792</v>
      </c>
      <c r="Z264" s="14">
        <f t="shared" si="67"/>
        <v>0.25466354708071304</v>
      </c>
    </row>
    <row r="265" spans="1:26" hidden="1" x14ac:dyDescent="0.25">
      <c r="A265" t="str">
        <f>'rockfish harvests'!A273</f>
        <v>SE</v>
      </c>
      <c r="B265">
        <f>'rockfish harvests'!B273</f>
        <v>2019</v>
      </c>
      <c r="C265" t="str">
        <f>'rockfish harvests'!C273</f>
        <v>EWYKT</v>
      </c>
      <c r="D265">
        <f>'rockfish harvests'!D273</f>
        <v>7908</v>
      </c>
      <c r="E265">
        <f>'YE harvest'!E274</f>
        <v>739</v>
      </c>
      <c r="F265">
        <v>6.8493150684931503E-3</v>
      </c>
      <c r="G265">
        <v>2.3375951723662074E-5</v>
      </c>
      <c r="H265" s="13">
        <f>E265*F265</f>
        <v>5.0616438356164384</v>
      </c>
      <c r="I265">
        <f>(E265^2)*G265</f>
        <v>12.766098131278055</v>
      </c>
      <c r="K265" s="6"/>
      <c r="M265" s="2">
        <f>'rockfish harvests'!O273</f>
        <v>3002.4944735311237</v>
      </c>
      <c r="N265">
        <f>'rockfish harvests'!P273</f>
        <v>1226769.4446075337</v>
      </c>
      <c r="O265" s="43">
        <v>3.3898305084745763E-2</v>
      </c>
      <c r="P265" s="43">
        <v>5.6464155167460796E-4</v>
      </c>
      <c r="Q265" s="13">
        <f>M265*O265</f>
        <v>101.77947367902114</v>
      </c>
      <c r="R265" s="14">
        <f>(M265^2)*P265+(O265^2)*N265-(P265*N265)</f>
        <v>5807.2181186161934</v>
      </c>
      <c r="S265">
        <f>SQRT(R265)</f>
        <v>76.205105594154205</v>
      </c>
      <c r="T265" s="6">
        <f>(1.96*S265)</f>
        <v>149.36200696454225</v>
      </c>
      <c r="V265" s="13">
        <f>Q265+H265</f>
        <v>106.84111751463757</v>
      </c>
      <c r="W265">
        <f>R265+I265</f>
        <v>5819.9842167474717</v>
      </c>
      <c r="X265">
        <f>SQRT(W265)</f>
        <v>76.288821047041168</v>
      </c>
      <c r="Y265" s="6">
        <f>(1.96*X265)</f>
        <v>149.52608925220068</v>
      </c>
      <c r="Z265" s="14">
        <f t="shared" si="67"/>
        <v>0.71403990169411469</v>
      </c>
    </row>
    <row r="266" spans="1:26" hidden="1" x14ac:dyDescent="0.25">
      <c r="A266" t="str">
        <f>'rockfish harvests'!A274</f>
        <v>SE</v>
      </c>
      <c r="B266">
        <f>'rockfish harvests'!B274</f>
        <v>2020</v>
      </c>
      <c r="C266" t="str">
        <f>'rockfish harvests'!C274</f>
        <v>EWYKT</v>
      </c>
      <c r="D266">
        <f>'rockfish harvests'!D274</f>
        <v>4059</v>
      </c>
      <c r="E266">
        <f>'YE harvest'!E275</f>
        <v>76</v>
      </c>
      <c r="F266" s="26" t="str">
        <f>F241</f>
        <v>0.992647058823529</v>
      </c>
      <c r="G266" s="26" t="str">
        <f>G241</f>
        <v>2.28446805399873e-06</v>
      </c>
      <c r="H266" s="13">
        <f t="shared" ref="H266:H267" si="99">E266*F266</f>
        <v>75.441176470588204</v>
      </c>
      <c r="I266">
        <f t="shared" ref="I266:I267" si="100">(E266^2)*G266</f>
        <v>1.3195087479896665E-2</v>
      </c>
      <c r="J266">
        <f t="shared" ref="J266" si="101">SQRT(I266)</f>
        <v>0.11486987194167436</v>
      </c>
      <c r="K266" s="6">
        <f t="shared" ref="K266" si="102">(1.96*J266)</f>
        <v>0.22514494900568174</v>
      </c>
      <c r="M266" s="2">
        <f>'rockfish harvests'!O274</f>
        <v>914.63838771593146</v>
      </c>
      <c r="N266">
        <f>'rockfish harvests'!P274</f>
        <v>109543.02664472036</v>
      </c>
      <c r="O266" t="s">
        <v>273</v>
      </c>
      <c r="P266" t="s">
        <v>273</v>
      </c>
      <c r="Q266" s="13">
        <f t="shared" ref="Q266:Q267" si="103">M266*O266</f>
        <v>0</v>
      </c>
      <c r="R266" s="14">
        <f t="shared" ref="R266:R267" si="104">(M266^2)*P266+(O266^2)*N266-(P266*N266)</f>
        <v>0</v>
      </c>
      <c r="S266">
        <f t="shared" ref="S266:S267" si="105">SQRT(R266)</f>
        <v>0</v>
      </c>
      <c r="T266" s="6">
        <f t="shared" ref="T266:T267" si="106">(1.96*S266)</f>
        <v>0</v>
      </c>
      <c r="V266" s="13">
        <f t="shared" ref="V266:V267" si="107">Q266+H266</f>
        <v>75.441176470588204</v>
      </c>
      <c r="W266">
        <f t="shared" ref="W266:W267" si="108">R266+I266</f>
        <v>1.3195087479896665E-2</v>
      </c>
      <c r="X266">
        <f t="shared" ref="X266:X267" si="109">SQRT(W266)</f>
        <v>0.11486987194167436</v>
      </c>
      <c r="Y266" s="6">
        <f t="shared" ref="Y266:Y267" si="110">(1.96*X266)</f>
        <v>0.22514494900568174</v>
      </c>
      <c r="Z266" s="14">
        <f t="shared" ref="Z266:Z267" si="111">X266/V266</f>
        <v>1.5226415773945145E-3</v>
      </c>
    </row>
    <row r="267" spans="1:26" hidden="1" x14ac:dyDescent="0.25">
      <c r="A267" t="str">
        <f>'rockfish harvests'!A275</f>
        <v>SE</v>
      </c>
      <c r="B267">
        <f>'rockfish harvests'!B275</f>
        <v>2021</v>
      </c>
      <c r="C267" t="str">
        <f>'rockfish harvests'!C275</f>
        <v>EWYKT</v>
      </c>
      <c r="D267">
        <f>'rockfish harvests'!D275</f>
        <v>7343</v>
      </c>
      <c r="E267">
        <f>'YE harvest'!E276</f>
        <v>118</v>
      </c>
      <c r="F267" s="26" t="str">
        <f t="shared" ref="F267:G267" si="112">F242</f>
        <v>0.984375</v>
      </c>
      <c r="G267" s="26" t="str">
        <f t="shared" si="112"/>
        <v>1.67456280620577e-06</v>
      </c>
      <c r="H267" s="13">
        <f t="shared" si="99"/>
        <v>116.15625</v>
      </c>
      <c r="I267">
        <f t="shared" si="100"/>
        <v>2.3316612513609142E-2</v>
      </c>
      <c r="K267" s="6"/>
      <c r="M267" s="2">
        <f>'rockfish harvests'!O275</f>
        <v>1513.750779741571</v>
      </c>
      <c r="N267">
        <f>'rockfish harvests'!P275</f>
        <v>303380.23971291271</v>
      </c>
      <c r="O267" t="s">
        <v>273</v>
      </c>
      <c r="P267" t="s">
        <v>273</v>
      </c>
      <c r="Q267" s="13">
        <f t="shared" si="103"/>
        <v>0</v>
      </c>
      <c r="R267" s="14">
        <f t="shared" si="104"/>
        <v>0</v>
      </c>
      <c r="S267">
        <f t="shared" si="105"/>
        <v>0</v>
      </c>
      <c r="T267" s="6">
        <f t="shared" si="106"/>
        <v>0</v>
      </c>
      <c r="V267" s="13">
        <f t="shared" si="107"/>
        <v>116.15625</v>
      </c>
      <c r="W267">
        <f t="shared" si="108"/>
        <v>2.3316612513609142E-2</v>
      </c>
      <c r="X267">
        <f t="shared" si="109"/>
        <v>0.1526977816263522</v>
      </c>
      <c r="Y267" s="6">
        <f t="shared" si="110"/>
        <v>0.29928765198765028</v>
      </c>
      <c r="Z267" s="14">
        <f t="shared" si="111"/>
        <v>1.3145894571006914E-3</v>
      </c>
    </row>
    <row r="268" spans="1:26" hidden="1" x14ac:dyDescent="0.25">
      <c r="A268" t="str">
        <f>'rockfish harvests'!A276</f>
        <v>SE</v>
      </c>
      <c r="B268">
        <f>'rockfish harvests'!B276</f>
        <v>2022</v>
      </c>
      <c r="C268" t="str">
        <f>'rockfish harvests'!C276</f>
        <v>EWYKT</v>
      </c>
      <c r="D268">
        <f>'rockfish harvests'!D276</f>
        <v>6780</v>
      </c>
      <c r="E268">
        <f>'YE harvest'!E277</f>
        <v>191</v>
      </c>
      <c r="F268" s="26" t="str">
        <f t="shared" ref="F268:G268" si="113">F243</f>
        <v>0.943548387096774</v>
      </c>
      <c r="G268" s="26" t="str">
        <f t="shared" si="113"/>
        <v>5.55246828977902e-06</v>
      </c>
      <c r="H268" s="13">
        <f t="shared" ref="H268" si="114">E268*F268</f>
        <v>180.21774193548384</v>
      </c>
      <c r="I268">
        <f t="shared" ref="I268" si="115">(E268^2)*G268</f>
        <v>0.20255959567942841</v>
      </c>
      <c r="K268" s="6"/>
      <c r="M268" s="2">
        <f>'rockfish harvests'!O276</f>
        <v>2639.4706368899915</v>
      </c>
      <c r="N268">
        <f>'rockfish harvests'!P276</f>
        <v>966290.79621620791</v>
      </c>
      <c r="O268" t="s">
        <v>292</v>
      </c>
      <c r="P268" t="s">
        <v>293</v>
      </c>
      <c r="Q268" s="13">
        <f t="shared" ref="Q268" si="116">M268*O268</f>
        <v>128.75466521414606</v>
      </c>
      <c r="R268" s="14">
        <f t="shared" ref="R268" si="117">(M268^2)*P268+(O268^2)*N268-(P268*N268)</f>
        <v>2328.3479718075891</v>
      </c>
      <c r="S268">
        <f t="shared" ref="S268" si="118">SQRT(R268)</f>
        <v>48.252958166392133</v>
      </c>
      <c r="T268" s="6"/>
      <c r="V268" s="13">
        <f t="shared" ref="V268" si="119">Q268+H268</f>
        <v>308.97240714962993</v>
      </c>
      <c r="W268">
        <f t="shared" ref="W268" si="120">R268+I268</f>
        <v>2328.5505314032685</v>
      </c>
      <c r="X268">
        <f t="shared" ref="X268" si="121">SQRT(W268)</f>
        <v>48.255057055227574</v>
      </c>
      <c r="Y268" s="6">
        <f t="shared" ref="Y268" si="122">(1.96*X268)</f>
        <v>94.57991182824604</v>
      </c>
      <c r="Z268" s="14">
        <f t="shared" ref="Z268" si="123">X268/V268</f>
        <v>0.15617917955974139</v>
      </c>
    </row>
    <row r="269" spans="1:26" hidden="1" x14ac:dyDescent="0.25">
      <c r="A269" t="str">
        <f>'rockfish harvests'!A277</f>
        <v>SE</v>
      </c>
      <c r="B269">
        <f>'rockfish harvests'!B277</f>
        <v>1998</v>
      </c>
      <c r="C269" t="str">
        <f>'rockfish harvests'!C277</f>
        <v>NSEI</v>
      </c>
      <c r="D269">
        <f>'rockfish harvests'!D277</f>
        <v>5285</v>
      </c>
      <c r="E269">
        <f>'YE harvest'!E278</f>
        <v>2741</v>
      </c>
      <c r="F269" s="32">
        <v>0.20680934300000001</v>
      </c>
      <c r="G269" s="32">
        <v>2.4673001E-2</v>
      </c>
      <c r="H269" s="13">
        <f t="shared" si="66"/>
        <v>566.864409163</v>
      </c>
      <c r="I269">
        <f t="shared" si="68"/>
        <v>185370.25502608099</v>
      </c>
      <c r="J269">
        <f t="shared" si="70"/>
        <v>430.54646093781912</v>
      </c>
      <c r="K269" s="6">
        <f t="shared" si="71"/>
        <v>843.87106343812547</v>
      </c>
      <c r="M269" s="2">
        <f>'rockfish harvests'!O277</f>
        <v>3144.4015142904627</v>
      </c>
      <c r="N269">
        <f>'rockfish harvests'!P277</f>
        <v>781648.06612226402</v>
      </c>
      <c r="O269" s="32">
        <v>0.14286457299999999</v>
      </c>
      <c r="P269" s="32">
        <v>2.497768E-3</v>
      </c>
      <c r="Q269" s="13">
        <f t="shared" si="61"/>
        <v>449.22357967966036</v>
      </c>
      <c r="R269" s="14">
        <f t="shared" si="62"/>
        <v>38697.369066238083</v>
      </c>
      <c r="S269">
        <f t="shared" si="72"/>
        <v>196.7164687214522</v>
      </c>
      <c r="T269" s="6">
        <f t="shared" si="73"/>
        <v>385.56427869404632</v>
      </c>
      <c r="V269" s="13">
        <f t="shared" si="69"/>
        <v>1016.0879888426604</v>
      </c>
      <c r="W269">
        <f t="shared" si="69"/>
        <v>224067.62409231908</v>
      </c>
      <c r="X269">
        <f t="shared" si="74"/>
        <v>473.35781824357679</v>
      </c>
      <c r="Y269" s="6">
        <f t="shared" si="75"/>
        <v>927.78132375741052</v>
      </c>
      <c r="Z269" s="14">
        <f t="shared" si="67"/>
        <v>0.46586301918866152</v>
      </c>
    </row>
    <row r="270" spans="1:26" hidden="1" x14ac:dyDescent="0.25">
      <c r="A270" t="str">
        <f>'rockfish harvests'!A278</f>
        <v>SE</v>
      </c>
      <c r="B270">
        <f>'rockfish harvests'!B278</f>
        <v>1999</v>
      </c>
      <c r="C270" t="str">
        <f>'rockfish harvests'!C278</f>
        <v>NSEI</v>
      </c>
      <c r="D270">
        <f>'rockfish harvests'!D278</f>
        <v>6363</v>
      </c>
      <c r="E270">
        <f>'YE harvest'!E279</f>
        <v>2506</v>
      </c>
      <c r="F270" s="32">
        <v>0.20680934300000001</v>
      </c>
      <c r="G270" s="32">
        <v>2.4673001E-2</v>
      </c>
      <c r="H270" s="13">
        <f t="shared" si="66"/>
        <v>518.26421355800005</v>
      </c>
      <c r="I270">
        <f t="shared" si="68"/>
        <v>154947.334508036</v>
      </c>
      <c r="J270">
        <f t="shared" si="70"/>
        <v>393.63350277642274</v>
      </c>
      <c r="K270" s="6">
        <f t="shared" si="71"/>
        <v>771.52166544178851</v>
      </c>
      <c r="M270" s="2">
        <f>'rockfish harvests'!O278</f>
        <v>3785.7761278013659</v>
      </c>
      <c r="N270">
        <f>'rockfish harvests'!P278</f>
        <v>1133039.6837394333</v>
      </c>
      <c r="O270" s="32">
        <v>0.14286457299999999</v>
      </c>
      <c r="P270" s="32">
        <v>2.497768E-3</v>
      </c>
      <c r="Q270" s="13">
        <f t="shared" si="61"/>
        <v>540.85328997193551</v>
      </c>
      <c r="R270" s="14">
        <f t="shared" si="62"/>
        <v>56093.856952625385</v>
      </c>
      <c r="S270">
        <f t="shared" si="72"/>
        <v>236.84141730834449</v>
      </c>
      <c r="T270" s="6">
        <f t="shared" si="73"/>
        <v>464.20917792435517</v>
      </c>
      <c r="V270" s="13">
        <f t="shared" si="69"/>
        <v>1059.1175035299357</v>
      </c>
      <c r="W270">
        <f t="shared" si="69"/>
        <v>211041.19146066139</v>
      </c>
      <c r="X270">
        <f t="shared" si="74"/>
        <v>459.39219786655212</v>
      </c>
      <c r="Y270" s="6">
        <f t="shared" si="75"/>
        <v>900.40870781844217</v>
      </c>
      <c r="Z270" s="14">
        <f t="shared" si="67"/>
        <v>0.43374998178714125</v>
      </c>
    </row>
    <row r="271" spans="1:26" hidden="1" x14ac:dyDescent="0.25">
      <c r="A271" t="str">
        <f>'rockfish harvests'!A279</f>
        <v>SE</v>
      </c>
      <c r="B271">
        <f>'rockfish harvests'!B279</f>
        <v>2000</v>
      </c>
      <c r="C271" t="str">
        <f>'rockfish harvests'!C279</f>
        <v>NSEI</v>
      </c>
      <c r="D271">
        <f>'rockfish harvests'!D279</f>
        <v>9746</v>
      </c>
      <c r="E271">
        <f>'YE harvest'!E280</f>
        <v>4164</v>
      </c>
      <c r="F271" s="32">
        <v>0.20680934300000001</v>
      </c>
      <c r="G271" s="32">
        <v>2.4673001E-2</v>
      </c>
      <c r="H271" s="13">
        <f t="shared" si="66"/>
        <v>861.15410425200002</v>
      </c>
      <c r="I271">
        <f t="shared" si="68"/>
        <v>427802.598346896</v>
      </c>
      <c r="J271">
        <f t="shared" si="70"/>
        <v>654.06620333640228</v>
      </c>
      <c r="K271" s="6">
        <f t="shared" si="71"/>
        <v>1281.9697585393485</v>
      </c>
      <c r="M271" s="2">
        <f>'rockfish harvests'!O279</f>
        <v>5798.550077251628</v>
      </c>
      <c r="N271">
        <f>'rockfish harvests'!P279</f>
        <v>2658116.9727772144</v>
      </c>
      <c r="O271" s="32">
        <v>0.14286457299999999</v>
      </c>
      <c r="P271" s="32">
        <v>2.497768E-3</v>
      </c>
      <c r="Q271" s="13">
        <f t="shared" ref="Q271:Q346" si="124">M271*O271</f>
        <v>828.40738080567075</v>
      </c>
      <c r="R271" s="14">
        <f t="shared" ref="R271:R346" si="125">(M271^2)*P271+(O271^2)*N271-(P271*N271)</f>
        <v>131596.47925323711</v>
      </c>
      <c r="S271">
        <f t="shared" si="72"/>
        <v>362.76229028557685</v>
      </c>
      <c r="T271" s="6">
        <f t="shared" si="73"/>
        <v>711.01408895973066</v>
      </c>
      <c r="V271" s="13">
        <f t="shared" si="69"/>
        <v>1689.5614850576708</v>
      </c>
      <c r="W271">
        <f t="shared" si="69"/>
        <v>559399.07760013314</v>
      </c>
      <c r="X271">
        <f t="shared" si="74"/>
        <v>747.92986141758854</v>
      </c>
      <c r="Y271" s="6">
        <f t="shared" si="75"/>
        <v>1465.9425283784735</v>
      </c>
      <c r="Z271" s="14">
        <f t="shared" si="67"/>
        <v>0.44267691234217443</v>
      </c>
    </row>
    <row r="272" spans="1:26" hidden="1" x14ac:dyDescent="0.25">
      <c r="A272" t="str">
        <f>'rockfish harvests'!A280</f>
        <v>SE</v>
      </c>
      <c r="B272">
        <f>'rockfish harvests'!B280</f>
        <v>2001</v>
      </c>
      <c r="C272" t="str">
        <f>'rockfish harvests'!C280</f>
        <v>NSEI</v>
      </c>
      <c r="D272">
        <f>'rockfish harvests'!D280</f>
        <v>7242</v>
      </c>
      <c r="E272">
        <f>'YE harvest'!E281</f>
        <v>3333</v>
      </c>
      <c r="F272" s="32">
        <v>0.20680934300000001</v>
      </c>
      <c r="G272" s="32">
        <v>2.4673001E-2</v>
      </c>
      <c r="H272" s="13">
        <f t="shared" si="66"/>
        <v>689.29554021900003</v>
      </c>
      <c r="I272">
        <f t="shared" si="68"/>
        <v>274089.62940588902</v>
      </c>
      <c r="J272">
        <f t="shared" si="70"/>
        <v>523.53570022099643</v>
      </c>
      <c r="K272" s="6">
        <f t="shared" si="71"/>
        <v>1026.1299724331529</v>
      </c>
      <c r="M272" s="2">
        <f>'rockfish harvests'!O280</f>
        <v>4308.7522736975479</v>
      </c>
      <c r="N272">
        <f>'rockfish harvests'!P280</f>
        <v>1467703.4510787677</v>
      </c>
      <c r="O272" s="32">
        <v>0.14286457299999999</v>
      </c>
      <c r="P272" s="32">
        <v>2.497768E-3</v>
      </c>
      <c r="Q272" s="13">
        <f t="shared" si="124"/>
        <v>615.56805374457929</v>
      </c>
      <c r="R272" s="14">
        <f t="shared" si="125"/>
        <v>72662.192344377196</v>
      </c>
      <c r="S272">
        <f t="shared" si="72"/>
        <v>269.55925572010545</v>
      </c>
      <c r="T272" s="6">
        <f t="shared" si="73"/>
        <v>528.3361412114067</v>
      </c>
      <c r="V272" s="13">
        <f t="shared" si="69"/>
        <v>1304.8635939635792</v>
      </c>
      <c r="W272">
        <f t="shared" si="69"/>
        <v>346751.82175026624</v>
      </c>
      <c r="X272">
        <f t="shared" si="74"/>
        <v>588.85636767404173</v>
      </c>
      <c r="Y272" s="6">
        <f t="shared" si="75"/>
        <v>1154.1584806411217</v>
      </c>
      <c r="Z272" s="14">
        <f t="shared" si="67"/>
        <v>0.45127810324247397</v>
      </c>
    </row>
    <row r="273" spans="1:26" hidden="1" x14ac:dyDescent="0.25">
      <c r="A273" t="str">
        <f>'rockfish harvests'!A281</f>
        <v>SE</v>
      </c>
      <c r="B273">
        <f>'rockfish harvests'!B281</f>
        <v>2002</v>
      </c>
      <c r="C273" t="str">
        <f>'rockfish harvests'!C281</f>
        <v>NSEI</v>
      </c>
      <c r="D273">
        <f>'rockfish harvests'!D281</f>
        <v>4958</v>
      </c>
      <c r="E273">
        <f>'YE harvest'!E282</f>
        <v>1838</v>
      </c>
      <c r="F273" s="32">
        <v>0.20680934300000001</v>
      </c>
      <c r="G273" s="32">
        <v>2.4673001E-2</v>
      </c>
      <c r="H273" s="13">
        <f t="shared" si="66"/>
        <v>380.115572434</v>
      </c>
      <c r="I273">
        <f t="shared" si="68"/>
        <v>83351.417590244004</v>
      </c>
      <c r="J273">
        <f t="shared" si="70"/>
        <v>288.70645574743219</v>
      </c>
      <c r="K273" s="6">
        <f t="shared" si="71"/>
        <v>565.86465326496705</v>
      </c>
      <c r="M273" s="2">
        <f>'rockfish harvests'!O281</f>
        <v>2949.8472484109971</v>
      </c>
      <c r="N273">
        <f>'rockfish harvests'!P281</f>
        <v>687914.27130295534</v>
      </c>
      <c r="O273" s="32">
        <v>0.14286457299999999</v>
      </c>
      <c r="P273" s="32">
        <v>2.497768E-3</v>
      </c>
      <c r="Q273" s="13">
        <f t="shared" si="124"/>
        <v>421.42866755946199</v>
      </c>
      <c r="R273" s="14">
        <f t="shared" si="125"/>
        <v>34056.851921359179</v>
      </c>
      <c r="S273">
        <f t="shared" si="72"/>
        <v>184.54498617236715</v>
      </c>
      <c r="T273" s="6">
        <f t="shared" si="73"/>
        <v>361.70817289783957</v>
      </c>
      <c r="V273" s="13">
        <f t="shared" si="69"/>
        <v>801.54423999346204</v>
      </c>
      <c r="W273">
        <f t="shared" si="69"/>
        <v>117408.26951160318</v>
      </c>
      <c r="X273">
        <f t="shared" si="74"/>
        <v>342.64890122631823</v>
      </c>
      <c r="Y273" s="6">
        <f t="shared" si="75"/>
        <v>671.59184640358376</v>
      </c>
      <c r="Z273" s="14">
        <f t="shared" si="67"/>
        <v>0.42748595040632209</v>
      </c>
    </row>
    <row r="274" spans="1:26" hidden="1" x14ac:dyDescent="0.25">
      <c r="A274" t="str">
        <f>'rockfish harvests'!A282</f>
        <v>SE</v>
      </c>
      <c r="B274">
        <f>'rockfish harvests'!B282</f>
        <v>2003</v>
      </c>
      <c r="C274" t="str">
        <f>'rockfish harvests'!C282</f>
        <v>NSEI</v>
      </c>
      <c r="D274">
        <f>'rockfish harvests'!D282</f>
        <v>6069</v>
      </c>
      <c r="E274">
        <f>'YE harvest'!E283</f>
        <v>2518</v>
      </c>
      <c r="F274" s="32">
        <v>0.20680934300000001</v>
      </c>
      <c r="G274" s="32">
        <v>2.4673001E-2</v>
      </c>
      <c r="H274" s="13">
        <f t="shared" si="66"/>
        <v>520.74592567399998</v>
      </c>
      <c r="I274">
        <f t="shared" si="68"/>
        <v>156434.82039232401</v>
      </c>
      <c r="J274">
        <f t="shared" si="70"/>
        <v>395.51841978891957</v>
      </c>
      <c r="K274" s="6">
        <f t="shared" si="71"/>
        <v>775.21610278628236</v>
      </c>
      <c r="M274" s="2">
        <f>'rockfish harvests'!O282</f>
        <v>3610.8557786620295</v>
      </c>
      <c r="N274">
        <f>'rockfish harvests'!P282</f>
        <v>1030755.2356043656</v>
      </c>
      <c r="O274" s="32">
        <v>0.14286457299999999</v>
      </c>
      <c r="P274" s="32">
        <v>2.497768E-3</v>
      </c>
      <c r="Q274" s="13">
        <f t="shared" si="124"/>
        <v>515.86336898313334</v>
      </c>
      <c r="R274" s="14">
        <f t="shared" si="125"/>
        <v>51030.019132549372</v>
      </c>
      <c r="S274">
        <f t="shared" si="72"/>
        <v>225.89824951191935</v>
      </c>
      <c r="T274" s="6">
        <f t="shared" si="73"/>
        <v>442.7605690433619</v>
      </c>
      <c r="V274" s="13">
        <f t="shared" si="69"/>
        <v>1036.6092946571334</v>
      </c>
      <c r="W274">
        <f t="shared" si="69"/>
        <v>207464.83952487339</v>
      </c>
      <c r="X274">
        <f t="shared" si="74"/>
        <v>455.48308368684053</v>
      </c>
      <c r="Y274" s="6">
        <f t="shared" si="75"/>
        <v>892.74684402620744</v>
      </c>
      <c r="Z274" s="14">
        <f t="shared" si="67"/>
        <v>0.43939706698992614</v>
      </c>
    </row>
    <row r="275" spans="1:26" hidden="1" x14ac:dyDescent="0.25">
      <c r="A275" t="str">
        <f>'rockfish harvests'!A283</f>
        <v>SE</v>
      </c>
      <c r="B275">
        <f>'rockfish harvests'!B283</f>
        <v>2004</v>
      </c>
      <c r="C275" t="str">
        <f>'rockfish harvests'!C283</f>
        <v>NSEI</v>
      </c>
      <c r="D275">
        <f>'rockfish harvests'!D283</f>
        <v>6052</v>
      </c>
      <c r="E275">
        <f>'YE harvest'!E284</f>
        <v>2724</v>
      </c>
      <c r="F275" s="32">
        <v>0.20680934300000001</v>
      </c>
      <c r="G275" s="32">
        <v>2.4673001E-2</v>
      </c>
      <c r="H275" s="13">
        <f t="shared" si="66"/>
        <v>563.34865033200003</v>
      </c>
      <c r="I275">
        <f t="shared" si="68"/>
        <v>183078.00986817601</v>
      </c>
      <c r="J275">
        <f t="shared" si="70"/>
        <v>427.87616183678193</v>
      </c>
      <c r="K275" s="6">
        <f t="shared" si="71"/>
        <v>838.63727720009263</v>
      </c>
      <c r="M275" s="2">
        <f>'rockfish harvests'!O283</f>
        <v>3600.7413367049921</v>
      </c>
      <c r="N275">
        <f>'rockfish harvests'!P283</f>
        <v>1024988.7840591522</v>
      </c>
      <c r="O275" s="32">
        <v>0.14286457299999999</v>
      </c>
      <c r="P275" s="32">
        <v>2.497768E-3</v>
      </c>
      <c r="Q275" s="13">
        <f t="shared" si="124"/>
        <v>514.41837355180792</v>
      </c>
      <c r="R275" s="14">
        <f t="shared" si="125"/>
        <v>50744.537068025449</v>
      </c>
      <c r="S275">
        <f t="shared" si="72"/>
        <v>225.26548130600358</v>
      </c>
      <c r="T275" s="6">
        <f t="shared" si="73"/>
        <v>441.52034335976703</v>
      </c>
      <c r="V275" s="13">
        <f t="shared" si="69"/>
        <v>1077.767023883808</v>
      </c>
      <c r="W275">
        <f t="shared" si="69"/>
        <v>233822.54693620146</v>
      </c>
      <c r="X275">
        <f t="shared" si="74"/>
        <v>483.5520105802492</v>
      </c>
      <c r="Y275" s="6">
        <f t="shared" si="75"/>
        <v>947.76194073728846</v>
      </c>
      <c r="Z275" s="14">
        <f t="shared" si="67"/>
        <v>0.44866098132946775</v>
      </c>
    </row>
    <row r="276" spans="1:26" hidden="1" x14ac:dyDescent="0.25">
      <c r="A276" t="str">
        <f>'rockfish harvests'!A284</f>
        <v>SE</v>
      </c>
      <c r="B276">
        <f>'rockfish harvests'!B284</f>
        <v>2005</v>
      </c>
      <c r="C276" t="str">
        <f>'rockfish harvests'!C284</f>
        <v>NSEI</v>
      </c>
      <c r="D276">
        <f>'rockfish harvests'!D284</f>
        <v>7678</v>
      </c>
      <c r="E276">
        <f>'YE harvest'!E285</f>
        <v>3213</v>
      </c>
      <c r="F276" s="32">
        <v>0.20680934300000001</v>
      </c>
      <c r="G276" s="32">
        <v>2.4673001E-2</v>
      </c>
      <c r="H276" s="13">
        <f t="shared" si="66"/>
        <v>664.47841905899998</v>
      </c>
      <c r="I276">
        <f t="shared" si="68"/>
        <v>254708.49366036899</v>
      </c>
      <c r="J276">
        <f t="shared" si="70"/>
        <v>504.68653009602804</v>
      </c>
      <c r="K276" s="6">
        <f t="shared" si="71"/>
        <v>989.18559898821491</v>
      </c>
      <c r="M276" s="2">
        <f>'rockfish harvests'!O284</f>
        <v>4568.1579615368355</v>
      </c>
      <c r="N276">
        <f>'rockfish harvests'!P284</f>
        <v>1649747.5421593867</v>
      </c>
      <c r="O276" s="32">
        <v>0.14286457299999999</v>
      </c>
      <c r="P276" s="32">
        <v>2.497768E-3</v>
      </c>
      <c r="Q276" s="13">
        <f t="shared" si="124"/>
        <v>652.62793657151042</v>
      </c>
      <c r="R276" s="14">
        <f t="shared" si="125"/>
        <v>81674.723282786304</v>
      </c>
      <c r="S276">
        <f t="shared" si="72"/>
        <v>285.78789911888555</v>
      </c>
      <c r="T276" s="6">
        <f t="shared" si="73"/>
        <v>560.14428227301562</v>
      </c>
      <c r="V276" s="13">
        <f t="shared" si="69"/>
        <v>1317.1063556305103</v>
      </c>
      <c r="W276">
        <f t="shared" si="69"/>
        <v>336383.21694315528</v>
      </c>
      <c r="X276">
        <f t="shared" si="74"/>
        <v>579.98553166708848</v>
      </c>
      <c r="Y276" s="6">
        <f t="shared" si="75"/>
        <v>1136.7716420674933</v>
      </c>
      <c r="Z276" s="14">
        <f t="shared" si="67"/>
        <v>0.4403482901648017</v>
      </c>
    </row>
    <row r="277" spans="1:26" hidden="1" x14ac:dyDescent="0.25">
      <c r="A277" t="str">
        <f>'rockfish harvests'!A285</f>
        <v>SE</v>
      </c>
      <c r="B277">
        <f>'rockfish harvests'!B285</f>
        <v>2006</v>
      </c>
      <c r="C277" t="str">
        <f>'rockfish harvests'!C285</f>
        <v>NSEI</v>
      </c>
      <c r="D277">
        <f>'rockfish harvests'!D285</f>
        <v>6437</v>
      </c>
      <c r="E277">
        <f>'YE harvest'!E286</f>
        <v>2961</v>
      </c>
      <c r="F277">
        <f>IF([2]species_comp_Region1_forR!$H142&gt;49,[2]species_comp_Region1_forR!$AV142,[2]species_comp_Region1_forR!$AX142)</f>
        <v>7.1225071000000001E-2</v>
      </c>
      <c r="G277">
        <f>IF([2]species_comp_Region1_forR!$H142&gt;49,[2]species_comp_Region1_forR!$AW142,[2]species_comp_Region1_forR!$AY142)</f>
        <v>1.89006E-4</v>
      </c>
      <c r="H277" s="13">
        <f t="shared" si="66"/>
        <v>210.897435231</v>
      </c>
      <c r="I277">
        <f t="shared" si="68"/>
        <v>1657.1140741260001</v>
      </c>
      <c r="J277">
        <f t="shared" si="70"/>
        <v>40.707666036337677</v>
      </c>
      <c r="K277" s="6">
        <f t="shared" si="71"/>
        <v>79.787025431221849</v>
      </c>
      <c r="M277" s="2">
        <f>'rockfish harvests'!O285</f>
        <v>3829.8036986731713</v>
      </c>
      <c r="N277">
        <f>'rockfish harvests'!P285</f>
        <v>1159546.8293526676</v>
      </c>
      <c r="O277">
        <f>IF([2]species_comp_Region1_forR!$D164&gt;49,[2]species_comp_Region1_forR!$AR164,[2]species_comp_Region1_forR!$AT164)</f>
        <v>0.1</v>
      </c>
      <c r="P277">
        <f>IF([2]species_comp_Region1_forR!$D164&gt;49,[2]species_comp_Region1_forR!$AS164,[2]species_comp_Region1_forR!$AU164)</f>
        <v>4.7618999999999998E-4</v>
      </c>
      <c r="Q277" s="13">
        <f t="shared" si="124"/>
        <v>382.98036986731717</v>
      </c>
      <c r="R277" s="14">
        <f t="shared" si="125"/>
        <v>18027.771166464056</v>
      </c>
      <c r="S277">
        <f t="shared" si="72"/>
        <v>134.26753578756131</v>
      </c>
      <c r="T277" s="6">
        <f t="shared" si="73"/>
        <v>263.16437014362015</v>
      </c>
      <c r="V277" s="13">
        <f t="shared" si="69"/>
        <v>593.87780509831714</v>
      </c>
      <c r="W277">
        <f t="shared" si="69"/>
        <v>19684.885240590054</v>
      </c>
      <c r="X277">
        <f t="shared" si="74"/>
        <v>140.30283404332948</v>
      </c>
      <c r="Y277" s="6">
        <f t="shared" si="75"/>
        <v>274.99355472492579</v>
      </c>
      <c r="Z277" s="14">
        <f t="shared" si="67"/>
        <v>0.23624865728077207</v>
      </c>
    </row>
    <row r="278" spans="1:26" hidden="1" x14ac:dyDescent="0.25">
      <c r="A278" t="str">
        <f>'rockfish harvests'!A286</f>
        <v>SE</v>
      </c>
      <c r="B278">
        <f>'rockfish harvests'!B286</f>
        <v>2007</v>
      </c>
      <c r="C278" t="str">
        <f>'rockfish harvests'!C286</f>
        <v>NSEI</v>
      </c>
      <c r="D278">
        <f>'rockfish harvests'!D286</f>
        <v>7499</v>
      </c>
      <c r="E278">
        <f>'YE harvest'!E287</f>
        <v>3335</v>
      </c>
      <c r="F278">
        <f>IF([2]species_comp_Region1_forR!$H143&gt;49,[2]species_comp_Region1_forR!$AV143,[2]species_comp_Region1_forR!$AX143)</f>
        <v>3.3333333E-2</v>
      </c>
      <c r="G278">
        <f>IF([2]species_comp_Region1_forR!$H143&gt;49,[2]species_comp_Region1_forR!$AW143,[2]species_comp_Region1_forR!$AY143)</f>
        <v>8.9755500000000005E-5</v>
      </c>
      <c r="H278" s="13">
        <f t="shared" si="66"/>
        <v>111.16666555499999</v>
      </c>
      <c r="I278">
        <f t="shared" si="68"/>
        <v>998.28086598750008</v>
      </c>
      <c r="J278">
        <f t="shared" si="70"/>
        <v>31.595583013888191</v>
      </c>
      <c r="K278" s="6">
        <f t="shared" si="71"/>
        <v>61.927342707220852</v>
      </c>
      <c r="M278" s="2">
        <f>'rockfish harvests'!O286</f>
        <v>4461.6588374009807</v>
      </c>
      <c r="N278">
        <f>'rockfish harvests'!P286</f>
        <v>1573721.8750711286</v>
      </c>
      <c r="O278">
        <f>IF([2]species_comp_Region1_forR!$D165&gt;49,[2]species_comp_Region1_forR!$AR165,[2]species_comp_Region1_forR!$AT165)</f>
        <v>0.20574162700000001</v>
      </c>
      <c r="P278">
        <f>IF([2]species_comp_Region1_forR!$D165&gt;49,[2]species_comp_Region1_forR!$AS165,[2]species_comp_Region1_forR!$AU165)</f>
        <v>7.8563500000000002E-4</v>
      </c>
      <c r="Q278" s="13">
        <f t="shared" si="124"/>
        <v>917.94894832580621</v>
      </c>
      <c r="R278" s="14">
        <f t="shared" si="125"/>
        <v>81017.837612914824</v>
      </c>
      <c r="S278">
        <f t="shared" si="72"/>
        <v>284.63632518165144</v>
      </c>
      <c r="T278" s="6">
        <f t="shared" si="73"/>
        <v>557.88719735603684</v>
      </c>
      <c r="V278" s="13">
        <f t="shared" si="69"/>
        <v>1029.1156138808062</v>
      </c>
      <c r="W278">
        <f t="shared" si="69"/>
        <v>82016.118478902325</v>
      </c>
      <c r="X278">
        <f t="shared" si="74"/>
        <v>286.38456396758244</v>
      </c>
      <c r="Y278" s="6">
        <f t="shared" si="75"/>
        <v>561.31374537646161</v>
      </c>
      <c r="Z278" s="14">
        <f t="shared" si="67"/>
        <v>0.27828220668776282</v>
      </c>
    </row>
    <row r="279" spans="1:26" hidden="1" x14ac:dyDescent="0.25">
      <c r="A279" t="str">
        <f>'rockfish harvests'!A287</f>
        <v>SE</v>
      </c>
      <c r="B279">
        <f>'rockfish harvests'!B287</f>
        <v>2008</v>
      </c>
      <c r="C279" t="str">
        <f>'rockfish harvests'!C287</f>
        <v>NSEI</v>
      </c>
      <c r="D279">
        <f>'rockfish harvests'!D287</f>
        <v>10923</v>
      </c>
      <c r="E279">
        <f>'YE harvest'!E288</f>
        <v>4095</v>
      </c>
      <c r="F279">
        <f>IF([2]species_comp_Region1_forR!$H144&gt;49,[2]species_comp_Region1_forR!$AV144,[2]species_comp_Region1_forR!$AX144)</f>
        <v>5.2734375E-2</v>
      </c>
      <c r="G279">
        <f>IF([2]species_comp_Region1_forR!$H144&gt;49,[2]species_comp_Region1_forR!$AW144,[2]species_comp_Region1_forR!$AY144)</f>
        <v>9.7756299999999998E-5</v>
      </c>
      <c r="H279" s="13">
        <f t="shared" si="66"/>
        <v>215.947265625</v>
      </c>
      <c r="I279">
        <f t="shared" si="68"/>
        <v>1639.2778386074999</v>
      </c>
      <c r="J279">
        <f t="shared" si="70"/>
        <v>40.487996228604594</v>
      </c>
      <c r="K279" s="6">
        <f t="shared" si="71"/>
        <v>79.356472608065005</v>
      </c>
      <c r="M279" s="2">
        <f>'rockfish harvests'!O287</f>
        <v>6498.8264409829208</v>
      </c>
      <c r="N279">
        <f>'rockfish harvests'!P287</f>
        <v>3338913.2975072474</v>
      </c>
      <c r="O279">
        <f>IF([2]species_comp_Region1_forR!$D166&gt;49,[2]species_comp_Region1_forR!$AR166,[2]species_comp_Region1_forR!$AT166)</f>
        <v>9.8837208999999995E-2</v>
      </c>
      <c r="P279">
        <f>IF([2]species_comp_Region1_forR!$D166&gt;49,[2]species_comp_Region1_forR!$AS166,[2]species_comp_Region1_forR!$AU166)</f>
        <v>5.2086799999999996E-4</v>
      </c>
      <c r="Q279" s="13">
        <f t="shared" si="124"/>
        <v>642.32586720215511</v>
      </c>
      <c r="R279" s="14">
        <f t="shared" si="125"/>
        <v>52876.749920773822</v>
      </c>
      <c r="S279">
        <f t="shared" si="72"/>
        <v>229.94945079467752</v>
      </c>
      <c r="T279" s="6">
        <f t="shared" si="73"/>
        <v>450.70092355756793</v>
      </c>
      <c r="V279" s="13">
        <f t="shared" si="69"/>
        <v>858.27313282715511</v>
      </c>
      <c r="W279">
        <f t="shared" si="69"/>
        <v>54516.027759381323</v>
      </c>
      <c r="X279">
        <f t="shared" si="74"/>
        <v>233.48667576412433</v>
      </c>
      <c r="Y279" s="6">
        <f t="shared" si="75"/>
        <v>457.63388449768365</v>
      </c>
      <c r="Z279" s="14">
        <f t="shared" si="67"/>
        <v>0.27204239167433597</v>
      </c>
    </row>
    <row r="280" spans="1:26" hidden="1" x14ac:dyDescent="0.25">
      <c r="A280" t="str">
        <f>'rockfish harvests'!A288</f>
        <v>SE</v>
      </c>
      <c r="B280">
        <f>'rockfish harvests'!B288</f>
        <v>2009</v>
      </c>
      <c r="C280" t="str">
        <f>'rockfish harvests'!C288</f>
        <v>NSEI</v>
      </c>
      <c r="D280">
        <f>'rockfish harvests'!D288</f>
        <v>9325</v>
      </c>
      <c r="E280">
        <f>'YE harvest'!E289</f>
        <v>3331</v>
      </c>
      <c r="F280">
        <f>IF([2]species_comp_Region1_forR!$H145&gt;49,[2]species_comp_Region1_forR!$AV145,[2]species_comp_Region1_forR!$AX145)</f>
        <v>0.124579125</v>
      </c>
      <c r="G280">
        <f>IF([2]species_comp_Region1_forR!$H145&gt;49,[2]species_comp_Region1_forR!$AW145,[2]species_comp_Region1_forR!$AY145)</f>
        <v>3.6844299999999998E-4</v>
      </c>
      <c r="H280" s="13">
        <f t="shared" si="66"/>
        <v>414.97306537499998</v>
      </c>
      <c r="I280">
        <f t="shared" si="68"/>
        <v>4088.0817815229998</v>
      </c>
      <c r="J280">
        <f t="shared" si="70"/>
        <v>63.93810899239201</v>
      </c>
      <c r="K280" s="6">
        <f t="shared" si="71"/>
        <v>125.31869362508834</v>
      </c>
      <c r="M280" s="2">
        <f>'rockfish harvests'!O288</f>
        <v>5548.0688970214906</v>
      </c>
      <c r="N280">
        <f>'rockfish harvests'!P288</f>
        <v>2433430.5466266801</v>
      </c>
      <c r="O280">
        <f>IF([2]species_comp_Region1_forR!$D167&gt;49,[2]species_comp_Region1_forR!$AR167,[2]species_comp_Region1_forR!$AT167)</f>
        <v>0.13574660599999999</v>
      </c>
      <c r="P280">
        <f>IF([2]species_comp_Region1_forR!$D167&gt;49,[2]species_comp_Region1_forR!$AS167,[2]species_comp_Region1_forR!$AU167)</f>
        <v>5.3326999999999997E-4</v>
      </c>
      <c r="Q280" s="13">
        <f t="shared" si="124"/>
        <v>753.13152262483084</v>
      </c>
      <c r="R280" s="14">
        <f t="shared" si="125"/>
        <v>59958.112778979121</v>
      </c>
      <c r="S280">
        <f t="shared" si="72"/>
        <v>244.8634574185767</v>
      </c>
      <c r="T280" s="6">
        <f t="shared" si="73"/>
        <v>479.9323765404103</v>
      </c>
      <c r="V280" s="13">
        <f t="shared" si="69"/>
        <v>1168.1045879998308</v>
      </c>
      <c r="W280">
        <f t="shared" si="69"/>
        <v>64046.194560502117</v>
      </c>
      <c r="X280">
        <f t="shared" si="74"/>
        <v>253.07349636123914</v>
      </c>
      <c r="Y280" s="6">
        <f t="shared" si="75"/>
        <v>496.02405286802872</v>
      </c>
      <c r="Z280" s="14">
        <f t="shared" si="67"/>
        <v>0.21665311390873143</v>
      </c>
    </row>
    <row r="281" spans="1:26" hidden="1" x14ac:dyDescent="0.25">
      <c r="A281" t="str">
        <f>'rockfish harvests'!A289</f>
        <v>SE</v>
      </c>
      <c r="B281">
        <f>'rockfish harvests'!B289</f>
        <v>2010</v>
      </c>
      <c r="C281" t="str">
        <f>'rockfish harvests'!C289</f>
        <v>NSEI</v>
      </c>
      <c r="D281">
        <f>'rockfish harvests'!D289</f>
        <v>11942</v>
      </c>
      <c r="E281">
        <f>'YE harvest'!E290</f>
        <v>4469</v>
      </c>
      <c r="F281">
        <f>IF([2]species_comp_Region1_forR!$H146&gt;49,[2]species_comp_Region1_forR!$AV146,[2]species_comp_Region1_forR!$AX146)</f>
        <v>8.7855296999999999E-2</v>
      </c>
      <c r="G281">
        <f>IF([2]species_comp_Region1_forR!$H146&gt;49,[2]species_comp_Region1_forR!$AW146,[2]species_comp_Region1_forR!$AY146)</f>
        <v>2.07608E-4</v>
      </c>
      <c r="H281" s="13">
        <f t="shared" si="66"/>
        <v>392.62532229300001</v>
      </c>
      <c r="I281">
        <f t="shared" si="68"/>
        <v>4146.3388792879996</v>
      </c>
      <c r="J281">
        <f t="shared" si="70"/>
        <v>64.392071556116278</v>
      </c>
      <c r="K281" s="6">
        <f t="shared" si="71"/>
        <v>126.20846024998791</v>
      </c>
      <c r="M281" s="2">
        <f>'rockfish harvests'!O289</f>
        <v>7105.0979912311668</v>
      </c>
      <c r="N281">
        <f>'rockfish harvests'!P289</f>
        <v>3990941.9253061144</v>
      </c>
      <c r="O281">
        <f>IF([2]species_comp_Region1_forR!$D168&gt;49,[2]species_comp_Region1_forR!$AR168,[2]species_comp_Region1_forR!$AT168)</f>
        <v>0.11002445</v>
      </c>
      <c r="P281">
        <f>IF([2]species_comp_Region1_forR!$D168&gt;49,[2]species_comp_Region1_forR!$AS168,[2]species_comp_Region1_forR!$AU168)</f>
        <v>2.39998E-4</v>
      </c>
      <c r="Q281" s="13">
        <f t="shared" si="124"/>
        <v>781.73449868131388</v>
      </c>
      <c r="R281" s="14">
        <f t="shared" si="125"/>
        <v>59469.728105190035</v>
      </c>
      <c r="S281">
        <f t="shared" si="72"/>
        <v>243.86415912386559</v>
      </c>
      <c r="T281" s="6">
        <f t="shared" si="73"/>
        <v>477.97375188277653</v>
      </c>
      <c r="V281" s="13">
        <f t="shared" si="69"/>
        <v>1174.3598209743138</v>
      </c>
      <c r="W281">
        <f t="shared" si="69"/>
        <v>63616.066984478035</v>
      </c>
      <c r="X281">
        <f t="shared" si="74"/>
        <v>252.22225711558056</v>
      </c>
      <c r="Y281" s="6">
        <f t="shared" si="75"/>
        <v>494.35562394653789</v>
      </c>
      <c r="Z281" s="14">
        <f t="shared" si="67"/>
        <v>0.21477425624654209</v>
      </c>
    </row>
    <row r="282" spans="1:26" hidden="1" x14ac:dyDescent="0.25">
      <c r="A282" t="str">
        <f>'rockfish harvests'!A290</f>
        <v>SE</v>
      </c>
      <c r="B282">
        <f>'rockfish harvests'!B290</f>
        <v>2011</v>
      </c>
      <c r="C282" t="str">
        <f>'rockfish harvests'!C290</f>
        <v>NSEI</v>
      </c>
      <c r="D282">
        <f>'rockfish harvests'!D290</f>
        <v>13281</v>
      </c>
      <c r="E282">
        <f>'YE harvest'!E291</f>
        <v>4956</v>
      </c>
      <c r="F282">
        <f>IF([2]species_comp_Region1_forR!$H147&gt;49,[2]species_comp_Region1_forR!$AV147,[2]species_comp_Region1_forR!$AX147)</f>
        <v>0.133333333</v>
      </c>
      <c r="G282">
        <f>IF([2]species_comp_Region1_forR!$H147&gt;49,[2]species_comp_Region1_forR!$AW147,[2]species_comp_Region1_forR!$AY147)</f>
        <v>4.5494300000000002E-4</v>
      </c>
      <c r="H282" s="13">
        <f t="shared" si="66"/>
        <v>660.79999834800003</v>
      </c>
      <c r="I282">
        <f t="shared" si="68"/>
        <v>11174.280849648001</v>
      </c>
      <c r="J282">
        <f t="shared" si="70"/>
        <v>105.70847104015837</v>
      </c>
      <c r="K282" s="6">
        <f t="shared" si="71"/>
        <v>207.18860323871041</v>
      </c>
      <c r="M282" s="2">
        <f>'rockfish harvests'!O290</f>
        <v>7853.144125958821</v>
      </c>
      <c r="N282">
        <f>'rockfish harvests'!P290</f>
        <v>2883554.5471730651</v>
      </c>
      <c r="O282">
        <f>IF([2]species_comp_Region1_forR!$D169&gt;49,[2]species_comp_Region1_forR!$AR169,[2]species_comp_Region1_forR!$AT169)</f>
        <v>0.18390804599999999</v>
      </c>
      <c r="P282">
        <f>IF([2]species_comp_Region1_forR!$D169&gt;49,[2]species_comp_Region1_forR!$AS169,[2]species_comp_Region1_forR!$AU169)</f>
        <v>4.3252399999999999E-4</v>
      </c>
      <c r="Q282" s="13">
        <f t="shared" si="124"/>
        <v>1444.2563911614645</v>
      </c>
      <c r="R282" s="14">
        <f t="shared" si="125"/>
        <v>122955.42882592413</v>
      </c>
      <c r="S282">
        <f t="shared" si="72"/>
        <v>350.65000902028243</v>
      </c>
      <c r="T282" s="6">
        <f t="shared" si="73"/>
        <v>687.27401767975357</v>
      </c>
      <c r="V282" s="13">
        <f t="shared" si="69"/>
        <v>2105.0563895094647</v>
      </c>
      <c r="W282">
        <f t="shared" si="69"/>
        <v>134129.70967557214</v>
      </c>
      <c r="X282">
        <f t="shared" si="74"/>
        <v>366.23723141643057</v>
      </c>
      <c r="Y282" s="6">
        <f t="shared" si="75"/>
        <v>717.82497357620389</v>
      </c>
      <c r="Z282" s="14">
        <f t="shared" si="67"/>
        <v>0.17397977234318829</v>
      </c>
    </row>
    <row r="283" spans="1:26" hidden="1" x14ac:dyDescent="0.25">
      <c r="A283" t="str">
        <f>'rockfish harvests'!A291</f>
        <v>SE</v>
      </c>
      <c r="B283">
        <f>'rockfish harvests'!B291</f>
        <v>2012</v>
      </c>
      <c r="C283" t="str">
        <f>'rockfish harvests'!C291</f>
        <v>NSEI</v>
      </c>
      <c r="D283">
        <f>'rockfish harvests'!D291</f>
        <v>15243</v>
      </c>
      <c r="E283">
        <f>'YE harvest'!E292</f>
        <v>6060</v>
      </c>
      <c r="F283">
        <f>IF([2]species_comp_Region1_forR!$H148&gt;49,[2]species_comp_Region1_forR!$AV148,[2]species_comp_Region1_forR!$AX148)</f>
        <v>0.123076923</v>
      </c>
      <c r="G283">
        <f>IF([2]species_comp_Region1_forR!$H148&gt;49,[2]species_comp_Region1_forR!$AW148,[2]species_comp_Region1_forR!$AY148)</f>
        <v>3.3311400000000002E-4</v>
      </c>
      <c r="H283" s="13">
        <f t="shared" si="66"/>
        <v>745.84615338000003</v>
      </c>
      <c r="I283">
        <f t="shared" si="68"/>
        <v>12233.145290400002</v>
      </c>
      <c r="J283">
        <f t="shared" si="70"/>
        <v>110.60355008045629</v>
      </c>
      <c r="K283" s="6">
        <f t="shared" si="71"/>
        <v>216.78295815769431</v>
      </c>
      <c r="M283" s="2">
        <f>'rockfish harvests'!O291</f>
        <v>15088.837840909095</v>
      </c>
      <c r="N283">
        <f>'rockfish harvests'!P291</f>
        <v>11116596.990618348</v>
      </c>
      <c r="O283">
        <f>IF([2]species_comp_Region1_forR!$D170&gt;49,[2]species_comp_Region1_forR!$AR170,[2]species_comp_Region1_forR!$AT170)</f>
        <v>0.130350195</v>
      </c>
      <c r="P283">
        <f>IF([2]species_comp_Region1_forR!$D170&gt;49,[2]species_comp_Region1_forR!$AS170,[2]species_comp_Region1_forR!$AU170)</f>
        <v>2.2097299999999999E-4</v>
      </c>
      <c r="Q283" s="13">
        <f t="shared" si="124"/>
        <v>1966.8329548858794</v>
      </c>
      <c r="R283" s="14">
        <f t="shared" si="125"/>
        <v>236737.15047451018</v>
      </c>
      <c r="S283">
        <f t="shared" si="72"/>
        <v>486.55642064873649</v>
      </c>
      <c r="T283" s="6">
        <f t="shared" si="73"/>
        <v>953.65058447152353</v>
      </c>
      <c r="V283" s="13">
        <f t="shared" si="69"/>
        <v>2712.6791082658792</v>
      </c>
      <c r="W283">
        <f t="shared" si="69"/>
        <v>248970.29576491017</v>
      </c>
      <c r="X283">
        <f t="shared" si="74"/>
        <v>498.96923328488919</v>
      </c>
      <c r="Y283" s="6">
        <f t="shared" si="75"/>
        <v>977.97969723838276</v>
      </c>
      <c r="Z283" s="14">
        <f t="shared" si="67"/>
        <v>0.18393964540975977</v>
      </c>
    </row>
    <row r="284" spans="1:26" hidden="1" x14ac:dyDescent="0.25">
      <c r="A284" t="str">
        <f>'rockfish harvests'!A292</f>
        <v>SE</v>
      </c>
      <c r="B284">
        <f>'rockfish harvests'!B292</f>
        <v>2013</v>
      </c>
      <c r="C284" t="str">
        <f>'rockfish harvests'!C292</f>
        <v>NSEI</v>
      </c>
      <c r="D284">
        <f>'rockfish harvests'!D292</f>
        <v>14770</v>
      </c>
      <c r="E284">
        <f>'YE harvest'!E293</f>
        <v>5187</v>
      </c>
      <c r="F284">
        <f>IF([2]species_comp_Region1_forR!$H149&gt;49,[2]species_comp_Region1_forR!$AV149,[2]species_comp_Region1_forR!$AX149)</f>
        <v>0.30283911699999999</v>
      </c>
      <c r="G284">
        <f>IF([2]species_comp_Region1_forR!$H149&gt;49,[2]species_comp_Region1_forR!$AW149,[2]species_comp_Region1_forR!$AY149)</f>
        <v>6.6812499999999999E-4</v>
      </c>
      <c r="H284" s="13">
        <f t="shared" si="66"/>
        <v>1570.826499879</v>
      </c>
      <c r="I284">
        <f t="shared" si="68"/>
        <v>17975.882413125</v>
      </c>
      <c r="J284">
        <f t="shared" si="70"/>
        <v>134.07416758318882</v>
      </c>
      <c r="K284" s="6">
        <f t="shared" si="71"/>
        <v>262.78536846305008</v>
      </c>
      <c r="M284" s="2">
        <f>'rockfish harvests'!O292</f>
        <v>8172.238805970148</v>
      </c>
      <c r="N284">
        <f>'rockfish harvests'!P292</f>
        <v>2814788.8573717903</v>
      </c>
      <c r="O284">
        <f>IF([2]species_comp_Region1_forR!$D171&gt;49,[2]species_comp_Region1_forR!$AR171,[2]species_comp_Region1_forR!$AT171)</f>
        <v>0.13224822</v>
      </c>
      <c r="P284">
        <f>IF([2]species_comp_Region1_forR!$D171&gt;49,[2]species_comp_Region1_forR!$AS171,[2]species_comp_Region1_forR!$AU171)</f>
        <v>1.1686199999999999E-4</v>
      </c>
      <c r="Q284" s="13">
        <f t="shared" si="124"/>
        <v>1080.7640355044775</v>
      </c>
      <c r="R284" s="14">
        <f t="shared" si="125"/>
        <v>56705.251556153518</v>
      </c>
      <c r="S284">
        <f t="shared" si="72"/>
        <v>238.12864497190068</v>
      </c>
      <c r="T284" s="6">
        <f t="shared" si="73"/>
        <v>466.73214414492531</v>
      </c>
      <c r="V284" s="13">
        <f t="shared" si="69"/>
        <v>2651.5905353834778</v>
      </c>
      <c r="W284">
        <f t="shared" si="69"/>
        <v>74681.133969278511</v>
      </c>
      <c r="X284">
        <f t="shared" si="74"/>
        <v>273.27849159653692</v>
      </c>
      <c r="Y284" s="6">
        <f t="shared" si="75"/>
        <v>535.62584352921237</v>
      </c>
      <c r="Z284" s="14">
        <f t="shared" si="67"/>
        <v>0.10306210101063545</v>
      </c>
    </row>
    <row r="285" spans="1:26" hidden="1" x14ac:dyDescent="0.25">
      <c r="A285" t="str">
        <f>'rockfish harvests'!A293</f>
        <v>SE</v>
      </c>
      <c r="B285">
        <f>'rockfish harvests'!B293</f>
        <v>2014</v>
      </c>
      <c r="C285" t="str">
        <f>'rockfish harvests'!C293</f>
        <v>NSEI</v>
      </c>
      <c r="D285">
        <f>'rockfish harvests'!D293</f>
        <v>19857</v>
      </c>
      <c r="E285">
        <f>'YE harvest'!E294</f>
        <v>6286</v>
      </c>
      <c r="F285">
        <f>IF([2]species_comp_Region1_forR!$H150&gt;49,[2]species_comp_Region1_forR!$AV150,[2]species_comp_Region1_forR!$AX150)</f>
        <v>0.230529595</v>
      </c>
      <c r="G285">
        <f>IF([2]species_comp_Region1_forR!$H150&gt;49,[2]species_comp_Region1_forR!$AW150,[2]species_comp_Region1_forR!$AY150)</f>
        <v>5.5433000000000001E-4</v>
      </c>
      <c r="H285" s="13">
        <f t="shared" si="66"/>
        <v>1449.1090341700001</v>
      </c>
      <c r="I285">
        <f t="shared" si="68"/>
        <v>21903.68253668</v>
      </c>
      <c r="J285">
        <f t="shared" si="70"/>
        <v>147.99892748489768</v>
      </c>
      <c r="K285" s="6">
        <f t="shared" si="71"/>
        <v>290.07789787039945</v>
      </c>
      <c r="M285" s="2">
        <f>'rockfish harvests'!O293</f>
        <v>12419.119924151324</v>
      </c>
      <c r="N285">
        <f>'rockfish harvests'!P293</f>
        <v>9528568.3691134229</v>
      </c>
      <c r="O285">
        <f>IF([2]species_comp_Region1_forR!$D172&gt;49,[2]species_comp_Region1_forR!$AR172,[2]species_comp_Region1_forR!$AT172)</f>
        <v>0.16117542300000001</v>
      </c>
      <c r="P285">
        <f>IF([2]species_comp_Region1_forR!$D172&gt;49,[2]species_comp_Region1_forR!$AS172,[2]species_comp_Region1_forR!$AU172)</f>
        <v>1.20497E-4</v>
      </c>
      <c r="Q285" s="13">
        <f t="shared" si="124"/>
        <v>2001.6569070628177</v>
      </c>
      <c r="R285" s="14">
        <f t="shared" si="125"/>
        <v>264965.18202269508</v>
      </c>
      <c r="S285">
        <f t="shared" si="72"/>
        <v>514.74768772933317</v>
      </c>
      <c r="T285" s="6">
        <f t="shared" si="73"/>
        <v>1008.905467949493</v>
      </c>
      <c r="V285" s="13">
        <f t="shared" si="69"/>
        <v>3450.7659412328176</v>
      </c>
      <c r="W285">
        <f t="shared" si="69"/>
        <v>286868.8645593751</v>
      </c>
      <c r="X285">
        <f t="shared" si="74"/>
        <v>535.60140455321357</v>
      </c>
      <c r="Y285" s="6">
        <f t="shared" si="75"/>
        <v>1049.7787529242985</v>
      </c>
      <c r="Z285" s="14">
        <f t="shared" si="67"/>
        <v>0.15521232493730511</v>
      </c>
    </row>
    <row r="286" spans="1:26" hidden="1" x14ac:dyDescent="0.25">
      <c r="A286" t="str">
        <f>'rockfish harvests'!A294</f>
        <v>SE</v>
      </c>
      <c r="B286">
        <f>'rockfish harvests'!B294</f>
        <v>2015</v>
      </c>
      <c r="C286" t="str">
        <f>'rockfish harvests'!C294</f>
        <v>NSEI</v>
      </c>
      <c r="D286">
        <f>'rockfish harvests'!D294</f>
        <v>22095</v>
      </c>
      <c r="E286">
        <f>'YE harvest'!E295</f>
        <v>8119</v>
      </c>
      <c r="F286">
        <f>IF([2]species_comp_Region1_forR!$H151&gt;49,[2]species_comp_Region1_forR!$AV151,[2]species_comp_Region1_forR!$AX151)</f>
        <v>0.12808988800000001</v>
      </c>
      <c r="G286">
        <f>IF([2]species_comp_Region1_forR!$H151&gt;49,[2]species_comp_Region1_forR!$AW151,[2]species_comp_Region1_forR!$AY151)</f>
        <v>2.5153799999999999E-4</v>
      </c>
      <c r="H286" s="13">
        <f t="shared" si="66"/>
        <v>1039.9618006720002</v>
      </c>
      <c r="I286">
        <f t="shared" si="68"/>
        <v>16580.922381617998</v>
      </c>
      <c r="J286">
        <f t="shared" si="70"/>
        <v>128.76693046593135</v>
      </c>
      <c r="K286" s="6">
        <f t="shared" si="71"/>
        <v>252.38318371322543</v>
      </c>
      <c r="M286" s="2">
        <f>'rockfish harvests'!O294</f>
        <v>9668.8857001484394</v>
      </c>
      <c r="N286">
        <f>'rockfish harvests'!P294</f>
        <v>4304414.6066964231</v>
      </c>
      <c r="O286">
        <f>IF([2]species_comp_Region1_forR!$D173&gt;49,[2]species_comp_Region1_forR!$AR173,[2]species_comp_Region1_forR!$AT173)</f>
        <v>0.19490131599999999</v>
      </c>
      <c r="P286">
        <f>IF([2]species_comp_Region1_forR!$D173&gt;49,[2]species_comp_Region1_forR!$AS173,[2]species_comp_Region1_forR!$AU173)</f>
        <v>1.2914799999999999E-4</v>
      </c>
      <c r="Q286" s="13">
        <f t="shared" si="124"/>
        <v>1884.4785472125122</v>
      </c>
      <c r="R286" s="14">
        <f t="shared" si="125"/>
        <v>175027.54219472423</v>
      </c>
      <c r="S286">
        <f t="shared" si="72"/>
        <v>418.36293119099861</v>
      </c>
      <c r="T286" s="6">
        <f t="shared" si="73"/>
        <v>819.99134513435729</v>
      </c>
      <c r="V286" s="13">
        <f t="shared" si="69"/>
        <v>2924.4403478845124</v>
      </c>
      <c r="W286">
        <f t="shared" si="69"/>
        <v>191608.46457634223</v>
      </c>
      <c r="X286">
        <f t="shared" si="74"/>
        <v>437.73104136711873</v>
      </c>
      <c r="Y286" s="6">
        <f t="shared" si="75"/>
        <v>857.95284107955274</v>
      </c>
      <c r="Z286" s="14">
        <f t="shared" si="67"/>
        <v>0.14968027700881828</v>
      </c>
    </row>
    <row r="287" spans="1:26" hidden="1" x14ac:dyDescent="0.25">
      <c r="A287" t="str">
        <f>'rockfish harvests'!A295</f>
        <v>SE</v>
      </c>
      <c r="B287">
        <f>'rockfish harvests'!B295</f>
        <v>2016</v>
      </c>
      <c r="C287" t="str">
        <f>'rockfish harvests'!C295</f>
        <v>NSEI</v>
      </c>
      <c r="D287">
        <f>'rockfish harvests'!D295</f>
        <v>25877</v>
      </c>
      <c r="E287">
        <f>'YE harvest'!E296</f>
        <v>9231</v>
      </c>
      <c r="F287">
        <f>IF([2]species_comp_Region1_forR!$H152&gt;49,[2]species_comp_Region1_forR!$AV152,[2]species_comp_Region1_forR!$AX152)</f>
        <v>0.38477366299999999</v>
      </c>
      <c r="G287">
        <f>IF([2]species_comp_Region1_forR!$H152&gt;49,[2]species_comp_Region1_forR!$AW152,[2]species_comp_Region1_forR!$AY152)</f>
        <v>4.8808800000000002E-4</v>
      </c>
      <c r="H287" s="13">
        <f t="shared" si="66"/>
        <v>3551.8456831529998</v>
      </c>
      <c r="I287">
        <f t="shared" si="68"/>
        <v>41590.642767768004</v>
      </c>
      <c r="J287">
        <f t="shared" si="70"/>
        <v>203.93784045087858</v>
      </c>
      <c r="K287" s="6">
        <f t="shared" si="71"/>
        <v>399.71816728372204</v>
      </c>
      <c r="M287" s="2">
        <f>'rockfish harvests'!O295</f>
        <v>14189.291818701371</v>
      </c>
      <c r="N287">
        <f>'rockfish harvests'!P295</f>
        <v>6762576.6255513411</v>
      </c>
      <c r="O287">
        <f>IF([2]species_comp_Region1_forR!$D174&gt;49,[2]species_comp_Region1_forR!$AR174,[2]species_comp_Region1_forR!$AT174)</f>
        <v>0.25019069399999999</v>
      </c>
      <c r="P287">
        <f>IF([2]species_comp_Region1_forR!$D174&gt;49,[2]species_comp_Region1_forR!$AS174,[2]species_comp_Region1_forR!$AU174)</f>
        <v>1.43203E-4</v>
      </c>
      <c r="Q287" s="13">
        <f t="shared" si="124"/>
        <v>3550.028767489418</v>
      </c>
      <c r="R287" s="14">
        <f t="shared" si="125"/>
        <v>451169.57468536258</v>
      </c>
      <c r="S287">
        <f t="shared" si="72"/>
        <v>671.69157705405428</v>
      </c>
      <c r="T287" s="6">
        <f t="shared" si="73"/>
        <v>1316.5154910259464</v>
      </c>
      <c r="V287" s="13">
        <f t="shared" si="69"/>
        <v>7101.8744506424173</v>
      </c>
      <c r="W287">
        <f t="shared" si="69"/>
        <v>492760.21745313058</v>
      </c>
      <c r="X287">
        <f t="shared" si="74"/>
        <v>701.96881515714824</v>
      </c>
      <c r="Y287" s="6">
        <f t="shared" si="75"/>
        <v>1375.8588777080106</v>
      </c>
      <c r="Z287" s="14">
        <f t="shared" si="67"/>
        <v>9.8842752013681395E-2</v>
      </c>
    </row>
    <row r="288" spans="1:26" hidden="1" x14ac:dyDescent="0.25">
      <c r="A288" t="str">
        <f>'rockfish harvests'!A296</f>
        <v>SE</v>
      </c>
      <c r="B288">
        <f>'rockfish harvests'!B296</f>
        <v>2017</v>
      </c>
      <c r="C288" t="str">
        <f>'rockfish harvests'!C296</f>
        <v>NSEI</v>
      </c>
      <c r="D288">
        <f>'rockfish harvests'!D296</f>
        <v>24305</v>
      </c>
      <c r="E288">
        <f>'YE harvest'!E297</f>
        <v>5102</v>
      </c>
      <c r="F288">
        <f>IF([2]species_comp_Region1_forR!$H153&gt;49,[2]species_comp_Region1_forR!$AV153,[2]species_comp_Region1_forR!$AX153)</f>
        <v>0.29181494699999999</v>
      </c>
      <c r="G288">
        <f>IF([2]species_comp_Region1_forR!$H153&gt;49,[2]species_comp_Region1_forR!$AW153,[2]species_comp_Region1_forR!$AY153)</f>
        <v>7.3806800000000004E-4</v>
      </c>
      <c r="H288" s="13">
        <f t="shared" si="66"/>
        <v>1488.839859594</v>
      </c>
      <c r="I288">
        <f t="shared" si="68"/>
        <v>19212.208219472002</v>
      </c>
      <c r="J288">
        <f t="shared" si="70"/>
        <v>138.60811022256959</v>
      </c>
      <c r="K288" s="6">
        <f t="shared" si="71"/>
        <v>271.67189603623638</v>
      </c>
      <c r="M288" s="2">
        <f>'rockfish harvests'!O296</f>
        <v>16806.228360636691</v>
      </c>
      <c r="N288">
        <f>'rockfish harvests'!P296</f>
        <v>14540377.874931889</v>
      </c>
      <c r="O288">
        <f>IF([2]species_comp_Region1_forR!$D175&gt;49,[2]species_comp_Region1_forR!$AR175,[2]species_comp_Region1_forR!$AT175)</f>
        <v>7.3748903000000005E-2</v>
      </c>
      <c r="P288">
        <f>IF([2]species_comp_Region1_forR!$D175&gt;49,[2]species_comp_Region1_forR!$AS175,[2]species_comp_Region1_forR!$AU175)</f>
        <v>6.0026399999999998E-5</v>
      </c>
      <c r="Q288" s="13">
        <f t="shared" si="124"/>
        <v>1239.4409051644443</v>
      </c>
      <c r="R288" s="14">
        <f t="shared" si="125"/>
        <v>95165.280136626228</v>
      </c>
      <c r="S288">
        <f t="shared" si="72"/>
        <v>308.48870341817417</v>
      </c>
      <c r="T288" s="6">
        <f t="shared" si="73"/>
        <v>604.63785869962135</v>
      </c>
      <c r="V288" s="13">
        <f t="shared" si="69"/>
        <v>2728.2807647584441</v>
      </c>
      <c r="W288">
        <f t="shared" si="69"/>
        <v>114377.48835609823</v>
      </c>
      <c r="X288">
        <f t="shared" si="74"/>
        <v>338.19741033322271</v>
      </c>
      <c r="Y288" s="6">
        <f t="shared" si="75"/>
        <v>662.86692425311651</v>
      </c>
      <c r="Z288" s="14">
        <f t="shared" si="67"/>
        <v>0.12395989983940159</v>
      </c>
    </row>
    <row r="289" spans="1:26" hidden="1" x14ac:dyDescent="0.25">
      <c r="A289" t="str">
        <f>'rockfish harvests'!A297</f>
        <v>SE</v>
      </c>
      <c r="B289">
        <f>'rockfish harvests'!B297</f>
        <v>2018</v>
      </c>
      <c r="C289" t="str">
        <f>'rockfish harvests'!C297</f>
        <v>NSEI</v>
      </c>
      <c r="D289">
        <f>'rockfish harvests'!D297</f>
        <v>34673</v>
      </c>
      <c r="E289">
        <f>'YE harvest'!E298</f>
        <v>6405</v>
      </c>
      <c r="F289">
        <f>IF([2]species_comp_Region1_forR!$H154&gt;49,[2]species_comp_Region1_forR!$AV154,[2]species_comp_Region1_forR!$AX154)</f>
        <v>0.34848484800000001</v>
      </c>
      <c r="G289">
        <f>IF([2]species_comp_Region1_forR!$H154&gt;49,[2]species_comp_Region1_forR!$AW154,[2]species_comp_Region1_forR!$AY154)</f>
        <v>4.3082199999999998E-4</v>
      </c>
      <c r="H289" s="13">
        <f t="shared" si="66"/>
        <v>2232.0454514400003</v>
      </c>
      <c r="I289">
        <f t="shared" si="68"/>
        <v>17674.052498549998</v>
      </c>
      <c r="J289">
        <f t="shared" si="70"/>
        <v>132.94379450937151</v>
      </c>
      <c r="K289" s="6">
        <f t="shared" si="71"/>
        <v>260.56983723836817</v>
      </c>
      <c r="M289" s="2">
        <f>'rockfish harvests'!O297</f>
        <v>15349.26901059274</v>
      </c>
      <c r="N289">
        <f>'rockfish harvests'!P297</f>
        <v>8197994.4604236083</v>
      </c>
      <c r="O289">
        <f>IF([2]species_comp_Region1_forR!$D176&gt;49,[2]species_comp_Region1_forR!$AR176,[2]species_comp_Region1_forR!$AT176)</f>
        <v>0.107398568</v>
      </c>
      <c r="P289">
        <f>IF([2]species_comp_Region1_forR!$D176&gt;49,[2]species_comp_Region1_forR!$AS176,[2]species_comp_Region1_forR!$AU176)</f>
        <v>7.6324900000000005E-5</v>
      </c>
      <c r="Q289" s="13">
        <f t="shared" si="124"/>
        <v>1648.489511584437</v>
      </c>
      <c r="R289" s="14">
        <f t="shared" si="125"/>
        <v>111915.81679645176</v>
      </c>
      <c r="S289">
        <f t="shared" si="72"/>
        <v>334.53821425429379</v>
      </c>
      <c r="T289" s="6">
        <f t="shared" si="73"/>
        <v>655.6948999384158</v>
      </c>
      <c r="V289" s="13">
        <f t="shared" si="69"/>
        <v>3880.5349630244373</v>
      </c>
      <c r="W289">
        <f t="shared" si="69"/>
        <v>129589.86929500176</v>
      </c>
      <c r="X289">
        <f t="shared" si="74"/>
        <v>359.9859293014128</v>
      </c>
      <c r="Y289" s="6">
        <f t="shared" si="75"/>
        <v>705.57242143076905</v>
      </c>
      <c r="Z289" s="14">
        <f t="shared" ref="Z289:Z361" si="126">X289/V289</f>
        <v>9.2767088231784561E-2</v>
      </c>
    </row>
    <row r="290" spans="1:26" hidden="1" x14ac:dyDescent="0.25">
      <c r="A290" t="str">
        <f>'rockfish harvests'!A298</f>
        <v>SE</v>
      </c>
      <c r="B290">
        <f>'rockfish harvests'!B298</f>
        <v>2019</v>
      </c>
      <c r="C290" t="str">
        <f>'rockfish harvests'!C298</f>
        <v>NSEI</v>
      </c>
      <c r="D290">
        <f>'rockfish harvests'!D298</f>
        <v>36293</v>
      </c>
      <c r="E290">
        <f>'YE harvest'!E299</f>
        <v>6197</v>
      </c>
      <c r="F290">
        <v>0.47670807453416147</v>
      </c>
      <c r="G290">
        <v>3.8795876548692665E-4</v>
      </c>
      <c r="H290" s="13">
        <f>E290*F290</f>
        <v>2954.1599378881988</v>
      </c>
      <c r="I290">
        <f>(E290^2)*G290</f>
        <v>14898.706370870237</v>
      </c>
      <c r="K290" s="6"/>
      <c r="M290" s="2">
        <f>'rockfish harvests'!O298</f>
        <v>23183.361216730038</v>
      </c>
      <c r="N290">
        <f>'rockfish harvests'!P298</f>
        <v>24125308.819017805</v>
      </c>
      <c r="O290">
        <v>0.10774946921443737</v>
      </c>
      <c r="P290">
        <v>5.1056569887649699E-5</v>
      </c>
      <c r="Q290" s="13">
        <f>M290*O290</f>
        <v>2497.9948657092345</v>
      </c>
      <c r="R290" s="14">
        <f>(M290^2)*P290+(O290^2)*N290-(P290*N290)</f>
        <v>306303.11277569958</v>
      </c>
      <c r="S290">
        <f>SQRT(R290)</f>
        <v>553.44657626161131</v>
      </c>
      <c r="T290" s="6">
        <f>(1.96*S290)</f>
        <v>1084.7552894727582</v>
      </c>
      <c r="V290" s="13">
        <f>Q290+H290</f>
        <v>5452.1548035974338</v>
      </c>
      <c r="W290">
        <f>R290+I290</f>
        <v>321201.81914656982</v>
      </c>
      <c r="X290">
        <f>SQRT(W290)</f>
        <v>566.74669751712702</v>
      </c>
      <c r="Y290" s="6">
        <f>(1.96*X290)</f>
        <v>1110.8235271335689</v>
      </c>
      <c r="Z290" s="14">
        <f t="shared" si="126"/>
        <v>0.10394912065651124</v>
      </c>
    </row>
    <row r="291" spans="1:26" hidden="1" x14ac:dyDescent="0.25">
      <c r="A291" t="str">
        <f>'rockfish harvests'!A299</f>
        <v>SE</v>
      </c>
      <c r="B291">
        <f>'rockfish harvests'!B299</f>
        <v>2020</v>
      </c>
      <c r="C291" t="str">
        <f>'rockfish harvests'!C299</f>
        <v>NSEI</v>
      </c>
      <c r="D291">
        <f>'rockfish harvests'!D299</f>
        <v>17585</v>
      </c>
      <c r="E291">
        <f>'YE harvest'!E300</f>
        <v>283</v>
      </c>
      <c r="F291" t="s">
        <v>254</v>
      </c>
      <c r="G291" t="s">
        <v>227</v>
      </c>
      <c r="H291" s="13">
        <f t="shared" ref="H291:H292" si="127">E291*F291</f>
        <v>180.09090909090898</v>
      </c>
      <c r="I291">
        <f t="shared" ref="I291:I292" si="128">(E291^2)*G291</f>
        <v>28.251511791977382</v>
      </c>
      <c r="J291">
        <f t="shared" ref="J291" si="129">SQRT(I291)</f>
        <v>5.315215121890871</v>
      </c>
      <c r="K291" s="6">
        <f t="shared" ref="K291" si="130">(1.96*J291)</f>
        <v>10.417821638906107</v>
      </c>
      <c r="M291" s="2">
        <f>'rockfish harvests'!O299</f>
        <v>4858.3978904449577</v>
      </c>
      <c r="N291">
        <f>'rockfish harvests'!P299</f>
        <v>1472700.4379098967</v>
      </c>
      <c r="O291" t="s">
        <v>258</v>
      </c>
      <c r="P291" t="s">
        <v>259</v>
      </c>
      <c r="Q291" s="13">
        <f t="shared" ref="Q291:Q292" si="131">M291*O291</f>
        <v>1113.1100288081436</v>
      </c>
      <c r="R291" s="14">
        <f t="shared" ref="R291:R292" si="132">(M291^2)*P291+(O291^2)*N291-(P291*N291)</f>
        <v>87868.795159859525</v>
      </c>
      <c r="S291">
        <f t="shared" ref="S291:S292" si="133">SQRT(R291)</f>
        <v>296.42671127929668</v>
      </c>
      <c r="T291" s="6">
        <f t="shared" ref="T291:T292" si="134">(1.96*S291)</f>
        <v>580.99635410742144</v>
      </c>
      <c r="V291" s="13">
        <f t="shared" ref="V291:V292" si="135">Q291+H291</f>
        <v>1293.2009378990526</v>
      </c>
      <c r="W291">
        <f t="shared" ref="W291:W292" si="136">R291+I291</f>
        <v>87897.046671651507</v>
      </c>
      <c r="X291">
        <f t="shared" ref="X291:X292" si="137">SQRT(W291)</f>
        <v>296.47436090099177</v>
      </c>
      <c r="Y291" s="6">
        <f t="shared" ref="Y291:Y292" si="138">(1.96*X291)</f>
        <v>581.08974736594382</v>
      </c>
      <c r="Z291" s="14">
        <f t="shared" si="126"/>
        <v>0.22925622168403853</v>
      </c>
    </row>
    <row r="292" spans="1:26" hidden="1" x14ac:dyDescent="0.25">
      <c r="A292" t="str">
        <f>'rockfish harvests'!A300</f>
        <v>SE</v>
      </c>
      <c r="B292">
        <f>'rockfish harvests'!B300</f>
        <v>2021</v>
      </c>
      <c r="C292" t="str">
        <f>'rockfish harvests'!C300</f>
        <v>NSEI</v>
      </c>
      <c r="D292">
        <f>'rockfish harvests'!D300</f>
        <v>33151</v>
      </c>
      <c r="E292">
        <f>'YE harvest'!E301</f>
        <v>1940</v>
      </c>
      <c r="F292" t="s">
        <v>255</v>
      </c>
      <c r="G292" t="s">
        <v>256</v>
      </c>
      <c r="H292" s="13">
        <f t="shared" si="127"/>
        <v>1907.1186440677966</v>
      </c>
      <c r="I292">
        <f t="shared" si="128"/>
        <v>34.417479111160347</v>
      </c>
      <c r="K292" s="6"/>
      <c r="M292" s="2">
        <f>'rockfish harvests'!O300</f>
        <v>7926.4899805809182</v>
      </c>
      <c r="N292">
        <f>'rockfish harvests'!P300</f>
        <v>3864104.3574178377</v>
      </c>
      <c r="O292" t="s">
        <v>260</v>
      </c>
      <c r="P292" t="s">
        <v>261</v>
      </c>
      <c r="Q292" s="13">
        <f t="shared" si="131"/>
        <v>1453.1898297731657</v>
      </c>
      <c r="R292" s="14">
        <f t="shared" si="132"/>
        <v>150946.98804513435</v>
      </c>
      <c r="S292">
        <f t="shared" si="133"/>
        <v>388.51896742004033</v>
      </c>
      <c r="T292" s="6">
        <f t="shared" si="134"/>
        <v>761.49717614327903</v>
      </c>
      <c r="V292" s="13">
        <f t="shared" si="135"/>
        <v>3360.3084738409625</v>
      </c>
      <c r="W292">
        <f t="shared" si="136"/>
        <v>150981.40552424552</v>
      </c>
      <c r="X292">
        <f t="shared" si="137"/>
        <v>388.5632580729237</v>
      </c>
      <c r="Y292" s="6">
        <f t="shared" si="138"/>
        <v>761.58398582293046</v>
      </c>
      <c r="Z292" s="14">
        <f t="shared" si="126"/>
        <v>0.11563321078935973</v>
      </c>
    </row>
    <row r="293" spans="1:26" hidden="1" x14ac:dyDescent="0.25">
      <c r="A293" t="str">
        <f>'rockfish harvests'!A301</f>
        <v>SE</v>
      </c>
      <c r="B293">
        <f>'rockfish harvests'!B301</f>
        <v>2022</v>
      </c>
      <c r="C293" t="str">
        <f>'rockfish harvests'!C301</f>
        <v>NSEI</v>
      </c>
      <c r="D293">
        <f>'rockfish harvests'!D301</f>
        <v>34168</v>
      </c>
      <c r="E293">
        <f>'YE harvest'!E302</f>
        <v>2848</v>
      </c>
      <c r="F293" t="s">
        <v>257</v>
      </c>
      <c r="G293" t="s">
        <v>231</v>
      </c>
      <c r="H293" s="13">
        <f t="shared" ref="H293" si="139">E293*F293</f>
        <v>2494.7596899224804</v>
      </c>
      <c r="I293">
        <f t="shared" ref="I293" si="140">(E293^2)*G293</f>
        <v>304.19388554957328</v>
      </c>
      <c r="K293" s="6"/>
      <c r="M293" s="2">
        <f>'rockfish harvests'!O301</f>
        <v>23959.726273535314</v>
      </c>
      <c r="N293">
        <f>'rockfish harvests'!P301</f>
        <v>56312393.20575878</v>
      </c>
      <c r="O293" t="s">
        <v>262</v>
      </c>
      <c r="P293" t="s">
        <v>263</v>
      </c>
      <c r="Q293" s="13">
        <f t="shared" ref="Q293" si="141">M293*O293</f>
        <v>1719.9234922722569</v>
      </c>
      <c r="R293" s="14">
        <f t="shared" ref="R293" si="142">(M293^2)*P293+(O293^2)*N293-(P293*N293)</f>
        <v>314710.73289659538</v>
      </c>
      <c r="S293">
        <f t="shared" ref="S293" si="143">SQRT(R293)</f>
        <v>560.99084920932125</v>
      </c>
      <c r="T293" s="6"/>
      <c r="V293" s="13">
        <f t="shared" ref="V293" si="144">Q293+H293</f>
        <v>4214.6831821947371</v>
      </c>
      <c r="W293">
        <f t="shared" ref="W293" si="145">R293+I293</f>
        <v>315014.92678214493</v>
      </c>
      <c r="X293">
        <f t="shared" ref="X293" si="146">SQRT(W293)</f>
        <v>561.26190569300616</v>
      </c>
      <c r="Y293" s="6">
        <f t="shared" ref="Y293" si="147">(1.96*X293)</f>
        <v>1100.0733351582921</v>
      </c>
      <c r="Z293" s="14">
        <f t="shared" ref="Z293" si="148">X293/V293</f>
        <v>0.13316823149699639</v>
      </c>
    </row>
    <row r="294" spans="1:26" hidden="1" x14ac:dyDescent="0.25">
      <c r="A294" t="str">
        <f>'rockfish harvests'!A302</f>
        <v>SE</v>
      </c>
      <c r="B294">
        <f>'rockfish harvests'!B302</f>
        <v>1998</v>
      </c>
      <c r="C294" t="str">
        <f>'rockfish harvests'!C302</f>
        <v>NSEO</v>
      </c>
      <c r="D294">
        <f>'rockfish harvests'!D302</f>
        <v>1123</v>
      </c>
      <c r="E294">
        <f>'YE harvest'!E303</f>
        <v>522</v>
      </c>
      <c r="F294" s="32">
        <v>8.4507094000000005E-2</v>
      </c>
      <c r="G294" s="32">
        <v>3.0997300000000002E-3</v>
      </c>
      <c r="H294" s="13">
        <f t="shared" si="66"/>
        <v>44.112703068000002</v>
      </c>
      <c r="I294">
        <f t="shared" si="68"/>
        <v>844.62682932000007</v>
      </c>
      <c r="J294">
        <f t="shared" si="70"/>
        <v>29.062464267849002</v>
      </c>
      <c r="K294" s="6">
        <f t="shared" si="71"/>
        <v>56.96242996498404</v>
      </c>
      <c r="M294" s="2">
        <f>'rockfish harvests'!O302</f>
        <v>595.65533897155365</v>
      </c>
      <c r="N294">
        <f>'rockfish harvests'!P302</f>
        <v>93360.34279041113</v>
      </c>
      <c r="O294" s="32">
        <v>2.6213604000000001E-2</v>
      </c>
      <c r="P294" s="32">
        <v>5.4350899999999996E-4</v>
      </c>
      <c r="Q294" s="13">
        <f t="shared" si="124"/>
        <v>15.614273176286076</v>
      </c>
      <c r="R294" s="14">
        <f t="shared" si="125"/>
        <v>206.25052079045346</v>
      </c>
      <c r="S294">
        <f t="shared" si="72"/>
        <v>14.361424747929902</v>
      </c>
      <c r="T294" s="6">
        <f t="shared" si="73"/>
        <v>28.14839250594261</v>
      </c>
      <c r="V294" s="13">
        <f t="shared" si="69"/>
        <v>59.726976244286078</v>
      </c>
      <c r="W294">
        <f t="shared" si="69"/>
        <v>1050.8773501104536</v>
      </c>
      <c r="X294">
        <f t="shared" si="74"/>
        <v>32.41723847138207</v>
      </c>
      <c r="Y294" s="6">
        <f t="shared" si="75"/>
        <v>63.537787403908858</v>
      </c>
      <c r="Z294" s="14">
        <f t="shared" si="126"/>
        <v>0.54275706740609264</v>
      </c>
    </row>
    <row r="295" spans="1:26" hidden="1" x14ac:dyDescent="0.25">
      <c r="A295" t="str">
        <f>'rockfish harvests'!A303</f>
        <v>SE</v>
      </c>
      <c r="B295">
        <f>'rockfish harvests'!B303</f>
        <v>1999</v>
      </c>
      <c r="C295" t="str">
        <f>'rockfish harvests'!C303</f>
        <v>NSEO</v>
      </c>
      <c r="D295">
        <f>'rockfish harvests'!D303</f>
        <v>1071</v>
      </c>
      <c r="E295">
        <f>'YE harvest'!E304</f>
        <v>587</v>
      </c>
      <c r="F295" s="32">
        <v>8.4507094000000005E-2</v>
      </c>
      <c r="G295" s="32">
        <v>3.0997300000000002E-3</v>
      </c>
      <c r="H295" s="13">
        <f t="shared" ref="H295:H364" si="149">E295*F295</f>
        <v>49.605664178000005</v>
      </c>
      <c r="I295">
        <f t="shared" si="68"/>
        <v>1068.07086637</v>
      </c>
      <c r="J295">
        <f t="shared" si="70"/>
        <v>32.681353496604146</v>
      </c>
      <c r="K295" s="6">
        <f t="shared" si="71"/>
        <v>64.055452853344121</v>
      </c>
      <c r="M295" s="2">
        <f>'rockfish harvests'!O303</f>
        <v>568.07379166387705</v>
      </c>
      <c r="N295">
        <f>'rockfish harvests'!P303</f>
        <v>84914.501969787365</v>
      </c>
      <c r="O295" s="32">
        <v>2.6213604000000001E-2</v>
      </c>
      <c r="P295" s="32">
        <v>5.4350899999999996E-4</v>
      </c>
      <c r="Q295" s="13">
        <f t="shared" si="124"/>
        <v>14.891261417455375</v>
      </c>
      <c r="R295" s="14">
        <f t="shared" si="125"/>
        <v>187.59207314874411</v>
      </c>
      <c r="S295">
        <f t="shared" si="72"/>
        <v>13.696425561026647</v>
      </c>
      <c r="T295" s="6">
        <f t="shared" si="73"/>
        <v>26.844994099612229</v>
      </c>
      <c r="V295" s="13">
        <f t="shared" si="69"/>
        <v>64.49692559545538</v>
      </c>
      <c r="W295">
        <f t="shared" si="69"/>
        <v>1255.662939518744</v>
      </c>
      <c r="X295">
        <f t="shared" si="74"/>
        <v>35.435334618410813</v>
      </c>
      <c r="Y295" s="6">
        <f t="shared" si="75"/>
        <v>69.453255852085192</v>
      </c>
      <c r="Z295" s="14">
        <f t="shared" si="126"/>
        <v>0.54941122063200609</v>
      </c>
    </row>
    <row r="296" spans="1:26" hidden="1" x14ac:dyDescent="0.25">
      <c r="A296" t="str">
        <f>'rockfish harvests'!A304</f>
        <v>SE</v>
      </c>
      <c r="B296">
        <f>'rockfish harvests'!B304</f>
        <v>2000</v>
      </c>
      <c r="C296" t="str">
        <f>'rockfish harvests'!C304</f>
        <v>NSEO</v>
      </c>
      <c r="D296">
        <f>'rockfish harvests'!D304</f>
        <v>2883</v>
      </c>
      <c r="E296">
        <f>'YE harvest'!E305</f>
        <v>1426</v>
      </c>
      <c r="F296" s="32">
        <v>8.4507094000000005E-2</v>
      </c>
      <c r="G296" s="32">
        <v>3.0997300000000002E-3</v>
      </c>
      <c r="H296" s="13">
        <f t="shared" si="149"/>
        <v>120.507116044</v>
      </c>
      <c r="I296">
        <f t="shared" si="68"/>
        <v>6303.2265614800008</v>
      </c>
      <c r="J296">
        <f t="shared" si="70"/>
        <v>79.392862156997467</v>
      </c>
      <c r="K296" s="6">
        <f t="shared" si="71"/>
        <v>155.61000982771503</v>
      </c>
      <c r="M296" s="2">
        <f>'rockfish harvests'!O304</f>
        <v>1529.1846324621447</v>
      </c>
      <c r="N296">
        <f>'rockfish harvests'!P304</f>
        <v>615307.50161743129</v>
      </c>
      <c r="O296" s="32">
        <v>2.6213604000000001E-2</v>
      </c>
      <c r="P296" s="32">
        <v>5.4350899999999996E-4</v>
      </c>
      <c r="Q296" s="13">
        <f t="shared" si="124"/>
        <v>40.08544039824821</v>
      </c>
      <c r="R296" s="14">
        <f t="shared" si="125"/>
        <v>1359.3297631711603</v>
      </c>
      <c r="S296">
        <f t="shared" si="72"/>
        <v>36.869089535424663</v>
      </c>
      <c r="T296" s="6">
        <f t="shared" si="73"/>
        <v>72.263415489432333</v>
      </c>
      <c r="V296" s="13">
        <f t="shared" si="69"/>
        <v>160.59255644224822</v>
      </c>
      <c r="W296">
        <f t="shared" si="69"/>
        <v>7662.556324651161</v>
      </c>
      <c r="X296">
        <f t="shared" si="74"/>
        <v>87.536028723327178</v>
      </c>
      <c r="Y296" s="6">
        <f t="shared" si="75"/>
        <v>171.57061629772127</v>
      </c>
      <c r="Z296" s="14">
        <f t="shared" si="126"/>
        <v>0.54508148237123677</v>
      </c>
    </row>
    <row r="297" spans="1:26" hidden="1" x14ac:dyDescent="0.25">
      <c r="A297" t="str">
        <f>'rockfish harvests'!A305</f>
        <v>SE</v>
      </c>
      <c r="B297">
        <f>'rockfish harvests'!B305</f>
        <v>2001</v>
      </c>
      <c r="C297" t="str">
        <f>'rockfish harvests'!C305</f>
        <v>NSEO</v>
      </c>
      <c r="D297">
        <f>'rockfish harvests'!D305</f>
        <v>2839</v>
      </c>
      <c r="E297">
        <f>'YE harvest'!E306</f>
        <v>1604</v>
      </c>
      <c r="F297" s="32">
        <v>8.4507094000000005E-2</v>
      </c>
      <c r="G297" s="32">
        <v>3.0997300000000002E-3</v>
      </c>
      <c r="H297" s="13">
        <f t="shared" si="149"/>
        <v>135.549378776</v>
      </c>
      <c r="I297">
        <f t="shared" si="68"/>
        <v>7975.0349396800002</v>
      </c>
      <c r="J297">
        <f t="shared" si="70"/>
        <v>89.303051121896161</v>
      </c>
      <c r="K297" s="6">
        <f t="shared" si="71"/>
        <v>175.03398019891648</v>
      </c>
      <c r="M297" s="2">
        <f>'rockfish harvests'!O305</f>
        <v>1505.8464001248803</v>
      </c>
      <c r="N297">
        <f>'rockfish harvests'!P305</f>
        <v>596669.32361688081</v>
      </c>
      <c r="O297" s="32">
        <v>2.6213604000000001E-2</v>
      </c>
      <c r="P297" s="32">
        <v>5.4350899999999996E-4</v>
      </c>
      <c r="Q297" s="13">
        <f t="shared" si="124"/>
        <v>39.473661217699167</v>
      </c>
      <c r="R297" s="14">
        <f t="shared" si="125"/>
        <v>1318.1545296158538</v>
      </c>
      <c r="S297">
        <f t="shared" si="72"/>
        <v>36.3063979157373</v>
      </c>
      <c r="T297" s="6">
        <f t="shared" si="73"/>
        <v>71.160539914845103</v>
      </c>
      <c r="V297" s="13">
        <f t="shared" si="69"/>
        <v>175.02303999369917</v>
      </c>
      <c r="W297">
        <f t="shared" si="69"/>
        <v>9293.189469295854</v>
      </c>
      <c r="X297">
        <f t="shared" si="74"/>
        <v>96.401190186096017</v>
      </c>
      <c r="Y297" s="6">
        <f t="shared" si="75"/>
        <v>188.94633276474818</v>
      </c>
      <c r="Z297" s="14">
        <f t="shared" si="126"/>
        <v>0.55079142831461769</v>
      </c>
    </row>
    <row r="298" spans="1:26" hidden="1" x14ac:dyDescent="0.25">
      <c r="A298" t="str">
        <f>'rockfish harvests'!A306</f>
        <v>SE</v>
      </c>
      <c r="B298">
        <f>'rockfish harvests'!B306</f>
        <v>2002</v>
      </c>
      <c r="C298" t="str">
        <f>'rockfish harvests'!C306</f>
        <v>NSEO</v>
      </c>
      <c r="D298">
        <f>'rockfish harvests'!D306</f>
        <v>2029</v>
      </c>
      <c r="E298">
        <f>'YE harvest'!E307</f>
        <v>1342</v>
      </c>
      <c r="F298" s="32">
        <v>8.4507094000000005E-2</v>
      </c>
      <c r="G298" s="32">
        <v>3.0997300000000002E-3</v>
      </c>
      <c r="H298" s="13">
        <f t="shared" si="149"/>
        <v>113.40852014800001</v>
      </c>
      <c r="I298">
        <f t="shared" ref="I298:I364" si="150">(E298^2)*G298</f>
        <v>5582.5021397200007</v>
      </c>
      <c r="J298">
        <f t="shared" si="70"/>
        <v>74.716143769067742</v>
      </c>
      <c r="K298" s="6">
        <f t="shared" si="71"/>
        <v>146.44364178737277</v>
      </c>
      <c r="M298" s="2">
        <f>'rockfish harvests'!O306</f>
        <v>1076.2107593706878</v>
      </c>
      <c r="N298">
        <f>'rockfish harvests'!P306</f>
        <v>304766.3537779394</v>
      </c>
      <c r="O298" s="32">
        <v>2.6213604000000001E-2</v>
      </c>
      <c r="P298" s="32">
        <v>5.4350899999999996E-4</v>
      </c>
      <c r="Q298" s="13">
        <f t="shared" si="124"/>
        <v>28.211362666682501</v>
      </c>
      <c r="R298" s="14">
        <f t="shared" si="125"/>
        <v>673.28607958542807</v>
      </c>
      <c r="S298">
        <f t="shared" si="72"/>
        <v>25.947756735128916</v>
      </c>
      <c r="T298" s="6">
        <f t="shared" si="73"/>
        <v>50.857603200852672</v>
      </c>
      <c r="V298" s="13">
        <f t="shared" ref="V298:W364" si="151">Q298+H298</f>
        <v>141.61988281468251</v>
      </c>
      <c r="W298">
        <f t="shared" si="151"/>
        <v>6255.7882193054284</v>
      </c>
      <c r="X298">
        <f t="shared" si="74"/>
        <v>79.093540945550217</v>
      </c>
      <c r="Y298" s="6">
        <f t="shared" si="75"/>
        <v>155.02334025327843</v>
      </c>
      <c r="Z298" s="14">
        <f t="shared" si="126"/>
        <v>0.55849178359403473</v>
      </c>
    </row>
    <row r="299" spans="1:26" hidden="1" x14ac:dyDescent="0.25">
      <c r="A299" t="str">
        <f>'rockfish harvests'!A307</f>
        <v>SE</v>
      </c>
      <c r="B299">
        <f>'rockfish harvests'!B307</f>
        <v>2003</v>
      </c>
      <c r="C299" t="str">
        <f>'rockfish harvests'!C307</f>
        <v>NSEO</v>
      </c>
      <c r="D299">
        <f>'rockfish harvests'!D307</f>
        <v>3083</v>
      </c>
      <c r="E299">
        <f>'YE harvest'!E308</f>
        <v>1659</v>
      </c>
      <c r="F299" s="32">
        <v>8.4507094000000005E-2</v>
      </c>
      <c r="G299" s="32">
        <v>3.0997300000000002E-3</v>
      </c>
      <c r="H299" s="13">
        <f t="shared" si="149"/>
        <v>140.19726894600001</v>
      </c>
      <c r="I299">
        <f t="shared" si="150"/>
        <v>8531.3279841300009</v>
      </c>
      <c r="J299">
        <f t="shared" ref="J299:J364" si="152">SQRT(I299)</f>
        <v>92.365188161612068</v>
      </c>
      <c r="K299" s="6">
        <f t="shared" ref="K299:K364" si="153">(1.96*J299)</f>
        <v>181.03576879675964</v>
      </c>
      <c r="M299" s="2">
        <f>'rockfish harvests'!O307</f>
        <v>1635.26750672244</v>
      </c>
      <c r="N299">
        <f>'rockfish harvests'!P307</f>
        <v>703639.11639872531</v>
      </c>
      <c r="O299" s="32">
        <v>2.6213604000000001E-2</v>
      </c>
      <c r="P299" s="32">
        <v>5.4350899999999996E-4</v>
      </c>
      <c r="Q299" s="13">
        <f t="shared" si="124"/>
        <v>42.866254855289384</v>
      </c>
      <c r="R299" s="14">
        <f t="shared" si="125"/>
        <v>1554.4708799063799</v>
      </c>
      <c r="S299">
        <f t="shared" ref="S299:S364" si="154">SQRT(R299)</f>
        <v>39.426778715821811</v>
      </c>
      <c r="T299" s="6">
        <f t="shared" ref="T299:T364" si="155">(1.96*S299)</f>
        <v>77.276486283010755</v>
      </c>
      <c r="V299" s="13">
        <f t="shared" si="151"/>
        <v>183.06352380128939</v>
      </c>
      <c r="W299">
        <f t="shared" si="151"/>
        <v>10085.79886403638</v>
      </c>
      <c r="X299">
        <f t="shared" ref="X299:X364" si="156">SQRT(W299)</f>
        <v>100.42807806602883</v>
      </c>
      <c r="Y299" s="6">
        <f t="shared" ref="Y299:Y364" si="157">(1.96*X299)</f>
        <v>196.83903300941651</v>
      </c>
      <c r="Z299" s="14">
        <f t="shared" si="126"/>
        <v>0.5485968803650958</v>
      </c>
    </row>
    <row r="300" spans="1:26" hidden="1" x14ac:dyDescent="0.25">
      <c r="A300" t="str">
        <f>'rockfish harvests'!A308</f>
        <v>SE</v>
      </c>
      <c r="B300">
        <f>'rockfish harvests'!B308</f>
        <v>2004</v>
      </c>
      <c r="C300" t="str">
        <f>'rockfish harvests'!C308</f>
        <v>NSEO</v>
      </c>
      <c r="D300">
        <f>'rockfish harvests'!D308</f>
        <v>2923</v>
      </c>
      <c r="E300">
        <f>'YE harvest'!E309</f>
        <v>1924</v>
      </c>
      <c r="F300" s="32">
        <v>8.4507094000000005E-2</v>
      </c>
      <c r="G300" s="32">
        <v>3.0997300000000002E-3</v>
      </c>
      <c r="H300" s="13">
        <f t="shared" si="149"/>
        <v>162.59164885600001</v>
      </c>
      <c r="I300">
        <f t="shared" si="150"/>
        <v>11474.50612048</v>
      </c>
      <c r="J300">
        <f t="shared" si="152"/>
        <v>107.11912117115226</v>
      </c>
      <c r="K300" s="6">
        <f t="shared" si="153"/>
        <v>209.95347749545843</v>
      </c>
      <c r="M300" s="2">
        <f>'rockfish harvests'!O308</f>
        <v>1550.4012073142039</v>
      </c>
      <c r="N300">
        <f>'rockfish harvests'!P308</f>
        <v>632500.03783668019</v>
      </c>
      <c r="O300" s="32">
        <v>2.6213604000000001E-2</v>
      </c>
      <c r="P300" s="32">
        <v>5.4350899999999996E-4</v>
      </c>
      <c r="Q300" s="13">
        <f t="shared" si="124"/>
        <v>40.641603289656445</v>
      </c>
      <c r="R300" s="14">
        <f t="shared" si="125"/>
        <v>1397.3113026872413</v>
      </c>
      <c r="S300">
        <f t="shared" si="154"/>
        <v>37.380627371504097</v>
      </c>
      <c r="T300" s="6">
        <f t="shared" si="155"/>
        <v>73.266029648148034</v>
      </c>
      <c r="V300" s="13">
        <f t="shared" si="151"/>
        <v>203.23325214565645</v>
      </c>
      <c r="W300">
        <f t="shared" si="151"/>
        <v>12871.817423167242</v>
      </c>
      <c r="X300">
        <f t="shared" si="156"/>
        <v>113.45403220321101</v>
      </c>
      <c r="Y300" s="6">
        <f t="shared" si="157"/>
        <v>222.36990311829359</v>
      </c>
      <c r="Z300" s="14">
        <f t="shared" si="126"/>
        <v>0.55824542000587074</v>
      </c>
    </row>
    <row r="301" spans="1:26" hidden="1" x14ac:dyDescent="0.25">
      <c r="A301" t="str">
        <f>'rockfish harvests'!A309</f>
        <v>SE</v>
      </c>
      <c r="B301">
        <f>'rockfish harvests'!B309</f>
        <v>2005</v>
      </c>
      <c r="C301" t="str">
        <f>'rockfish harvests'!C309</f>
        <v>NSEO</v>
      </c>
      <c r="D301">
        <f>'rockfish harvests'!D309</f>
        <v>2796</v>
      </c>
      <c r="E301">
        <f>'YE harvest'!E310</f>
        <v>1608</v>
      </c>
      <c r="F301" s="32">
        <v>8.4507094000000005E-2</v>
      </c>
      <c r="G301" s="32">
        <v>3.0997300000000002E-3</v>
      </c>
      <c r="H301" s="13">
        <f t="shared" si="149"/>
        <v>135.88740715200001</v>
      </c>
      <c r="I301">
        <f t="shared" si="150"/>
        <v>8014.8602707200007</v>
      </c>
      <c r="J301">
        <f t="shared" si="152"/>
        <v>89.525751997511875</v>
      </c>
      <c r="K301" s="6">
        <f t="shared" si="153"/>
        <v>175.47047391512328</v>
      </c>
      <c r="M301" s="2">
        <f>'rockfish harvests'!O309</f>
        <v>1483.0385821589171</v>
      </c>
      <c r="N301">
        <f>'rockfish harvests'!P309</f>
        <v>578731.68372450606</v>
      </c>
      <c r="O301" s="32">
        <v>2.6213604000000001E-2</v>
      </c>
      <c r="P301" s="32">
        <v>5.4350899999999996E-4</v>
      </c>
      <c r="Q301" s="13">
        <f t="shared" si="124"/>
        <v>38.875786109435317</v>
      </c>
      <c r="R301" s="14">
        <f t="shared" si="125"/>
        <v>1278.5269162312352</v>
      </c>
      <c r="S301">
        <f t="shared" si="154"/>
        <v>35.756494741951919</v>
      </c>
      <c r="T301" s="6">
        <f t="shared" si="155"/>
        <v>70.082729694225762</v>
      </c>
      <c r="V301" s="13">
        <f t="shared" si="151"/>
        <v>174.76319326143533</v>
      </c>
      <c r="W301">
        <f t="shared" si="151"/>
        <v>9293.3871869512368</v>
      </c>
      <c r="X301">
        <f t="shared" si="156"/>
        <v>96.402215674491828</v>
      </c>
      <c r="Y301" s="6">
        <f t="shared" si="157"/>
        <v>188.94834272200399</v>
      </c>
      <c r="Z301" s="14">
        <f t="shared" si="126"/>
        <v>0.55161624067076787</v>
      </c>
    </row>
    <row r="302" spans="1:26" hidden="1" x14ac:dyDescent="0.25">
      <c r="A302" t="str">
        <f>'rockfish harvests'!A310</f>
        <v>SE</v>
      </c>
      <c r="B302">
        <f>'rockfish harvests'!B310</f>
        <v>2006</v>
      </c>
      <c r="C302" t="str">
        <f>'rockfish harvests'!C310</f>
        <v>NSEO</v>
      </c>
      <c r="D302">
        <f>'rockfish harvests'!D310</f>
        <v>3058</v>
      </c>
      <c r="E302">
        <f>'YE harvest'!E311</f>
        <v>1651</v>
      </c>
      <c r="F302">
        <f>IF([2]species_comp_Region1_forR!$H186&gt;49,[2]species_comp_Region1_forR!$AV186,[2]species_comp_Region1_forR!$AX186)</f>
        <v>1.1904761999999999E-2</v>
      </c>
      <c r="G302">
        <f>IF([2]species_comp_Region1_forR!$H186&gt;49,[2]species_comp_Region1_forR!$AW186,[2]species_comp_Region1_forR!$AY186)</f>
        <v>2.8074099999999999E-5</v>
      </c>
      <c r="H302" s="13">
        <f t="shared" si="149"/>
        <v>19.654762062</v>
      </c>
      <c r="I302">
        <f t="shared" si="150"/>
        <v>76.5244098541</v>
      </c>
      <c r="J302">
        <f t="shared" si="152"/>
        <v>8.7478231494526675</v>
      </c>
      <c r="K302" s="6">
        <f t="shared" si="153"/>
        <v>17.145733372927229</v>
      </c>
      <c r="M302" s="2">
        <f>'rockfish harvests'!O310</f>
        <v>1622.0071474399028</v>
      </c>
      <c r="N302">
        <f>'rockfish harvests'!P310</f>
        <v>692273.78689881065</v>
      </c>
      <c r="O302">
        <f>IF([2]species_comp_Region1_forR!$D208&gt;49,[2]species_comp_Region1_forR!$AR208,[2]species_comp_Region1_forR!$AT208)</f>
        <v>6.0606061000000003E-2</v>
      </c>
      <c r="P302">
        <f>IF([2]species_comp_Region1_forR!$D208&gt;49,[2]species_comp_Region1_forR!$AS208,[2]species_comp_Region1_forR!$AU208)</f>
        <v>8.7589199999999997E-4</v>
      </c>
      <c r="Q302" s="13">
        <f t="shared" si="124"/>
        <v>98.303464120178745</v>
      </c>
      <c r="R302" s="14">
        <f t="shared" si="125"/>
        <v>4240.8206146119992</v>
      </c>
      <c r="S302">
        <f t="shared" si="154"/>
        <v>65.121583323902684</v>
      </c>
      <c r="T302" s="6">
        <f t="shared" si="155"/>
        <v>127.63830331484925</v>
      </c>
      <c r="V302" s="13">
        <f t="shared" si="151"/>
        <v>117.95822618217875</v>
      </c>
      <c r="W302">
        <f t="shared" si="151"/>
        <v>4317.3450244660989</v>
      </c>
      <c r="X302">
        <f t="shared" si="156"/>
        <v>65.706506713308841</v>
      </c>
      <c r="Y302" s="6">
        <f t="shared" si="157"/>
        <v>128.78475315808532</v>
      </c>
      <c r="Z302" s="14">
        <f t="shared" si="126"/>
        <v>0.55703200056458502</v>
      </c>
    </row>
    <row r="303" spans="1:26" hidden="1" x14ac:dyDescent="0.25">
      <c r="A303" t="str">
        <f>'rockfish harvests'!A311</f>
        <v>SE</v>
      </c>
      <c r="B303">
        <f>'rockfish harvests'!B311</f>
        <v>2007</v>
      </c>
      <c r="C303" t="str">
        <f>'rockfish harvests'!C311</f>
        <v>NSEO</v>
      </c>
      <c r="D303">
        <f>'rockfish harvests'!D311</f>
        <v>4266</v>
      </c>
      <c r="E303">
        <f>'YE harvest'!E312</f>
        <v>1748</v>
      </c>
      <c r="F303">
        <f>IF([2]species_comp_Region1_forR!$H187&gt;49,[2]species_comp_Region1_forR!$AV187,[2]species_comp_Region1_forR!$AX187)</f>
        <v>1.3029316000000001E-2</v>
      </c>
      <c r="G303">
        <f>IF([2]species_comp_Region1_forR!$H187&gt;49,[2]species_comp_Region1_forR!$AW187,[2]species_comp_Region1_forR!$AY187)</f>
        <v>2.0978100000000002E-5</v>
      </c>
      <c r="H303" s="13">
        <f t="shared" si="149"/>
        <v>22.775244368000003</v>
      </c>
      <c r="I303">
        <f t="shared" si="150"/>
        <v>64.098668462399999</v>
      </c>
      <c r="J303">
        <f t="shared" si="152"/>
        <v>8.0061644039077784</v>
      </c>
      <c r="K303" s="6">
        <f t="shared" si="153"/>
        <v>15.692082231659246</v>
      </c>
      <c r="M303" s="2">
        <f>'rockfish harvests'!O311</f>
        <v>2262.7477079720811</v>
      </c>
      <c r="N303">
        <f>'rockfish harvests'!P311</f>
        <v>1347238.9410750614</v>
      </c>
      <c r="O303">
        <f>IF([2]species_comp_Region1_forR!$D209&gt;49,[2]species_comp_Region1_forR!$AR209,[2]species_comp_Region1_forR!$AT209)</f>
        <v>1.6393443000000001E-2</v>
      </c>
      <c r="P303">
        <f>IF([2]species_comp_Region1_forR!$D209&gt;49,[2]species_comp_Region1_forR!$AS209,[2]species_comp_Region1_forR!$AU209)</f>
        <v>2.6874499999999998E-4</v>
      </c>
      <c r="Q303" s="13">
        <f t="shared" si="124"/>
        <v>37.09422557402096</v>
      </c>
      <c r="R303" s="14">
        <f t="shared" si="125"/>
        <v>1375.981671314215</v>
      </c>
      <c r="S303">
        <f t="shared" si="154"/>
        <v>37.094226927032928</v>
      </c>
      <c r="T303" s="6">
        <f t="shared" si="155"/>
        <v>72.704684776984536</v>
      </c>
      <c r="V303" s="13">
        <f t="shared" si="151"/>
        <v>59.869469942020963</v>
      </c>
      <c r="W303">
        <f t="shared" si="151"/>
        <v>1440.0803397766149</v>
      </c>
      <c r="X303">
        <f t="shared" si="156"/>
        <v>37.948390476759549</v>
      </c>
      <c r="Y303" s="6">
        <f t="shared" si="157"/>
        <v>74.378845334448712</v>
      </c>
      <c r="Z303" s="14">
        <f t="shared" si="126"/>
        <v>0.63385212051333817</v>
      </c>
    </row>
    <row r="304" spans="1:26" hidden="1" x14ac:dyDescent="0.25">
      <c r="A304" t="str">
        <f>'rockfish harvests'!A312</f>
        <v>SE</v>
      </c>
      <c r="B304">
        <f>'rockfish harvests'!B312</f>
        <v>2008</v>
      </c>
      <c r="C304" t="str">
        <f>'rockfish harvests'!C312</f>
        <v>NSEO</v>
      </c>
      <c r="D304">
        <f>'rockfish harvests'!D312</f>
        <v>5010</v>
      </c>
      <c r="E304">
        <f>'YE harvest'!E313</f>
        <v>1963</v>
      </c>
      <c r="F304">
        <f>IF([2]species_comp_Region1_forR!$H188&gt;49,[2]species_comp_Region1_forR!$AV188,[2]species_comp_Region1_forR!$AX188)</f>
        <v>5.3682896000000001E-2</v>
      </c>
      <c r="G304">
        <f>IF([2]species_comp_Region1_forR!$H188&gt;49,[2]species_comp_Region1_forR!$AW188,[2]species_comp_Region1_forR!$AY188)</f>
        <v>6.3501299999999995E-5</v>
      </c>
      <c r="H304" s="13">
        <f t="shared" si="149"/>
        <v>105.379524848</v>
      </c>
      <c r="I304">
        <f t="shared" si="150"/>
        <v>244.69394087969997</v>
      </c>
      <c r="J304">
        <f t="shared" si="152"/>
        <v>15.642696087302213</v>
      </c>
      <c r="K304" s="6">
        <f t="shared" si="153"/>
        <v>30.659684331112334</v>
      </c>
      <c r="M304" s="2">
        <f>'rockfish harvests'!O312</f>
        <v>2657.3760002203771</v>
      </c>
      <c r="N304">
        <f>'rockfish harvests'!P312</f>
        <v>1858139.7621286947</v>
      </c>
      <c r="O304">
        <f>IF([2]species_comp_Region1_forR!$D210&gt;49,[2]species_comp_Region1_forR!$AR210,[2]species_comp_Region1_forR!$AT210)</f>
        <v>7.9207921000000001E-2</v>
      </c>
      <c r="P304">
        <f>IF([2]species_comp_Region1_forR!$D210&gt;49,[2]species_comp_Region1_forR!$AS210,[2]species_comp_Region1_forR!$AU210)</f>
        <v>7.2933999999999998E-4</v>
      </c>
      <c r="Q304" s="13">
        <f t="shared" si="124"/>
        <v>210.48522829275163</v>
      </c>
      <c r="R304" s="14">
        <f t="shared" si="125"/>
        <v>15452.899416303861</v>
      </c>
      <c r="S304">
        <f t="shared" si="154"/>
        <v>124.30969156225858</v>
      </c>
      <c r="T304" s="6">
        <f t="shared" si="155"/>
        <v>243.64699546202681</v>
      </c>
      <c r="V304" s="13">
        <f t="shared" si="151"/>
        <v>315.86475314075165</v>
      </c>
      <c r="W304">
        <f t="shared" si="151"/>
        <v>15697.593357183561</v>
      </c>
      <c r="X304">
        <f t="shared" si="156"/>
        <v>125.29003694302098</v>
      </c>
      <c r="Y304" s="6">
        <f t="shared" si="157"/>
        <v>245.56847240832113</v>
      </c>
      <c r="Z304" s="14">
        <f t="shared" si="126"/>
        <v>0.39665722654148378</v>
      </c>
    </row>
    <row r="305" spans="1:26" hidden="1" x14ac:dyDescent="0.25">
      <c r="A305" t="str">
        <f>'rockfish harvests'!A313</f>
        <v>SE</v>
      </c>
      <c r="B305">
        <f>'rockfish harvests'!B313</f>
        <v>2009</v>
      </c>
      <c r="C305" t="str">
        <f>'rockfish harvests'!C313</f>
        <v>NSEO</v>
      </c>
      <c r="D305">
        <f>'rockfish harvests'!D313</f>
        <v>2818</v>
      </c>
      <c r="E305">
        <f>'YE harvest'!E314</f>
        <v>864</v>
      </c>
      <c r="F305">
        <f>IF([2]species_comp_Region1_forR!$H189&gt;49,[2]species_comp_Region1_forR!$AV189,[2]species_comp_Region1_forR!$AX189)</f>
        <v>2.9154519E-2</v>
      </c>
      <c r="G305">
        <f>IF([2]species_comp_Region1_forR!$H189&gt;49,[2]species_comp_Region1_forR!$AW189,[2]species_comp_Region1_forR!$AY189)</f>
        <v>8.2761800000000004E-5</v>
      </c>
      <c r="H305" s="13">
        <f t="shared" si="149"/>
        <v>25.189504416000002</v>
      </c>
      <c r="I305">
        <f t="shared" si="150"/>
        <v>61.781352652800003</v>
      </c>
      <c r="J305">
        <f t="shared" si="152"/>
        <v>7.8601114911176673</v>
      </c>
      <c r="K305" s="6">
        <f t="shared" si="153"/>
        <v>15.405818522590627</v>
      </c>
      <c r="M305" s="2">
        <f>'rockfish harvests'!O313</f>
        <v>1494.7076983275492</v>
      </c>
      <c r="N305">
        <f>'rockfish harvests'!P313</f>
        <v>587874.87939866644</v>
      </c>
      <c r="O305">
        <f>IF([2]species_comp_Region1_forR!$D211&gt;49,[2]species_comp_Region1_forR!$AR211,[2]species_comp_Region1_forR!$AT211)</f>
        <v>5.1282051000000002E-2</v>
      </c>
      <c r="P305">
        <f>IF([2]species_comp_Region1_forR!$D211&gt;49,[2]species_comp_Region1_forR!$AS211,[2]species_comp_Region1_forR!$AU211)</f>
        <v>6.3184700000000005E-4</v>
      </c>
      <c r="Q305" s="13">
        <f t="shared" si="124"/>
        <v>76.651676415726001</v>
      </c>
      <c r="R305" s="14">
        <f t="shared" si="125"/>
        <v>2586.216712876766</v>
      </c>
      <c r="S305">
        <f t="shared" si="154"/>
        <v>50.854859284799581</v>
      </c>
      <c r="T305" s="6">
        <f t="shared" si="155"/>
        <v>99.675524198207171</v>
      </c>
      <c r="V305" s="13">
        <f t="shared" si="151"/>
        <v>101.84118083172601</v>
      </c>
      <c r="W305">
        <f t="shared" si="151"/>
        <v>2647.9980655295658</v>
      </c>
      <c r="X305">
        <f t="shared" si="156"/>
        <v>51.458702524738861</v>
      </c>
      <c r="Y305" s="6">
        <f t="shared" si="157"/>
        <v>100.85905694848816</v>
      </c>
      <c r="Z305" s="14">
        <f t="shared" si="126"/>
        <v>0.50528383611110117</v>
      </c>
    </row>
    <row r="306" spans="1:26" hidden="1" x14ac:dyDescent="0.25">
      <c r="A306" t="str">
        <f>'rockfish harvests'!A314</f>
        <v>SE</v>
      </c>
      <c r="B306">
        <f>'rockfish harvests'!B314</f>
        <v>2010</v>
      </c>
      <c r="C306" t="str">
        <f>'rockfish harvests'!C314</f>
        <v>NSEO</v>
      </c>
      <c r="D306">
        <f>'rockfish harvests'!D314</f>
        <v>4613</v>
      </c>
      <c r="E306">
        <f>'YE harvest'!E315</f>
        <v>1642</v>
      </c>
      <c r="F306">
        <f>IF([2]species_comp_Region1_forR!$H190&gt;49,[2]species_comp_Region1_forR!$AV190,[2]species_comp_Region1_forR!$AX190)</f>
        <v>5.2830189E-2</v>
      </c>
      <c r="G306">
        <f>IF([2]species_comp_Region1_forR!$H190&gt;49,[2]species_comp_Region1_forR!$AW190,[2]species_comp_Region1_forR!$AY190)</f>
        <v>9.4592000000000005E-5</v>
      </c>
      <c r="H306" s="13">
        <f t="shared" si="149"/>
        <v>86.747170338000004</v>
      </c>
      <c r="I306">
        <f t="shared" si="150"/>
        <v>255.03554508800002</v>
      </c>
      <c r="J306">
        <f t="shared" si="152"/>
        <v>15.969832343766168</v>
      </c>
      <c r="K306" s="6">
        <f t="shared" si="153"/>
        <v>31.300871393781687</v>
      </c>
      <c r="M306" s="2">
        <f>'rockfish harvests'!O314</f>
        <v>2446.8014948136924</v>
      </c>
      <c r="N306">
        <f>'rockfish harvests'!P314</f>
        <v>1575323.7998180711</v>
      </c>
      <c r="O306">
        <f>IF([2]species_comp_Region1_forR!$D212&gt;49,[2]species_comp_Region1_forR!$AR212,[2]species_comp_Region1_forR!$AT212)</f>
        <v>0</v>
      </c>
      <c r="P306">
        <f>IF([2]species_comp_Region1_forR!$D212&gt;49,[2]species_comp_Region1_forR!$AS212,[2]species_comp_Region1_forR!$AU212)</f>
        <v>0</v>
      </c>
      <c r="Q306" s="13">
        <f t="shared" si="124"/>
        <v>0</v>
      </c>
      <c r="R306" s="14">
        <f t="shared" si="125"/>
        <v>0</v>
      </c>
      <c r="S306">
        <f t="shared" si="154"/>
        <v>0</v>
      </c>
      <c r="T306" s="6">
        <f t="shared" si="155"/>
        <v>0</v>
      </c>
      <c r="V306" s="13">
        <f t="shared" si="151"/>
        <v>86.747170338000004</v>
      </c>
      <c r="W306">
        <f t="shared" si="151"/>
        <v>255.03554508800002</v>
      </c>
      <c r="X306">
        <f t="shared" si="156"/>
        <v>15.969832343766168</v>
      </c>
      <c r="Y306" s="6">
        <f t="shared" si="157"/>
        <v>31.300871393781687</v>
      </c>
      <c r="Z306" s="14">
        <f t="shared" si="126"/>
        <v>0.18409629134347116</v>
      </c>
    </row>
    <row r="307" spans="1:26" hidden="1" x14ac:dyDescent="0.25">
      <c r="A307" t="str">
        <f>'rockfish harvests'!A315</f>
        <v>SE</v>
      </c>
      <c r="B307">
        <f>'rockfish harvests'!B315</f>
        <v>2011</v>
      </c>
      <c r="C307" t="str">
        <f>'rockfish harvests'!C315</f>
        <v>NSEO</v>
      </c>
      <c r="D307">
        <f>'rockfish harvests'!D315</f>
        <v>8950</v>
      </c>
      <c r="E307">
        <f>'YE harvest'!E316</f>
        <v>2118</v>
      </c>
      <c r="F307">
        <f>IF([2]species_comp_Region1_forR!$H191&gt;49,[2]species_comp_Region1_forR!$AV191,[2]species_comp_Region1_forR!$AX191)</f>
        <v>7.7697842000000003E-2</v>
      </c>
      <c r="G307">
        <f>IF([2]species_comp_Region1_forR!$H191&gt;49,[2]species_comp_Region1_forR!$AW191,[2]species_comp_Region1_forR!$AY191)</f>
        <v>1.0325800000000001E-4</v>
      </c>
      <c r="H307" s="13">
        <f t="shared" si="149"/>
        <v>164.56402935600002</v>
      </c>
      <c r="I307">
        <f t="shared" si="150"/>
        <v>463.20754039200006</v>
      </c>
      <c r="J307">
        <f t="shared" si="152"/>
        <v>21.522256861026449</v>
      </c>
      <c r="K307" s="6">
        <f t="shared" si="153"/>
        <v>42.183623447611836</v>
      </c>
      <c r="M307" s="2">
        <f>'rockfish harvests'!O315</f>
        <v>2109.8638720829731</v>
      </c>
      <c r="N307">
        <f>'rockfish harvests'!P315</f>
        <v>736850.51155388099</v>
      </c>
      <c r="O307">
        <f>IF([2]species_comp_Region1_forR!$D213&gt;49,[2]species_comp_Region1_forR!$AR213,[2]species_comp_Region1_forR!$AT213)</f>
        <v>3.6363635999999998E-2</v>
      </c>
      <c r="P307">
        <f>IF([2]species_comp_Region1_forR!$D213&gt;49,[2]species_comp_Region1_forR!$AS213,[2]species_comp_Region1_forR!$AU213)</f>
        <v>2.1366700000000001E-4</v>
      </c>
      <c r="Q307" s="13">
        <f t="shared" si="124"/>
        <v>76.722321853975785</v>
      </c>
      <c r="R307" s="14">
        <f t="shared" si="125"/>
        <v>1768.0512376889922</v>
      </c>
      <c r="S307">
        <f t="shared" si="154"/>
        <v>42.048201360926157</v>
      </c>
      <c r="T307" s="6">
        <f t="shared" si="155"/>
        <v>82.414474667415263</v>
      </c>
      <c r="V307" s="13">
        <f t="shared" si="151"/>
        <v>241.28635120997581</v>
      </c>
      <c r="W307">
        <f t="shared" si="151"/>
        <v>2231.2587780809922</v>
      </c>
      <c r="X307">
        <f t="shared" si="156"/>
        <v>47.236201986199021</v>
      </c>
      <c r="Y307" s="6">
        <f t="shared" si="157"/>
        <v>92.582955892950082</v>
      </c>
      <c r="Z307" s="14">
        <f t="shared" si="126"/>
        <v>0.19576823035917365</v>
      </c>
    </row>
    <row r="308" spans="1:26" hidden="1" x14ac:dyDescent="0.25">
      <c r="A308" t="str">
        <f>'rockfish harvests'!A316</f>
        <v>SE</v>
      </c>
      <c r="B308">
        <f>'rockfish harvests'!B316</f>
        <v>2012</v>
      </c>
      <c r="C308" t="str">
        <f>'rockfish harvests'!C316</f>
        <v>NSEO</v>
      </c>
      <c r="D308">
        <f>'rockfish harvests'!D316</f>
        <v>8600</v>
      </c>
      <c r="E308">
        <f>'YE harvest'!E317</f>
        <v>2133</v>
      </c>
      <c r="F308">
        <f>IF([2]species_comp_Region1_forR!$H192&gt;49,[2]species_comp_Region1_forR!$AV192,[2]species_comp_Region1_forR!$AX192)</f>
        <v>9.8944590999999998E-2</v>
      </c>
      <c r="G308">
        <f>IF([2]species_comp_Region1_forR!$H192&gt;49,[2]species_comp_Region1_forR!$AW192,[2]species_comp_Region1_forR!$AY192)</f>
        <v>1.17774E-4</v>
      </c>
      <c r="H308" s="13">
        <f t="shared" si="149"/>
        <v>211.04881260299999</v>
      </c>
      <c r="I308">
        <f t="shared" si="150"/>
        <v>535.83507228600001</v>
      </c>
      <c r="J308">
        <f t="shared" si="152"/>
        <v>23.148111635422879</v>
      </c>
      <c r="K308" s="6">
        <f t="shared" si="153"/>
        <v>45.370298805428838</v>
      </c>
      <c r="M308" s="2">
        <f>'rockfish harvests'!O316</f>
        <v>4056.1403508771928</v>
      </c>
      <c r="N308">
        <f>'rockfish harvests'!P316</f>
        <v>2425591.2838210762</v>
      </c>
      <c r="O308">
        <f>IF([2]species_comp_Region1_forR!$D214&gt;49,[2]species_comp_Region1_forR!$AR214,[2]species_comp_Region1_forR!$AT214)</f>
        <v>1.5564201999999999E-2</v>
      </c>
      <c r="P308">
        <f>IF([2]species_comp_Region1_forR!$D214&gt;49,[2]species_comp_Region1_forR!$AS214,[2]species_comp_Region1_forR!$AU214)</f>
        <v>5.9851400000000001E-5</v>
      </c>
      <c r="Q308" s="13">
        <f t="shared" si="124"/>
        <v>63.130587761403504</v>
      </c>
      <c r="R308" s="14">
        <f t="shared" si="125"/>
        <v>1427.1024967335172</v>
      </c>
      <c r="S308">
        <f t="shared" si="154"/>
        <v>37.777010161386741</v>
      </c>
      <c r="T308" s="6">
        <f t="shared" si="155"/>
        <v>74.042939916318005</v>
      </c>
      <c r="V308" s="13">
        <f t="shared" si="151"/>
        <v>274.17940036440348</v>
      </c>
      <c r="W308" s="14">
        <f>R308+I308</f>
        <v>1962.9375690195172</v>
      </c>
      <c r="X308">
        <f t="shared" si="156"/>
        <v>44.305051281084388</v>
      </c>
      <c r="Y308" s="6">
        <f t="shared" si="157"/>
        <v>86.837900510925394</v>
      </c>
      <c r="Z308" s="14">
        <f t="shared" si="126"/>
        <v>0.16159146610649777</v>
      </c>
    </row>
    <row r="309" spans="1:26" hidden="1" x14ac:dyDescent="0.25">
      <c r="A309" t="str">
        <f>'rockfish harvests'!A317</f>
        <v>SE</v>
      </c>
      <c r="B309">
        <f>'rockfish harvests'!B317</f>
        <v>2013</v>
      </c>
      <c r="C309" t="str">
        <f>'rockfish harvests'!C317</f>
        <v>NSEO</v>
      </c>
      <c r="D309">
        <f>'rockfish harvests'!D317</f>
        <v>6970</v>
      </c>
      <c r="E309">
        <f>'YE harvest'!E318</f>
        <v>1675</v>
      </c>
      <c r="F309">
        <f>IF([2]species_comp_Region1_forR!$H193&gt;49,[2]species_comp_Region1_forR!$AV193,[2]species_comp_Region1_forR!$AX193)</f>
        <v>0.131897712</v>
      </c>
      <c r="G309">
        <f>IF([2]species_comp_Region1_forR!$H193&gt;49,[2]species_comp_Region1_forR!$AW193,[2]species_comp_Region1_forR!$AY193)</f>
        <v>1.5431399999999999E-4</v>
      </c>
      <c r="H309" s="13">
        <f t="shared" si="149"/>
        <v>220.92866760000001</v>
      </c>
      <c r="I309">
        <f t="shared" si="150"/>
        <v>432.94721624999994</v>
      </c>
      <c r="J309">
        <f t="shared" si="152"/>
        <v>20.807383695457723</v>
      </c>
      <c r="K309" s="6">
        <f t="shared" si="153"/>
        <v>40.782472043097137</v>
      </c>
      <c r="M309" s="2">
        <f>'rockfish harvests'!O317</f>
        <v>3563.4638032559742</v>
      </c>
      <c r="N309">
        <f>'rockfish harvests'!P317</f>
        <v>1983952.159720307</v>
      </c>
      <c r="O309">
        <f>IF([2]species_comp_Region1_forR!$D215&gt;49,[2]species_comp_Region1_forR!$AR215,[2]species_comp_Region1_forR!$AT215)</f>
        <v>1.3071895E-2</v>
      </c>
      <c r="P309">
        <f>IF([2]species_comp_Region1_forR!$D215&gt;49,[2]species_comp_Region1_forR!$AS215,[2]species_comp_Region1_forR!$AU215)</f>
        <v>4.2298400000000001E-5</v>
      </c>
      <c r="Q309" s="13">
        <f t="shared" si="124"/>
        <v>46.581224672462753</v>
      </c>
      <c r="R309" s="14">
        <f t="shared" si="125"/>
        <v>792.20539472927499</v>
      </c>
      <c r="S309">
        <f t="shared" si="154"/>
        <v>28.146143514330252</v>
      </c>
      <c r="T309" s="6">
        <f t="shared" si="155"/>
        <v>55.166441288087292</v>
      </c>
      <c r="V309" s="13">
        <f t="shared" si="151"/>
        <v>267.50989227246276</v>
      </c>
      <c r="W309">
        <f t="shared" si="151"/>
        <v>1225.1526109792749</v>
      </c>
      <c r="X309">
        <f t="shared" si="156"/>
        <v>35.002180088949814</v>
      </c>
      <c r="Y309" s="6">
        <f t="shared" si="157"/>
        <v>68.60427297434164</v>
      </c>
      <c r="Z309" s="14">
        <f t="shared" si="126"/>
        <v>0.1308444326735386</v>
      </c>
    </row>
    <row r="310" spans="1:26" hidden="1" x14ac:dyDescent="0.25">
      <c r="A310" t="str">
        <f>'rockfish harvests'!A318</f>
        <v>SE</v>
      </c>
      <c r="B310">
        <f>'rockfish harvests'!B318</f>
        <v>2014</v>
      </c>
      <c r="C310" t="str">
        <f>'rockfish harvests'!C318</f>
        <v>NSEO</v>
      </c>
      <c r="D310">
        <f>'rockfish harvests'!D318</f>
        <v>8688</v>
      </c>
      <c r="E310">
        <f>'YE harvest'!E319</f>
        <v>2260</v>
      </c>
      <c r="F310">
        <f>IF([2]species_comp_Region1_forR!$H194&gt;49,[2]species_comp_Region1_forR!$AV194,[2]species_comp_Region1_forR!$AX194)</f>
        <v>0.125</v>
      </c>
      <c r="G310">
        <f>IF([2]species_comp_Region1_forR!$H194&gt;49,[2]species_comp_Region1_forR!$AW194,[2]species_comp_Region1_forR!$AY194)</f>
        <v>1.32898E-4</v>
      </c>
      <c r="H310" s="13">
        <f t="shared" si="149"/>
        <v>282.5</v>
      </c>
      <c r="I310">
        <f t="shared" si="150"/>
        <v>678.78982480000002</v>
      </c>
      <c r="J310">
        <f t="shared" si="152"/>
        <v>26.053595237509928</v>
      </c>
      <c r="K310" s="6">
        <f t="shared" si="153"/>
        <v>51.065046665519461</v>
      </c>
      <c r="M310" s="2">
        <f>'rockfish harvests'!O318</f>
        <v>9722.2508839872025</v>
      </c>
      <c r="N310">
        <f>'rockfish harvests'!P318</f>
        <v>9687106.4801495951</v>
      </c>
      <c r="O310">
        <f>IF([2]species_comp_Region1_forR!$D216&gt;49,[2]species_comp_Region1_forR!$AR216,[2]species_comp_Region1_forR!$AT216)</f>
        <v>1.4150942999999999E-2</v>
      </c>
      <c r="P310">
        <f>IF([2]species_comp_Region1_forR!$D216&gt;49,[2]species_comp_Region1_forR!$AS216,[2]species_comp_Region1_forR!$AU216)</f>
        <v>3.29804E-5</v>
      </c>
      <c r="Q310" s="13">
        <f t="shared" si="124"/>
        <v>137.5790180910025</v>
      </c>
      <c r="R310" s="14">
        <f t="shared" si="125"/>
        <v>4737.7292780291455</v>
      </c>
      <c r="S310">
        <f t="shared" si="154"/>
        <v>68.831165020135643</v>
      </c>
      <c r="T310" s="6">
        <f t="shared" si="155"/>
        <v>134.90908343946586</v>
      </c>
      <c r="V310" s="13">
        <f t="shared" si="151"/>
        <v>420.07901809100247</v>
      </c>
      <c r="W310">
        <f t="shared" si="151"/>
        <v>5416.5191028291456</v>
      </c>
      <c r="X310">
        <f t="shared" si="156"/>
        <v>73.597004713705203</v>
      </c>
      <c r="Y310" s="6">
        <f t="shared" si="157"/>
        <v>144.2501292388622</v>
      </c>
      <c r="Z310" s="14">
        <f t="shared" si="126"/>
        <v>0.17519800214768583</v>
      </c>
    </row>
    <row r="311" spans="1:26" hidden="1" x14ac:dyDescent="0.25">
      <c r="A311" t="str">
        <f>'rockfish harvests'!A319</f>
        <v>SE</v>
      </c>
      <c r="B311">
        <f>'rockfish harvests'!B319</f>
        <v>2015</v>
      </c>
      <c r="C311" t="str">
        <f>'rockfish harvests'!C319</f>
        <v>NSEO</v>
      </c>
      <c r="D311">
        <f>'rockfish harvests'!D319</f>
        <v>9156</v>
      </c>
      <c r="E311">
        <f>'YE harvest'!E320</f>
        <v>2579</v>
      </c>
      <c r="F311">
        <f>IF([2]species_comp_Region1_forR!$H195&gt;49,[2]species_comp_Region1_forR!$AV195,[2]species_comp_Region1_forR!$AX195)</f>
        <v>9.6544715000000003E-2</v>
      </c>
      <c r="G311">
        <f>IF([2]species_comp_Region1_forR!$H195&gt;49,[2]species_comp_Region1_forR!$AW195,[2]species_comp_Region1_forR!$AY195)</f>
        <v>8.8732299999999997E-5</v>
      </c>
      <c r="H311" s="13">
        <f t="shared" si="149"/>
        <v>248.98881998500002</v>
      </c>
      <c r="I311">
        <f t="shared" si="150"/>
        <v>590.17991178429997</v>
      </c>
      <c r="J311">
        <f t="shared" si="152"/>
        <v>24.293618746170772</v>
      </c>
      <c r="K311" s="6">
        <f t="shared" si="153"/>
        <v>47.615492742494709</v>
      </c>
      <c r="M311" s="2">
        <f>'rockfish harvests'!O319</f>
        <v>4529.4803554223308</v>
      </c>
      <c r="N311">
        <f>'rockfish harvests'!P319</f>
        <v>3708908.4909766819</v>
      </c>
      <c r="O311">
        <f>IF([2]species_comp_Region1_forR!$D217&gt;49,[2]species_comp_Region1_forR!$AR217,[2]species_comp_Region1_forR!$AT217)</f>
        <v>1.2779553000000001E-2</v>
      </c>
      <c r="P311">
        <f>IF([2]species_comp_Region1_forR!$D217&gt;49,[2]species_comp_Region1_forR!$AS217,[2]species_comp_Region1_forR!$AU217)</f>
        <v>4.0436699999999999E-5</v>
      </c>
      <c r="Q311" s="52">
        <f>M311*O311</f>
        <v>57.884734264578519</v>
      </c>
      <c r="R311" s="14">
        <f t="shared" si="125"/>
        <v>1285.3588076546562</v>
      </c>
      <c r="S311">
        <f t="shared" si="154"/>
        <v>35.851901032646182</v>
      </c>
      <c r="T311" s="6">
        <f t="shared" si="155"/>
        <v>70.269726023986522</v>
      </c>
      <c r="V311" s="13">
        <f>Q311+H311</f>
        <v>306.87355424957855</v>
      </c>
      <c r="W311">
        <f t="shared" si="151"/>
        <v>1875.5387194389562</v>
      </c>
      <c r="X311">
        <f t="shared" si="156"/>
        <v>43.307490338727277</v>
      </c>
      <c r="Y311" s="6">
        <f t="shared" si="157"/>
        <v>84.882681063905466</v>
      </c>
      <c r="Z311" s="14">
        <f t="shared" si="126"/>
        <v>0.14112486963769297</v>
      </c>
    </row>
    <row r="312" spans="1:26" hidden="1" x14ac:dyDescent="0.25">
      <c r="A312" t="str">
        <f>'rockfish harvests'!A320</f>
        <v>SE</v>
      </c>
      <c r="B312">
        <f>'rockfish harvests'!B320</f>
        <v>2016</v>
      </c>
      <c r="C312" t="str">
        <f>'rockfish harvests'!C320</f>
        <v>NSEO</v>
      </c>
      <c r="D312">
        <f>'rockfish harvests'!D320</f>
        <v>5839</v>
      </c>
      <c r="E312">
        <f>'YE harvest'!E321</f>
        <v>1492</v>
      </c>
      <c r="F312">
        <f>IF([2]species_comp_Region1_forR!$H196&gt;49,[2]species_comp_Region1_forR!$AV196,[2]species_comp_Region1_forR!$AX196)</f>
        <v>6.9518716999999994E-2</v>
      </c>
      <c r="G312">
        <f>IF([2]species_comp_Region1_forR!$H196&gt;49,[2]species_comp_Region1_forR!$AW196,[2]species_comp_Region1_forR!$AY196)</f>
        <v>8.6594200000000005E-5</v>
      </c>
      <c r="H312" s="13">
        <f t="shared" si="149"/>
        <v>103.72192576399999</v>
      </c>
      <c r="I312">
        <f t="shared" si="150"/>
        <v>192.76423122880001</v>
      </c>
      <c r="J312">
        <f t="shared" si="152"/>
        <v>13.883955892640973</v>
      </c>
      <c r="K312" s="6">
        <f t="shared" si="153"/>
        <v>27.212553549576306</v>
      </c>
      <c r="M312" s="2">
        <f>'rockfish harvests'!O320</f>
        <v>1660.6278507924235</v>
      </c>
      <c r="N312">
        <f>'rockfish harvests'!P320</f>
        <v>405106.18509878113</v>
      </c>
      <c r="O312">
        <f>IF([2]species_comp_Region1_forR!$D218&gt;49,[2]species_comp_Region1_forR!$AR218,[2]species_comp_Region1_forR!$AT218)</f>
        <v>9.9601589999999997E-3</v>
      </c>
      <c r="P312">
        <f>IF([2]species_comp_Region1_forR!$D218&gt;49,[2]species_comp_Region1_forR!$AS218,[2]species_comp_Region1_forR!$AU218)</f>
        <v>1.96825E-5</v>
      </c>
      <c r="Q312" s="13">
        <f t="shared" si="124"/>
        <v>16.540117433720813</v>
      </c>
      <c r="R312" s="14">
        <f t="shared" si="125"/>
        <v>86.493094572319464</v>
      </c>
      <c r="S312">
        <f t="shared" si="154"/>
        <v>9.3001663733677074</v>
      </c>
      <c r="T312" s="6">
        <f t="shared" si="155"/>
        <v>18.228326091800707</v>
      </c>
      <c r="V312" s="13">
        <f t="shared" si="151"/>
        <v>120.2620431977208</v>
      </c>
      <c r="W312">
        <f t="shared" si="151"/>
        <v>279.25732580111946</v>
      </c>
      <c r="X312">
        <f t="shared" si="156"/>
        <v>16.710994159568109</v>
      </c>
      <c r="Y312" s="6">
        <f t="shared" si="157"/>
        <v>32.753548552753493</v>
      </c>
      <c r="Z312" s="14">
        <f t="shared" si="126"/>
        <v>0.13895484988637558</v>
      </c>
    </row>
    <row r="313" spans="1:26" hidden="1" x14ac:dyDescent="0.25">
      <c r="A313" t="str">
        <f>'rockfish harvests'!A321</f>
        <v>SE</v>
      </c>
      <c r="B313">
        <f>'rockfish harvests'!B321</f>
        <v>2017</v>
      </c>
      <c r="C313" t="str">
        <f>'rockfish harvests'!C321</f>
        <v>NSEO</v>
      </c>
      <c r="D313">
        <f>'rockfish harvests'!D321</f>
        <v>9211</v>
      </c>
      <c r="E313">
        <f>'YE harvest'!E322</f>
        <v>1716</v>
      </c>
      <c r="F313">
        <f>IF([2]species_comp_Region1_forR!$H197&gt;49,[2]species_comp_Region1_forR!$AV197,[2]species_comp_Region1_forR!$AX197)</f>
        <v>8.1939798999999994E-2</v>
      </c>
      <c r="G313">
        <f>IF([2]species_comp_Region1_forR!$H197&gt;49,[2]species_comp_Region1_forR!$AW197,[2]species_comp_Region1_forR!$AY197)</f>
        <v>1.2600600000000001E-4</v>
      </c>
      <c r="H313" s="13">
        <f t="shared" si="149"/>
        <v>140.60869508399998</v>
      </c>
      <c r="I313">
        <f t="shared" si="150"/>
        <v>371.04432393600001</v>
      </c>
      <c r="J313">
        <f t="shared" si="152"/>
        <v>19.262510841943737</v>
      </c>
      <c r="K313" s="6">
        <f t="shared" si="153"/>
        <v>37.75452125020972</v>
      </c>
      <c r="M313" s="2">
        <f>'rockfish harvests'!O321</f>
        <v>6867.0171471927151</v>
      </c>
      <c r="N313">
        <f>'rockfish harvests'!P321</f>
        <v>4662505.6656814301</v>
      </c>
      <c r="O313">
        <f>IF([2]species_comp_Region1_forR!$D219&gt;49,[2]species_comp_Region1_forR!$AR219,[2]species_comp_Region1_forR!$AT219)</f>
        <v>9.7465889999999999E-3</v>
      </c>
      <c r="P313">
        <f>IF([2]species_comp_Region1_forR!$D219&gt;49,[2]species_comp_Region1_forR!$AS219,[2]species_comp_Region1_forR!$AU219)</f>
        <v>1.8850799999999999E-5</v>
      </c>
      <c r="Q313" s="13">
        <f t="shared" si="124"/>
        <v>66.929993789639894</v>
      </c>
      <c r="R313" s="14">
        <f t="shared" si="125"/>
        <v>1243.9543146175592</v>
      </c>
      <c r="S313">
        <f t="shared" si="154"/>
        <v>35.269736526058132</v>
      </c>
      <c r="T313" s="6">
        <f t="shared" si="155"/>
        <v>69.128683591073937</v>
      </c>
      <c r="V313" s="13">
        <f t="shared" si="151"/>
        <v>207.53868887363987</v>
      </c>
      <c r="W313">
        <f t="shared" si="151"/>
        <v>1614.9986385535592</v>
      </c>
      <c r="X313">
        <f t="shared" si="156"/>
        <v>40.187045655951856</v>
      </c>
      <c r="Y313" s="6">
        <f t="shared" si="157"/>
        <v>78.76660948566564</v>
      </c>
      <c r="Z313" s="14">
        <f t="shared" si="126"/>
        <v>0.19363640521223383</v>
      </c>
    </row>
    <row r="314" spans="1:26" hidden="1" x14ac:dyDescent="0.25">
      <c r="A314" t="str">
        <f>'rockfish harvests'!A322</f>
        <v>SE</v>
      </c>
      <c r="B314">
        <f>'rockfish harvests'!B322</f>
        <v>2018</v>
      </c>
      <c r="C314" t="str">
        <f>'rockfish harvests'!C322</f>
        <v>NSEO</v>
      </c>
      <c r="D314">
        <f>'rockfish harvests'!D322</f>
        <v>11024</v>
      </c>
      <c r="E314">
        <f>'YE harvest'!E323</f>
        <v>1835</v>
      </c>
      <c r="F314">
        <f>IF([2]species_comp_Region1_forR!$H198&gt;49,[2]species_comp_Region1_forR!$AV198,[2]species_comp_Region1_forR!$AX198)</f>
        <v>0.117957746</v>
      </c>
      <c r="G314">
        <f>IF([2]species_comp_Region1_forR!$H198&gt;49,[2]species_comp_Region1_forR!$AW198,[2]species_comp_Region1_forR!$AY198)</f>
        <v>1.83499E-4</v>
      </c>
      <c r="H314" s="13">
        <f t="shared" si="149"/>
        <v>216.45246391000001</v>
      </c>
      <c r="I314">
        <f t="shared" si="150"/>
        <v>617.88242027499996</v>
      </c>
      <c r="J314">
        <f t="shared" si="152"/>
        <v>24.857240801726164</v>
      </c>
      <c r="K314" s="6">
        <f t="shared" si="153"/>
        <v>48.720191971383279</v>
      </c>
      <c r="M314" s="2">
        <f>'rockfish harvests'!O322</f>
        <v>7836.8836407058479</v>
      </c>
      <c r="N314">
        <f>'rockfish harvests'!P322</f>
        <v>7422148.5356027149</v>
      </c>
      <c r="O314">
        <f>IF([2]species_comp_Region1_forR!$D220&gt;49,[2]species_comp_Region1_forR!$AR220,[2]species_comp_Region1_forR!$AT220)</f>
        <v>1.6985138E-2</v>
      </c>
      <c r="P314">
        <f>IF([2]species_comp_Region1_forR!$D220&gt;49,[2]species_comp_Region1_forR!$AS220,[2]species_comp_Region1_forR!$AU220)</f>
        <v>3.5524800000000002E-5</v>
      </c>
      <c r="Q314" s="13">
        <f t="shared" si="124"/>
        <v>133.11055012733124</v>
      </c>
      <c r="R314" s="14">
        <f t="shared" si="125"/>
        <v>4059.3993426650445</v>
      </c>
      <c r="S314">
        <f t="shared" si="154"/>
        <v>63.71341571965079</v>
      </c>
      <c r="T314" s="6">
        <f t="shared" si="155"/>
        <v>124.87829481051554</v>
      </c>
      <c r="V314" s="13">
        <f t="shared" si="151"/>
        <v>349.56301403733124</v>
      </c>
      <c r="W314">
        <f t="shared" si="151"/>
        <v>4677.2817629400442</v>
      </c>
      <c r="X314">
        <f t="shared" si="156"/>
        <v>68.390655523543884</v>
      </c>
      <c r="Y314" s="6">
        <f t="shared" si="157"/>
        <v>134.04568482614602</v>
      </c>
      <c r="Z314" s="14">
        <f t="shared" si="126"/>
        <v>0.1956461432622851</v>
      </c>
    </row>
    <row r="315" spans="1:26" hidden="1" x14ac:dyDescent="0.25">
      <c r="A315" t="str">
        <f>'rockfish harvests'!A323</f>
        <v>SE</v>
      </c>
      <c r="B315">
        <f>'rockfish harvests'!B323</f>
        <v>2019</v>
      </c>
      <c r="C315" t="str">
        <f>'rockfish harvests'!C323</f>
        <v>NSEO</v>
      </c>
      <c r="D315">
        <f>'rockfish harvests'!D323</f>
        <v>11553</v>
      </c>
      <c r="E315">
        <f>'YE harvest'!E324</f>
        <v>1628</v>
      </c>
      <c r="F315">
        <v>0.24874791318864775</v>
      </c>
      <c r="G315">
        <v>3.1249563356679048E-4</v>
      </c>
      <c r="H315" s="13">
        <f>E315*F315</f>
        <v>404.96160267111856</v>
      </c>
      <c r="I315">
        <f>(E315^2)*G315</f>
        <v>828.23342727528438</v>
      </c>
      <c r="K315" s="6"/>
      <c r="M315" s="2">
        <f>'rockfish harvests'!O323</f>
        <v>6640.6634516724807</v>
      </c>
      <c r="N315">
        <f>'rockfish harvests'!P323</f>
        <v>4892127.8553123055</v>
      </c>
      <c r="O315">
        <v>2.1346469622331693E-2</v>
      </c>
      <c r="P315">
        <v>3.4359864896372641E-5</v>
      </c>
      <c r="Q315" s="13">
        <f>M315*O315</f>
        <v>141.75472064325493</v>
      </c>
      <c r="R315" s="14">
        <f>(M315^2)*P315+(O315^2)*N315-(P315*N315)</f>
        <v>3576.327130718586</v>
      </c>
      <c r="S315">
        <f>SQRT(R315)</f>
        <v>59.802400710327561</v>
      </c>
      <c r="T315" s="6">
        <f>(1.96*S315)</f>
        <v>117.21270539224201</v>
      </c>
      <c r="V315" s="13">
        <f>Q315+H315</f>
        <v>546.71632331437354</v>
      </c>
      <c r="W315">
        <f>R315+I315</f>
        <v>4404.5605579938701</v>
      </c>
      <c r="X315">
        <f>SQRT(W315)</f>
        <v>66.366863403311967</v>
      </c>
      <c r="Y315" s="6">
        <f>(1.96*X315)</f>
        <v>130.07905227049145</v>
      </c>
      <c r="Z315" s="14">
        <f t="shared" si="126"/>
        <v>0.12139177224666403</v>
      </c>
    </row>
    <row r="316" spans="1:26" hidden="1" x14ac:dyDescent="0.25">
      <c r="A316" t="str">
        <f>'rockfish harvests'!A324</f>
        <v>SE</v>
      </c>
      <c r="B316">
        <f>'rockfish harvests'!B324</f>
        <v>2020</v>
      </c>
      <c r="C316" t="str">
        <f>'rockfish harvests'!C324</f>
        <v>NSEO</v>
      </c>
      <c r="D316">
        <f>'rockfish harvests'!D324</f>
        <v>3314</v>
      </c>
      <c r="E316">
        <f>'YE harvest'!E325</f>
        <v>172</v>
      </c>
      <c r="F316" s="26" t="str">
        <f>F241</f>
        <v>0.992647058823529</v>
      </c>
      <c r="G316" s="26" t="str">
        <f>G241</f>
        <v>2.28446805399873e-06</v>
      </c>
      <c r="H316" s="13">
        <f t="shared" ref="H316:H317" si="158">E316*F316</f>
        <v>170.73529411764699</v>
      </c>
      <c r="I316">
        <f t="shared" ref="I316:I317" si="159">(E316^2)*G316</f>
        <v>6.758370290949843E-2</v>
      </c>
      <c r="J316">
        <f t="shared" ref="J316" si="160">SQRT(I316)</f>
        <v>0.25996865755221038</v>
      </c>
      <c r="K316" s="6">
        <f t="shared" ref="K316" si="161">(1.96*J316)</f>
        <v>0.50953856880233228</v>
      </c>
      <c r="M316" s="2">
        <f>'rockfish harvests'!O324</f>
        <v>1085.5719163465646</v>
      </c>
      <c r="N316">
        <f>'rockfish harvests'!P324</f>
        <v>110201.41937596143</v>
      </c>
      <c r="O316" s="26" t="str">
        <f>O241</f>
        <v>0.0513513513513513</v>
      </c>
      <c r="P316" s="26" t="str">
        <f>P241</f>
        <v>0.000132017317251332</v>
      </c>
      <c r="Q316" s="13">
        <f t="shared" ref="Q316:Q317" si="162">M316*O316</f>
        <v>55.745584893472184</v>
      </c>
      <c r="R316" s="14">
        <f t="shared" ref="R316:R317" si="163">(M316^2)*P316+(O316^2)*N316-(P316*N316)</f>
        <v>431.6263514629224</v>
      </c>
      <c r="S316">
        <f t="shared" ref="S316:S317" si="164">SQRT(R316)</f>
        <v>20.775619159556289</v>
      </c>
      <c r="T316" s="6">
        <f t="shared" ref="T316:T317" si="165">(1.96*S316)</f>
        <v>40.720213552730328</v>
      </c>
      <c r="V316" s="13">
        <f t="shared" ref="V316:V317" si="166">Q316+H316</f>
        <v>226.48087901111916</v>
      </c>
      <c r="W316">
        <f t="shared" ref="W316:W317" si="167">R316+I316</f>
        <v>431.69393516583187</v>
      </c>
      <c r="X316">
        <f t="shared" ref="X316:X317" si="168">SQRT(W316)</f>
        <v>20.77724561066341</v>
      </c>
      <c r="Y316" s="6">
        <f t="shared" ref="Y316:Y317" si="169">(1.96*X316)</f>
        <v>40.723401396900286</v>
      </c>
      <c r="Z316" s="14">
        <f t="shared" ref="Z316:Z317" si="170">X316/V316</f>
        <v>9.1739513293055283E-2</v>
      </c>
    </row>
    <row r="317" spans="1:26" hidden="1" x14ac:dyDescent="0.25">
      <c r="A317" t="str">
        <f>'rockfish harvests'!A325</f>
        <v>SE</v>
      </c>
      <c r="B317">
        <f>'rockfish harvests'!B325</f>
        <v>2021</v>
      </c>
      <c r="C317" t="str">
        <f>'rockfish harvests'!C325</f>
        <v>NSEO</v>
      </c>
      <c r="D317">
        <f>'rockfish harvests'!D325</f>
        <v>9732</v>
      </c>
      <c r="E317">
        <f>'YE harvest'!E326</f>
        <v>638</v>
      </c>
      <c r="F317" s="26" t="str">
        <f t="shared" ref="F317:G318" si="171">F242</f>
        <v>0.984375</v>
      </c>
      <c r="G317" s="26" t="str">
        <f t="shared" si="171"/>
        <v>1.67456280620577e-06</v>
      </c>
      <c r="H317" s="13">
        <f t="shared" si="158"/>
        <v>628.03125</v>
      </c>
      <c r="I317">
        <f t="shared" si="159"/>
        <v>0.68162074288922136</v>
      </c>
      <c r="K317" s="6"/>
      <c r="M317" s="2">
        <f>'rockfish harvests'!O325</f>
        <v>6262.8946783553529</v>
      </c>
      <c r="N317">
        <f>'rockfish harvests'!P325</f>
        <v>3588518.0359388059</v>
      </c>
      <c r="O317" s="26" t="str">
        <f>O242</f>
        <v>0.0319148936170213</v>
      </c>
      <c r="P317" s="26" t="str">
        <f>P242</f>
        <v>6.58770430329115e-05</v>
      </c>
      <c r="Q317" s="13">
        <f t="shared" si="162"/>
        <v>199.87961739431992</v>
      </c>
      <c r="R317" s="14">
        <f t="shared" si="163"/>
        <v>6002.6727711671219</v>
      </c>
      <c r="S317">
        <f t="shared" si="164"/>
        <v>77.476917666922716</v>
      </c>
      <c r="T317" s="6">
        <f t="shared" si="165"/>
        <v>151.85475862716851</v>
      </c>
      <c r="V317" s="13">
        <f t="shared" si="166"/>
        <v>827.91086739431989</v>
      </c>
      <c r="W317">
        <f t="shared" si="167"/>
        <v>6003.3543919100111</v>
      </c>
      <c r="X317">
        <f t="shared" si="168"/>
        <v>77.481316405376148</v>
      </c>
      <c r="Y317" s="6">
        <f t="shared" si="169"/>
        <v>151.86338015453725</v>
      </c>
      <c r="Z317" s="14">
        <f t="shared" si="170"/>
        <v>9.3586543499824731E-2</v>
      </c>
    </row>
    <row r="318" spans="1:26" hidden="1" x14ac:dyDescent="0.25">
      <c r="A318" t="str">
        <f>'rockfish harvests'!A326</f>
        <v>SE</v>
      </c>
      <c r="B318">
        <f>'rockfish harvests'!B326</f>
        <v>2022</v>
      </c>
      <c r="C318" t="str">
        <f>'rockfish harvests'!C326</f>
        <v>NSEO</v>
      </c>
      <c r="D318">
        <f>'rockfish harvests'!D326</f>
        <v>10558</v>
      </c>
      <c r="E318">
        <f>'YE harvest'!E327</f>
        <v>884</v>
      </c>
      <c r="F318" t="s">
        <v>272</v>
      </c>
      <c r="G318" t="s">
        <v>273</v>
      </c>
      <c r="H318" s="13">
        <f t="shared" ref="H318" si="172">E318*F318</f>
        <v>884</v>
      </c>
      <c r="I318">
        <f t="shared" ref="I318" si="173">(E318^2)*G318</f>
        <v>0</v>
      </c>
      <c r="K318" s="6"/>
      <c r="M318" s="2">
        <f>'rockfish harvests'!O326</f>
        <v>4984.0158085410021</v>
      </c>
      <c r="N318">
        <f>'rockfish harvests'!P326</f>
        <v>3116937.6581412847</v>
      </c>
      <c r="O318" t="s">
        <v>220</v>
      </c>
      <c r="P318" t="s">
        <v>253</v>
      </c>
      <c r="Q318" s="13">
        <f t="shared" ref="Q318" si="174">M318*O318</f>
        <v>130.01780370106948</v>
      </c>
      <c r="R318" s="14">
        <f t="shared" ref="R318" si="175">(M318^2)*P318+(O318^2)*N318-(P318*N318)</f>
        <v>3323.5985808640394</v>
      </c>
      <c r="S318">
        <f t="shared" ref="S318" si="176">SQRT(R318)</f>
        <v>57.65065984760313</v>
      </c>
      <c r="T318" s="6"/>
      <c r="V318" s="13">
        <f t="shared" ref="V318" si="177">Q318+H318</f>
        <v>1014.0178037010695</v>
      </c>
      <c r="W318">
        <f t="shared" ref="W318" si="178">R318+I318</f>
        <v>3323.5985808640394</v>
      </c>
      <c r="X318">
        <f t="shared" ref="X318" si="179">SQRT(W318)</f>
        <v>57.65065984760313</v>
      </c>
      <c r="Y318" s="6">
        <f t="shared" ref="Y318" si="180">(1.96*X318)</f>
        <v>112.99529330130213</v>
      </c>
      <c r="Z318" s="14">
        <f t="shared" ref="Z318" si="181">X318/V318</f>
        <v>5.6853695898813263E-2</v>
      </c>
    </row>
    <row r="319" spans="1:26" hidden="1" x14ac:dyDescent="0.25">
      <c r="A319" t="str">
        <f>'rockfish harvests'!A327</f>
        <v>SE</v>
      </c>
      <c r="B319">
        <f>'rockfish harvests'!B327</f>
        <v>1998</v>
      </c>
      <c r="C319" t="str">
        <f>'rockfish harvests'!C327</f>
        <v>SSEI</v>
      </c>
      <c r="D319">
        <f>'rockfish harvests'!D327</f>
        <v>6261</v>
      </c>
      <c r="E319">
        <f>'YE harvest'!E328</f>
        <v>3492</v>
      </c>
      <c r="F319" s="32">
        <v>0.17226786899999999</v>
      </c>
      <c r="G319" s="32">
        <v>1.0741590000000001E-3</v>
      </c>
      <c r="H319" s="13">
        <f t="shared" si="149"/>
        <v>601.55939854799999</v>
      </c>
      <c r="I319">
        <f t="shared" si="150"/>
        <v>13098.363592176001</v>
      </c>
      <c r="J319">
        <f t="shared" si="152"/>
        <v>114.44808251856385</v>
      </c>
      <c r="K319" s="6">
        <f t="shared" si="153"/>
        <v>224.31824173638515</v>
      </c>
      <c r="M319" s="2">
        <f>'rockfish harvests'!O327</f>
        <v>7422.4767633387146</v>
      </c>
      <c r="N319">
        <f>'rockfish harvests'!P327</f>
        <v>2528282.455604976</v>
      </c>
      <c r="O319" s="32">
        <v>0.112032852</v>
      </c>
      <c r="P319" s="32">
        <v>1.0560649999999999E-3</v>
      </c>
      <c r="Q319" s="13">
        <f t="shared" si="124"/>
        <v>831.56124070056524</v>
      </c>
      <c r="R319" s="14">
        <f t="shared" si="125"/>
        <v>87245.311877297703</v>
      </c>
      <c r="S319">
        <f t="shared" si="154"/>
        <v>295.37317392968799</v>
      </c>
      <c r="T319" s="6">
        <f t="shared" si="155"/>
        <v>578.93142090218851</v>
      </c>
      <c r="V319" s="13">
        <f t="shared" si="151"/>
        <v>1433.1206392485651</v>
      </c>
      <c r="W319">
        <f t="shared" si="151"/>
        <v>100343.6754694737</v>
      </c>
      <c r="X319">
        <f t="shared" si="156"/>
        <v>316.7706985651825</v>
      </c>
      <c r="Y319" s="6">
        <f t="shared" si="157"/>
        <v>620.87056918775772</v>
      </c>
      <c r="Z319" s="14">
        <f t="shared" si="126"/>
        <v>0.22103561269711136</v>
      </c>
    </row>
    <row r="320" spans="1:26" hidden="1" x14ac:dyDescent="0.25">
      <c r="A320" t="str">
        <f>'rockfish harvests'!A328</f>
        <v>SE</v>
      </c>
      <c r="B320">
        <f>'rockfish harvests'!B328</f>
        <v>1999</v>
      </c>
      <c r="C320" t="str">
        <f>'rockfish harvests'!C328</f>
        <v>SSEI</v>
      </c>
      <c r="D320">
        <f>'rockfish harvests'!D328</f>
        <v>7370</v>
      </c>
      <c r="E320">
        <f>'YE harvest'!E329</f>
        <v>3538</v>
      </c>
      <c r="F320" s="32">
        <v>0.17226786899999999</v>
      </c>
      <c r="G320" s="32">
        <v>1.0741590000000001E-3</v>
      </c>
      <c r="H320" s="13">
        <f t="shared" si="149"/>
        <v>609.483720522</v>
      </c>
      <c r="I320">
        <f t="shared" si="150"/>
        <v>13445.725129596001</v>
      </c>
      <c r="J320">
        <f t="shared" si="152"/>
        <v>115.95570330775456</v>
      </c>
      <c r="K320" s="6">
        <f t="shared" si="153"/>
        <v>227.27317848319893</v>
      </c>
      <c r="M320" s="2">
        <f>'rockfish harvests'!O328</f>
        <v>8737.2071148069517</v>
      </c>
      <c r="N320">
        <f>'rockfish harvests'!P328</f>
        <v>3503266.3626943887</v>
      </c>
      <c r="O320" s="32">
        <v>0.112032852</v>
      </c>
      <c r="P320" s="32">
        <v>1.0560649999999999E-3</v>
      </c>
      <c r="Q320" s="13">
        <f t="shared" si="124"/>
        <v>978.85423158651429</v>
      </c>
      <c r="R320" s="14">
        <f t="shared" si="125"/>
        <v>120889.80237351797</v>
      </c>
      <c r="S320">
        <f t="shared" si="154"/>
        <v>347.69210858677536</v>
      </c>
      <c r="T320" s="6">
        <f t="shared" si="155"/>
        <v>681.47653283007969</v>
      </c>
      <c r="V320" s="13">
        <f t="shared" si="151"/>
        <v>1588.3379521085144</v>
      </c>
      <c r="W320">
        <f t="shared" si="151"/>
        <v>134335.52750311396</v>
      </c>
      <c r="X320">
        <f t="shared" si="156"/>
        <v>366.51811347205472</v>
      </c>
      <c r="Y320" s="6">
        <f t="shared" si="157"/>
        <v>718.37550240522728</v>
      </c>
      <c r="Z320" s="14">
        <f t="shared" si="126"/>
        <v>0.23075574879105729</v>
      </c>
    </row>
    <row r="321" spans="1:26" hidden="1" x14ac:dyDescent="0.25">
      <c r="A321" t="str">
        <f>'rockfish harvests'!A329</f>
        <v>SE</v>
      </c>
      <c r="B321">
        <f>'rockfish harvests'!B329</f>
        <v>2000</v>
      </c>
      <c r="C321" t="str">
        <f>'rockfish harvests'!C329</f>
        <v>SSEI</v>
      </c>
      <c r="D321">
        <f>'rockfish harvests'!D329</f>
        <v>11989</v>
      </c>
      <c r="E321">
        <f>'YE harvest'!E330</f>
        <v>6877</v>
      </c>
      <c r="F321" s="32">
        <v>0.17226786899999999</v>
      </c>
      <c r="G321" s="32">
        <v>1.0741590000000001E-3</v>
      </c>
      <c r="H321" s="13">
        <f t="shared" si="149"/>
        <v>1184.6861351129999</v>
      </c>
      <c r="I321">
        <f t="shared" si="150"/>
        <v>50800.340153511002</v>
      </c>
      <c r="J321">
        <f t="shared" si="152"/>
        <v>225.3893079840102</v>
      </c>
      <c r="K321" s="6">
        <f t="shared" si="153"/>
        <v>441.76304364865996</v>
      </c>
      <c r="M321" s="2">
        <f>'rockfish harvests'!O329</f>
        <v>14213.076811318933</v>
      </c>
      <c r="N321">
        <f>'rockfish harvests'!P329</f>
        <v>9270520.1843895838</v>
      </c>
      <c r="O321" s="32">
        <v>0.112032852</v>
      </c>
      <c r="P321" s="32">
        <v>1.0560649999999999E-3</v>
      </c>
      <c r="Q321" s="13">
        <f t="shared" si="124"/>
        <v>1592.331530867126</v>
      </c>
      <c r="R321" s="14">
        <f t="shared" si="125"/>
        <v>319904.69378086866</v>
      </c>
      <c r="S321">
        <f t="shared" si="154"/>
        <v>565.60117908369739</v>
      </c>
      <c r="T321" s="6">
        <f t="shared" si="155"/>
        <v>1108.5783110040468</v>
      </c>
      <c r="V321" s="13">
        <f t="shared" si="151"/>
        <v>2777.0176659801259</v>
      </c>
      <c r="W321">
        <f t="shared" si="151"/>
        <v>370705.03393437969</v>
      </c>
      <c r="X321">
        <f t="shared" si="156"/>
        <v>608.85551154143275</v>
      </c>
      <c r="Y321" s="6">
        <f t="shared" si="157"/>
        <v>1193.3568026212081</v>
      </c>
      <c r="Z321" s="14">
        <f t="shared" si="126"/>
        <v>0.21924797922613939</v>
      </c>
    </row>
    <row r="322" spans="1:26" hidden="1" x14ac:dyDescent="0.25">
      <c r="A322" t="str">
        <f>'rockfish harvests'!A330</f>
        <v>SE</v>
      </c>
      <c r="B322">
        <f>'rockfish harvests'!B330</f>
        <v>2001</v>
      </c>
      <c r="C322" t="str">
        <f>'rockfish harvests'!C330</f>
        <v>SSEI</v>
      </c>
      <c r="D322">
        <f>'rockfish harvests'!D330</f>
        <v>9348</v>
      </c>
      <c r="E322">
        <f>'YE harvest'!E331</f>
        <v>4834</v>
      </c>
      <c r="F322" s="32">
        <v>0.17226786899999999</v>
      </c>
      <c r="G322" s="32">
        <v>1.0741590000000001E-3</v>
      </c>
      <c r="H322" s="13">
        <f t="shared" si="149"/>
        <v>832.74287874599997</v>
      </c>
      <c r="I322">
        <f t="shared" si="150"/>
        <v>25100.470585404004</v>
      </c>
      <c r="J322">
        <f t="shared" si="152"/>
        <v>158.43128032495352</v>
      </c>
      <c r="K322" s="6">
        <f t="shared" si="153"/>
        <v>310.52530943690891</v>
      </c>
      <c r="M322" s="2">
        <f>'rockfish harvests'!O330</f>
        <v>11082.145469364368</v>
      </c>
      <c r="N322">
        <f>'rockfish harvests'!P330</f>
        <v>5636059.7796220118</v>
      </c>
      <c r="O322" s="32">
        <v>0.112032852</v>
      </c>
      <c r="P322" s="32">
        <v>1.0560649999999999E-3</v>
      </c>
      <c r="Q322" s="13">
        <f t="shared" si="124"/>
        <v>1241.5643632117688</v>
      </c>
      <c r="R322" s="14">
        <f t="shared" si="125"/>
        <v>194487.6816046077</v>
      </c>
      <c r="S322">
        <f t="shared" si="154"/>
        <v>441.00757545036311</v>
      </c>
      <c r="T322" s="6">
        <f t="shared" si="155"/>
        <v>864.37484788271172</v>
      </c>
      <c r="V322" s="13">
        <f t="shared" si="151"/>
        <v>2074.3072419577688</v>
      </c>
      <c r="W322">
        <f t="shared" si="151"/>
        <v>219588.15219001169</v>
      </c>
      <c r="X322">
        <f t="shared" si="156"/>
        <v>468.60233907868161</v>
      </c>
      <c r="Y322" s="6">
        <f t="shared" si="157"/>
        <v>918.4605845942159</v>
      </c>
      <c r="Z322" s="14">
        <f t="shared" si="126"/>
        <v>0.2259078740121479</v>
      </c>
    </row>
    <row r="323" spans="1:26" hidden="1" x14ac:dyDescent="0.25">
      <c r="A323" t="str">
        <f>'rockfish harvests'!A331</f>
        <v>SE</v>
      </c>
      <c r="B323">
        <f>'rockfish harvests'!B331</f>
        <v>2002</v>
      </c>
      <c r="C323" t="str">
        <f>'rockfish harvests'!C331</f>
        <v>SSEI</v>
      </c>
      <c r="D323">
        <f>'rockfish harvests'!D331</f>
        <v>8033</v>
      </c>
      <c r="E323">
        <f>'YE harvest'!E332</f>
        <v>4064</v>
      </c>
      <c r="F323" s="32">
        <v>0.17226786899999999</v>
      </c>
      <c r="G323" s="32">
        <v>1.0741590000000001E-3</v>
      </c>
      <c r="H323" s="13">
        <f t="shared" si="149"/>
        <v>700.096619616</v>
      </c>
      <c r="I323">
        <f t="shared" si="150"/>
        <v>17740.913163264002</v>
      </c>
      <c r="J323">
        <f t="shared" si="152"/>
        <v>133.19501928850042</v>
      </c>
      <c r="K323" s="6">
        <f t="shared" si="153"/>
        <v>261.06223780546082</v>
      </c>
      <c r="M323" s="2">
        <f>'rockfish harvests'!O331</f>
        <v>9523.200102204104</v>
      </c>
      <c r="N323">
        <f>'rockfish harvests'!P331</f>
        <v>4161919.8980246014</v>
      </c>
      <c r="O323" s="32">
        <v>0.112032852</v>
      </c>
      <c r="P323" s="32">
        <v>1.0560649999999999E-3</v>
      </c>
      <c r="Q323" s="13">
        <f t="shared" si="124"/>
        <v>1066.9112676166174</v>
      </c>
      <c r="R323" s="14">
        <f t="shared" si="125"/>
        <v>143618.44686558237</v>
      </c>
      <c r="S323">
        <f t="shared" si="154"/>
        <v>378.97024535652184</v>
      </c>
      <c r="T323" s="6">
        <f t="shared" si="155"/>
        <v>742.78168089878284</v>
      </c>
      <c r="V323" s="13">
        <f t="shared" si="151"/>
        <v>1767.0078872326173</v>
      </c>
      <c r="W323">
        <f t="shared" si="151"/>
        <v>161359.36002884636</v>
      </c>
      <c r="X323">
        <f t="shared" si="156"/>
        <v>401.69560618563702</v>
      </c>
      <c r="Y323" s="6">
        <f t="shared" si="157"/>
        <v>787.32338812384853</v>
      </c>
      <c r="Z323" s="14">
        <f t="shared" si="126"/>
        <v>0.22733096387857599</v>
      </c>
    </row>
    <row r="324" spans="1:26" hidden="1" x14ac:dyDescent="0.25">
      <c r="A324" t="str">
        <f>'rockfish harvests'!A332</f>
        <v>SE</v>
      </c>
      <c r="B324">
        <f>'rockfish harvests'!B332</f>
        <v>2003</v>
      </c>
      <c r="C324" t="str">
        <f>'rockfish harvests'!C332</f>
        <v>SSEI</v>
      </c>
      <c r="D324">
        <f>'rockfish harvests'!D332</f>
        <v>11263</v>
      </c>
      <c r="E324">
        <f>'YE harvest'!E333</f>
        <v>5615</v>
      </c>
      <c r="F324" s="32">
        <v>0.17226786899999999</v>
      </c>
      <c r="G324" s="32">
        <v>1.0741590000000001E-3</v>
      </c>
      <c r="H324" s="13">
        <f t="shared" si="149"/>
        <v>967.28408443499995</v>
      </c>
      <c r="I324">
        <f t="shared" si="150"/>
        <v>33866.326637775004</v>
      </c>
      <c r="J324">
        <f t="shared" si="152"/>
        <v>184.02805937621306</v>
      </c>
      <c r="K324" s="6">
        <f t="shared" si="153"/>
        <v>360.69499637737761</v>
      </c>
      <c r="M324" s="2">
        <f>'rockfish harvests'!O332</f>
        <v>13352.396707472279</v>
      </c>
      <c r="N324">
        <f>'rockfish harvests'!P332</f>
        <v>8181752.760036231</v>
      </c>
      <c r="O324" s="32">
        <v>0.112032852</v>
      </c>
      <c r="P324" s="32">
        <v>1.0560649999999999E-3</v>
      </c>
      <c r="Q324" s="13">
        <f t="shared" si="124"/>
        <v>1495.907084173529</v>
      </c>
      <c r="R324" s="14">
        <f t="shared" si="125"/>
        <v>282333.79133325396</v>
      </c>
      <c r="S324">
        <f t="shared" si="154"/>
        <v>531.35091167067174</v>
      </c>
      <c r="T324" s="6">
        <f t="shared" si="155"/>
        <v>1041.4477868745166</v>
      </c>
      <c r="V324" s="13">
        <f t="shared" si="151"/>
        <v>2463.1911686085291</v>
      </c>
      <c r="W324">
        <f t="shared" si="151"/>
        <v>316200.11797102896</v>
      </c>
      <c r="X324">
        <f t="shared" si="156"/>
        <v>562.31674167770336</v>
      </c>
      <c r="Y324" s="6">
        <f t="shared" si="157"/>
        <v>1102.1408136882985</v>
      </c>
      <c r="Z324" s="14">
        <f t="shared" si="126"/>
        <v>0.22828790101393523</v>
      </c>
    </row>
    <row r="325" spans="1:26" hidden="1" x14ac:dyDescent="0.25">
      <c r="A325" t="str">
        <f>'rockfish harvests'!A333</f>
        <v>SE</v>
      </c>
      <c r="B325">
        <f>'rockfish harvests'!B333</f>
        <v>2004</v>
      </c>
      <c r="C325" t="str">
        <f>'rockfish harvests'!C333</f>
        <v>SSEI</v>
      </c>
      <c r="D325">
        <f>'rockfish harvests'!D333</f>
        <v>13195</v>
      </c>
      <c r="E325">
        <f>'YE harvest'!E334</f>
        <v>7929</v>
      </c>
      <c r="F325" s="32">
        <v>0.17226786899999999</v>
      </c>
      <c r="G325" s="32">
        <v>1.0741590000000001E-3</v>
      </c>
      <c r="H325" s="13">
        <f t="shared" si="149"/>
        <v>1365.9119333009999</v>
      </c>
      <c r="I325">
        <f t="shared" si="150"/>
        <v>67531.346211519005</v>
      </c>
      <c r="J325">
        <f t="shared" si="152"/>
        <v>259.86793994550192</v>
      </c>
      <c r="K325" s="6">
        <f t="shared" si="153"/>
        <v>509.34116229318374</v>
      </c>
      <c r="M325" s="2">
        <f>'rockfish harvests'!O333</f>
        <v>15642.801611923707</v>
      </c>
      <c r="N325">
        <f>'rockfish harvests'!P333</f>
        <v>11229410.873184105</v>
      </c>
      <c r="O325" s="32">
        <v>0.112032852</v>
      </c>
      <c r="P325" s="32">
        <v>1.0560649999999999E-3</v>
      </c>
      <c r="Q325" s="13">
        <f t="shared" si="124"/>
        <v>1752.5076778540101</v>
      </c>
      <c r="R325" s="14">
        <f t="shared" si="125"/>
        <v>387501.58300443366</v>
      </c>
      <c r="S325">
        <f t="shared" si="154"/>
        <v>622.49625139789691</v>
      </c>
      <c r="T325" s="6">
        <f t="shared" si="155"/>
        <v>1220.0926527398778</v>
      </c>
      <c r="V325" s="13">
        <f t="shared" si="151"/>
        <v>3118.41961115501</v>
      </c>
      <c r="W325">
        <f t="shared" si="151"/>
        <v>455032.92921595264</v>
      </c>
      <c r="X325">
        <f t="shared" si="156"/>
        <v>674.56128647881405</v>
      </c>
      <c r="Y325" s="6">
        <f t="shared" si="157"/>
        <v>1322.1401214984755</v>
      </c>
      <c r="Z325" s="14">
        <f t="shared" si="126"/>
        <v>0.21631511168856712</v>
      </c>
    </row>
    <row r="326" spans="1:26" hidden="1" x14ac:dyDescent="0.25">
      <c r="A326" t="str">
        <f>'rockfish harvests'!A334</f>
        <v>SE</v>
      </c>
      <c r="B326">
        <f>'rockfish harvests'!B334</f>
        <v>2005</v>
      </c>
      <c r="C326" t="str">
        <f>'rockfish harvests'!C334</f>
        <v>SSEI</v>
      </c>
      <c r="D326">
        <f>'rockfish harvests'!D334</f>
        <v>15329</v>
      </c>
      <c r="E326">
        <f>'YE harvest'!E335</f>
        <v>9584</v>
      </c>
      <c r="F326" s="32">
        <v>0.17226786899999999</v>
      </c>
      <c r="G326" s="32">
        <v>1.0741590000000001E-3</v>
      </c>
      <c r="H326" s="13">
        <f t="shared" si="149"/>
        <v>1651.0152564959999</v>
      </c>
      <c r="I326">
        <f t="shared" si="150"/>
        <v>98664.78677990401</v>
      </c>
      <c r="J326">
        <f t="shared" si="152"/>
        <v>314.10951399138486</v>
      </c>
      <c r="K326" s="6">
        <f t="shared" si="153"/>
        <v>615.65464742311428</v>
      </c>
      <c r="M326" s="2">
        <f>'rockfish harvests'!O334</f>
        <v>18172.679492927513</v>
      </c>
      <c r="N326">
        <f>'rockfish harvests'!P334</f>
        <v>15155345.162562583</v>
      </c>
      <c r="O326" s="32">
        <v>0.112032852</v>
      </c>
      <c r="P326" s="32">
        <v>1.0560649999999999E-3</v>
      </c>
      <c r="Q326" s="13">
        <f t="shared" si="124"/>
        <v>2035.9371120745832</v>
      </c>
      <c r="R326" s="14">
        <f t="shared" si="125"/>
        <v>522976.7000062021</v>
      </c>
      <c r="S326">
        <f t="shared" si="154"/>
        <v>723.17127985436628</v>
      </c>
      <c r="T326" s="6">
        <f t="shared" si="155"/>
        <v>1417.4157085145578</v>
      </c>
      <c r="V326" s="13">
        <f t="shared" si="151"/>
        <v>3686.9523685705831</v>
      </c>
      <c r="W326">
        <f t="shared" si="151"/>
        <v>621641.48678610614</v>
      </c>
      <c r="X326">
        <f t="shared" si="156"/>
        <v>788.44244354683633</v>
      </c>
      <c r="Y326" s="6">
        <f t="shared" si="157"/>
        <v>1545.3471893517992</v>
      </c>
      <c r="Z326" s="14">
        <f t="shared" si="126"/>
        <v>0.21384665835878763</v>
      </c>
    </row>
    <row r="327" spans="1:26" hidden="1" x14ac:dyDescent="0.25">
      <c r="A327" t="str">
        <f>'rockfish harvests'!A335</f>
        <v>SE</v>
      </c>
      <c r="B327">
        <f>'rockfish harvests'!B335</f>
        <v>2006</v>
      </c>
      <c r="C327" t="str">
        <f>'rockfish harvests'!C335</f>
        <v>SSEI</v>
      </c>
      <c r="D327">
        <f>'rockfish harvests'!D335</f>
        <v>17714</v>
      </c>
      <c r="E327">
        <f>'YE harvest'!E336</f>
        <v>11388</v>
      </c>
      <c r="F327">
        <f>IF([2]species_comp_Region1_forR!$H230&gt;49,[2]species_comp_Region1_forR!$AV230,[2]species_comp_Region1_forR!$AX230)</f>
        <v>0.19329073499999999</v>
      </c>
      <c r="G327">
        <f>IF([2]species_comp_Region1_forR!$H230&gt;49,[2]species_comp_Region1_forR!$AW230,[2]species_comp_Region1_forR!$AY230)</f>
        <v>2.4948700000000001E-4</v>
      </c>
      <c r="H327" s="13">
        <f t="shared" si="149"/>
        <v>2201.1948901799997</v>
      </c>
      <c r="I327">
        <f t="shared" si="150"/>
        <v>32355.106802928</v>
      </c>
      <c r="J327">
        <f t="shared" si="152"/>
        <v>179.87525344784925</v>
      </c>
      <c r="K327" s="6">
        <f t="shared" si="153"/>
        <v>352.55549675778451</v>
      </c>
      <c r="M327" s="2">
        <f>'rockfish harvests'!O335</f>
        <v>21000.120329944417</v>
      </c>
      <c r="N327">
        <f>'rockfish harvests'!P335</f>
        <v>20238180.459821593</v>
      </c>
      <c r="O327">
        <f>IF([2]species_comp_Region1_forR!$D252&gt;49,[2]species_comp_Region1_forR!$AR252,[2]species_comp_Region1_forR!$AT252)</f>
        <v>0.10892710899999999</v>
      </c>
      <c r="P327">
        <f>IF([2]species_comp_Region1_forR!$D252&gt;49,[2]species_comp_Region1_forR!$AS252,[2]species_comp_Region1_forR!$AU252)</f>
        <v>7.9559000000000002E-5</v>
      </c>
      <c r="Q327" s="13">
        <f t="shared" si="124"/>
        <v>2287.4823961929715</v>
      </c>
      <c r="R327" s="14">
        <f t="shared" si="125"/>
        <v>273604.13174819155</v>
      </c>
      <c r="S327">
        <f t="shared" si="154"/>
        <v>523.07182274348474</v>
      </c>
      <c r="T327" s="6">
        <f t="shared" si="155"/>
        <v>1025.22077257723</v>
      </c>
      <c r="V327" s="13">
        <f t="shared" si="151"/>
        <v>4488.6772863729711</v>
      </c>
      <c r="W327">
        <f t="shared" si="151"/>
        <v>305959.23855111958</v>
      </c>
      <c r="X327">
        <f t="shared" si="156"/>
        <v>553.13582287817837</v>
      </c>
      <c r="Y327" s="6">
        <f t="shared" si="157"/>
        <v>1084.1462128412295</v>
      </c>
      <c r="Z327" s="14">
        <f t="shared" si="126"/>
        <v>0.12322913579851806</v>
      </c>
    </row>
    <row r="328" spans="1:26" hidden="1" x14ac:dyDescent="0.25">
      <c r="A328" t="str">
        <f>'rockfish harvests'!A336</f>
        <v>SE</v>
      </c>
      <c r="B328">
        <f>'rockfish harvests'!B336</f>
        <v>2007</v>
      </c>
      <c r="C328" t="str">
        <f>'rockfish harvests'!C336</f>
        <v>SSEI</v>
      </c>
      <c r="D328">
        <f>'rockfish harvests'!D336</f>
        <v>20368</v>
      </c>
      <c r="E328">
        <f>'YE harvest'!E337</f>
        <v>12015</v>
      </c>
      <c r="F328">
        <f>IF([2]species_comp_Region1_forR!$H231&gt;49,[2]species_comp_Region1_forR!$AV231,[2]species_comp_Region1_forR!$AX231)</f>
        <v>0.211936663</v>
      </c>
      <c r="G328">
        <f>IF([2]species_comp_Region1_forR!$H231&gt;49,[2]species_comp_Region1_forR!$AW231,[2]species_comp_Region1_forR!$AY231)</f>
        <v>2.0368200000000001E-4</v>
      </c>
      <c r="H328" s="13">
        <f t="shared" si="149"/>
        <v>2546.4190059449998</v>
      </c>
      <c r="I328">
        <f t="shared" si="150"/>
        <v>29403.579348449999</v>
      </c>
      <c r="J328">
        <f t="shared" si="152"/>
        <v>171.47471926919724</v>
      </c>
      <c r="K328" s="6">
        <f t="shared" si="153"/>
        <v>336.09044976762658</v>
      </c>
      <c r="M328" s="2">
        <f>'rockfish harvests'!O336</f>
        <v>24146.463299102848</v>
      </c>
      <c r="N328">
        <f>'rockfish harvests'!P336</f>
        <v>26756848.278906163</v>
      </c>
      <c r="O328">
        <f>IF([2]species_comp_Region1_forR!$D253&gt;49,[2]species_comp_Region1_forR!$AR253,[2]species_comp_Region1_forR!$AT253)</f>
        <v>0.12130735400000001</v>
      </c>
      <c r="P328">
        <f>IF([2]species_comp_Region1_forR!$D253&gt;49,[2]species_comp_Region1_forR!$AS253,[2]species_comp_Region1_forR!$AU253)</f>
        <v>6.7038899999999999E-5</v>
      </c>
      <c r="Q328" s="13">
        <f t="shared" si="124"/>
        <v>2929.1435712722773</v>
      </c>
      <c r="R328" s="14">
        <f t="shared" si="125"/>
        <v>431033.10302341485</v>
      </c>
      <c r="S328">
        <f t="shared" si="154"/>
        <v>656.53111352274448</v>
      </c>
      <c r="T328" s="6">
        <f t="shared" si="155"/>
        <v>1286.8009825045792</v>
      </c>
      <c r="V328" s="13">
        <f t="shared" si="151"/>
        <v>5475.5625772172771</v>
      </c>
      <c r="W328">
        <f t="shared" si="151"/>
        <v>460436.68237186485</v>
      </c>
      <c r="X328">
        <f t="shared" si="156"/>
        <v>678.55484846242518</v>
      </c>
      <c r="Y328" s="6">
        <f t="shared" si="157"/>
        <v>1329.9675029863533</v>
      </c>
      <c r="Z328" s="14">
        <f t="shared" si="126"/>
        <v>0.12392422493457686</v>
      </c>
    </row>
    <row r="329" spans="1:26" hidden="1" x14ac:dyDescent="0.25">
      <c r="A329" t="str">
        <f>'rockfish harvests'!A337</f>
        <v>SE</v>
      </c>
      <c r="B329">
        <f>'rockfish harvests'!B337</f>
        <v>2008</v>
      </c>
      <c r="C329" t="str">
        <f>'rockfish harvests'!C337</f>
        <v>SSEI</v>
      </c>
      <c r="D329">
        <f>'rockfish harvests'!D337</f>
        <v>18756</v>
      </c>
      <c r="E329">
        <f>'YE harvest'!E338</f>
        <v>10550</v>
      </c>
      <c r="F329">
        <f>IF([2]species_comp_Region1_forR!$H232&gt;49,[2]species_comp_Region1_forR!$AV232,[2]species_comp_Region1_forR!$AX232)</f>
        <v>0.121527778</v>
      </c>
      <c r="G329">
        <f>IF([2]species_comp_Region1_forR!$H232&gt;49,[2]species_comp_Region1_forR!$AW232,[2]species_comp_Region1_forR!$AY232)</f>
        <v>1.8566700000000001E-4</v>
      </c>
      <c r="H329" s="13">
        <f t="shared" si="149"/>
        <v>1282.1180578999999</v>
      </c>
      <c r="I329">
        <f t="shared" si="150"/>
        <v>20665.201267500001</v>
      </c>
      <c r="J329">
        <f t="shared" si="152"/>
        <v>143.75396087586597</v>
      </c>
      <c r="K329" s="6">
        <f t="shared" si="153"/>
        <v>281.75776331669732</v>
      </c>
      <c r="M329" s="2">
        <f>'rockfish harvests'!O337</f>
        <v>22235.421525823498</v>
      </c>
      <c r="N329">
        <f>'rockfish harvests'!P337</f>
        <v>22689171.172948774</v>
      </c>
      <c r="O329">
        <f>IF([2]species_comp_Region1_forR!$D254&gt;49,[2]species_comp_Region1_forR!$AR254,[2]species_comp_Region1_forR!$AT254)</f>
        <v>9.1438070999999996E-2</v>
      </c>
      <c r="P329">
        <f>IF([2]species_comp_Region1_forR!$D254&gt;49,[2]species_comp_Region1_forR!$AS254,[2]species_comp_Region1_forR!$AU254)</f>
        <v>6.9115800000000007E-5</v>
      </c>
      <c r="Q329" s="13">
        <f t="shared" si="124"/>
        <v>2033.1640521931772</v>
      </c>
      <c r="R329" s="14">
        <f t="shared" si="125"/>
        <v>222306.00071508944</v>
      </c>
      <c r="S329">
        <f t="shared" si="154"/>
        <v>471.49337292807144</v>
      </c>
      <c r="T329" s="6">
        <f t="shared" si="155"/>
        <v>924.12701093902001</v>
      </c>
      <c r="V329" s="13">
        <f t="shared" si="151"/>
        <v>3315.2821100931769</v>
      </c>
      <c r="W329">
        <f t="shared" si="151"/>
        <v>242971.20198258944</v>
      </c>
      <c r="X329">
        <f t="shared" si="156"/>
        <v>492.92109103038939</v>
      </c>
      <c r="Y329" s="6">
        <f t="shared" si="157"/>
        <v>966.12533841956315</v>
      </c>
      <c r="Z329" s="14">
        <f t="shared" si="126"/>
        <v>0.14868149215106635</v>
      </c>
    </row>
    <row r="330" spans="1:26" hidden="1" x14ac:dyDescent="0.25">
      <c r="A330" t="str">
        <f>'rockfish harvests'!A338</f>
        <v>SE</v>
      </c>
      <c r="B330">
        <f>'rockfish harvests'!B338</f>
        <v>2009</v>
      </c>
      <c r="C330" t="str">
        <f>'rockfish harvests'!C338</f>
        <v>SSEI</v>
      </c>
      <c r="D330">
        <f>'rockfish harvests'!D338</f>
        <v>14837</v>
      </c>
      <c r="E330">
        <f>'YE harvest'!E339</f>
        <v>8319</v>
      </c>
      <c r="F330">
        <f>IF([2]species_comp_Region1_forR!$H233&gt;49,[2]species_comp_Region1_forR!$AV233,[2]species_comp_Region1_forR!$AX233)</f>
        <v>0.113543092</v>
      </c>
      <c r="G330">
        <f>IF([2]species_comp_Region1_forR!$H233&gt;49,[2]species_comp_Region1_forR!$AW233,[2]species_comp_Region1_forR!$AY233)</f>
        <v>1.37878E-4</v>
      </c>
      <c r="H330" s="13">
        <f t="shared" si="149"/>
        <v>944.56498234799994</v>
      </c>
      <c r="I330">
        <f t="shared" si="150"/>
        <v>9541.9519151579989</v>
      </c>
      <c r="J330">
        <f t="shared" si="152"/>
        <v>97.682915165130069</v>
      </c>
      <c r="K330" s="6">
        <f t="shared" si="153"/>
        <v>191.45851372365493</v>
      </c>
      <c r="M330" s="2">
        <f>'rockfish harvests'!O338</f>
        <v>17589.408678750442</v>
      </c>
      <c r="N330">
        <f>'rockfish harvests'!P338</f>
        <v>14198104.777272861</v>
      </c>
      <c r="O330">
        <f>IF([2]species_comp_Region1_forR!$D255&gt;49,[2]species_comp_Region1_forR!$AR255,[2]species_comp_Region1_forR!$AT255)</f>
        <v>7.6849183000000001E-2</v>
      </c>
      <c r="P330">
        <f>IF([2]species_comp_Region1_forR!$D255&gt;49,[2]species_comp_Region1_forR!$AS255,[2]species_comp_Region1_forR!$AU255)</f>
        <v>6.8214799999999996E-5</v>
      </c>
      <c r="Q330" s="13">
        <f t="shared" si="124"/>
        <v>1351.731686415081</v>
      </c>
      <c r="R330" s="14">
        <f t="shared" si="125"/>
        <v>103987.39532894826</v>
      </c>
      <c r="S330">
        <f t="shared" si="154"/>
        <v>322.47076662691188</v>
      </c>
      <c r="T330" s="6">
        <f t="shared" si="155"/>
        <v>632.04270258874726</v>
      </c>
      <c r="V330" s="13">
        <f t="shared" si="151"/>
        <v>2296.296668763081</v>
      </c>
      <c r="W330">
        <f t="shared" si="151"/>
        <v>113529.34724410626</v>
      </c>
      <c r="X330">
        <f t="shared" si="156"/>
        <v>336.94116288175042</v>
      </c>
      <c r="Y330" s="6">
        <f t="shared" si="157"/>
        <v>660.40467924823076</v>
      </c>
      <c r="Z330" s="14">
        <f t="shared" si="126"/>
        <v>0.14673241809963802</v>
      </c>
    </row>
    <row r="331" spans="1:26" hidden="1" x14ac:dyDescent="0.25">
      <c r="A331" t="str">
        <f>'rockfish harvests'!A339</f>
        <v>SE</v>
      </c>
      <c r="B331">
        <f>'rockfish harvests'!B339</f>
        <v>2010</v>
      </c>
      <c r="C331" t="str">
        <f>'rockfish harvests'!C339</f>
        <v>SSEI</v>
      </c>
      <c r="D331">
        <f>'rockfish harvests'!D339</f>
        <v>20015</v>
      </c>
      <c r="E331">
        <f>'YE harvest'!E340</f>
        <v>11058</v>
      </c>
      <c r="F331">
        <f>IF([2]species_comp_Region1_forR!$H234&gt;49,[2]species_comp_Region1_forR!$AV234,[2]species_comp_Region1_forR!$AX234)</f>
        <v>0.17421124800000001</v>
      </c>
      <c r="G331">
        <f>IF([2]species_comp_Region1_forR!$H234&gt;49,[2]species_comp_Region1_forR!$AW234,[2]species_comp_Region1_forR!$AY234)</f>
        <v>1.97612E-4</v>
      </c>
      <c r="H331" s="13">
        <f t="shared" si="149"/>
        <v>1926.4279803840002</v>
      </c>
      <c r="I331">
        <f t="shared" si="150"/>
        <v>24163.869678768002</v>
      </c>
      <c r="J331">
        <f t="shared" si="152"/>
        <v>155.4473212338122</v>
      </c>
      <c r="K331" s="6">
        <f t="shared" si="153"/>
        <v>304.67674961827191</v>
      </c>
      <c r="M331" s="2">
        <f>'rockfish harvests'!O339</f>
        <v>23727.978345028649</v>
      </c>
      <c r="N331">
        <f>'rockfish harvests'!P339</f>
        <v>25837433.526771665</v>
      </c>
      <c r="O331">
        <f>IF([2]species_comp_Region1_forR!$D256&gt;49,[2]species_comp_Region1_forR!$AR256,[2]species_comp_Region1_forR!$AT256)</f>
        <v>5.5505818999999998E-2</v>
      </c>
      <c r="P331">
        <f>IF([2]species_comp_Region1_forR!$D256&gt;49,[2]species_comp_Region1_forR!$AS256,[2]species_comp_Region1_forR!$AU256)</f>
        <v>4.6975699999999998E-5</v>
      </c>
      <c r="Q331" s="13">
        <f t="shared" si="124"/>
        <v>1317.0408712550798</v>
      </c>
      <c r="R331" s="14">
        <f t="shared" si="125"/>
        <v>104836.82823648374</v>
      </c>
      <c r="S331">
        <f t="shared" si="154"/>
        <v>323.78515752962448</v>
      </c>
      <c r="T331" s="6">
        <f t="shared" si="155"/>
        <v>634.61890875806398</v>
      </c>
      <c r="V331" s="13">
        <f t="shared" si="151"/>
        <v>3243.4688516390797</v>
      </c>
      <c r="W331">
        <f t="shared" si="151"/>
        <v>129000.69791525175</v>
      </c>
      <c r="X331">
        <f t="shared" si="156"/>
        <v>359.16667149841692</v>
      </c>
      <c r="Y331" s="6">
        <f t="shared" si="157"/>
        <v>703.96667613689715</v>
      </c>
      <c r="Z331" s="14">
        <f t="shared" si="126"/>
        <v>0.11073535400745804</v>
      </c>
    </row>
    <row r="332" spans="1:26" hidden="1" x14ac:dyDescent="0.25">
      <c r="A332" t="str">
        <f>'rockfish harvests'!A340</f>
        <v>SE</v>
      </c>
      <c r="B332">
        <f>'rockfish harvests'!B340</f>
        <v>2011</v>
      </c>
      <c r="C332" t="str">
        <f>'rockfish harvests'!C340</f>
        <v>SSEI</v>
      </c>
      <c r="D332">
        <f>'rockfish harvests'!D340</f>
        <v>17328</v>
      </c>
      <c r="E332">
        <f>'YE harvest'!E341</f>
        <v>8097</v>
      </c>
      <c r="F332">
        <f>IF([2]species_comp_Region1_forR!$H235&gt;49,[2]species_comp_Region1_forR!$AV235,[2]species_comp_Region1_forR!$AX235)</f>
        <v>0.16267942599999999</v>
      </c>
      <c r="G332">
        <f>IF([2]species_comp_Region1_forR!$H235&gt;49,[2]species_comp_Region1_forR!$AW235,[2]species_comp_Region1_forR!$AY235)</f>
        <v>1.63132E-4</v>
      </c>
      <c r="H332" s="13">
        <f t="shared" si="149"/>
        <v>1317.2153123219998</v>
      </c>
      <c r="I332">
        <f t="shared" si="150"/>
        <v>10695.163772988</v>
      </c>
      <c r="J332">
        <f t="shared" si="152"/>
        <v>103.41742490019755</v>
      </c>
      <c r="K332" s="6">
        <f t="shared" si="153"/>
        <v>202.69815280438718</v>
      </c>
      <c r="M332" s="2">
        <f>'rockfish harvests'!O340</f>
        <v>26057.656259472569</v>
      </c>
      <c r="N332">
        <f>'rockfish harvests'!P340</f>
        <v>22721971.694568597</v>
      </c>
      <c r="O332">
        <f>IF([2]species_comp_Region1_forR!$D257&gt;49,[2]species_comp_Region1_forR!$AR257,[2]species_comp_Region1_forR!$AT257)</f>
        <v>0.11457521399999999</v>
      </c>
      <c r="P332">
        <f>IF([2]species_comp_Region1_forR!$D257&gt;49,[2]species_comp_Region1_forR!$AS257,[2]species_comp_Region1_forR!$AU257)</f>
        <v>7.9132400000000002E-5</v>
      </c>
      <c r="Q332" s="13">
        <f t="shared" si="124"/>
        <v>2985.5615422675091</v>
      </c>
      <c r="R332" s="14">
        <f t="shared" si="125"/>
        <v>350215.1914952551</v>
      </c>
      <c r="S332">
        <f t="shared" si="154"/>
        <v>591.78982037143487</v>
      </c>
      <c r="T332" s="6">
        <f t="shared" si="155"/>
        <v>1159.9080479280124</v>
      </c>
      <c r="V332" s="13">
        <f t="shared" si="151"/>
        <v>4302.7768545895087</v>
      </c>
      <c r="W332">
        <f t="shared" si="151"/>
        <v>360910.35526824312</v>
      </c>
      <c r="X332">
        <f t="shared" si="156"/>
        <v>600.75815039684903</v>
      </c>
      <c r="Y332" s="6">
        <f t="shared" si="157"/>
        <v>1177.4859747778241</v>
      </c>
      <c r="Z332" s="14">
        <f t="shared" si="126"/>
        <v>0.13962103327669831</v>
      </c>
    </row>
    <row r="333" spans="1:26" hidden="1" x14ac:dyDescent="0.25">
      <c r="A333" t="str">
        <f>'rockfish harvests'!A341</f>
        <v>SE</v>
      </c>
      <c r="B333">
        <f>'rockfish harvests'!B341</f>
        <v>2012</v>
      </c>
      <c r="C333" t="str">
        <f>'rockfish harvests'!C341</f>
        <v>SSEI</v>
      </c>
      <c r="D333">
        <f>'rockfish harvests'!D341</f>
        <v>20908</v>
      </c>
      <c r="E333">
        <f>'YE harvest'!E342</f>
        <v>11877</v>
      </c>
      <c r="F333">
        <f>IF([2]species_comp_Region1_forR!$H236&gt;49,[2]species_comp_Region1_forR!$AV236,[2]species_comp_Region1_forR!$AX236)</f>
        <v>0.143570537</v>
      </c>
      <c r="G333">
        <f>IF([2]species_comp_Region1_forR!$H236&gt;49,[2]species_comp_Region1_forR!$AW236,[2]species_comp_Region1_forR!$AY236)</f>
        <v>1.5369799999999999E-4</v>
      </c>
      <c r="H333" s="13">
        <f t="shared" si="149"/>
        <v>1705.187267949</v>
      </c>
      <c r="I333">
        <f t="shared" si="150"/>
        <v>21681.120801041998</v>
      </c>
      <c r="J333">
        <f t="shared" si="152"/>
        <v>147.24510450620082</v>
      </c>
      <c r="K333" s="6">
        <f t="shared" si="153"/>
        <v>288.60040483215357</v>
      </c>
      <c r="M333" s="2">
        <f>'rockfish harvests'!O341</f>
        <v>30342.239687848378</v>
      </c>
      <c r="N333">
        <f>'rockfish harvests'!P341</f>
        <v>23087012.957423236</v>
      </c>
      <c r="O333">
        <f>IF([2]species_comp_Region1_forR!$D258&gt;49,[2]species_comp_Region1_forR!$AR258,[2]species_comp_Region1_forR!$AT258)</f>
        <v>0.14481576700000001</v>
      </c>
      <c r="P333">
        <f>IF([2]species_comp_Region1_forR!$D258&gt;49,[2]species_comp_Region1_forR!$AS258,[2]species_comp_Region1_forR!$AU258)</f>
        <v>1.0621299999999999E-4</v>
      </c>
      <c r="Q333" s="13">
        <f t="shared" si="124"/>
        <v>4394.0347128936037</v>
      </c>
      <c r="R333" s="14">
        <f t="shared" si="125"/>
        <v>579504.76589104882</v>
      </c>
      <c r="S333">
        <f t="shared" si="154"/>
        <v>761.25210403062192</v>
      </c>
      <c r="T333" s="6">
        <f t="shared" si="155"/>
        <v>1492.054123900019</v>
      </c>
      <c r="V333" s="13">
        <f t="shared" si="151"/>
        <v>6099.2219808426034</v>
      </c>
      <c r="W333">
        <f t="shared" si="151"/>
        <v>601185.88669209077</v>
      </c>
      <c r="X333">
        <f t="shared" si="156"/>
        <v>775.36177794116907</v>
      </c>
      <c r="Y333" s="6">
        <f t="shared" si="157"/>
        <v>1519.7090847646914</v>
      </c>
      <c r="Z333" s="14">
        <f t="shared" si="126"/>
        <v>0.12712470219587799</v>
      </c>
    </row>
    <row r="334" spans="1:26" hidden="1" x14ac:dyDescent="0.25">
      <c r="A334" t="str">
        <f>'rockfish harvests'!A342</f>
        <v>SE</v>
      </c>
      <c r="B334">
        <f>'rockfish harvests'!B342</f>
        <v>2013</v>
      </c>
      <c r="C334" t="str">
        <f>'rockfish harvests'!C342</f>
        <v>SSEI</v>
      </c>
      <c r="D334">
        <f>'rockfish harvests'!D342</f>
        <v>24779</v>
      </c>
      <c r="E334">
        <f>'YE harvest'!E343</f>
        <v>13572</v>
      </c>
      <c r="F334">
        <f>IF([2]species_comp_Region1_forR!$H237&gt;49,[2]species_comp_Region1_forR!$AV237,[2]species_comp_Region1_forR!$AX237)</f>
        <v>0.171851852</v>
      </c>
      <c r="G334">
        <f>IF([2]species_comp_Region1_forR!$H237&gt;49,[2]species_comp_Region1_forR!$AW237,[2]species_comp_Region1_forR!$AY237)</f>
        <v>2.1115500000000001E-4</v>
      </c>
      <c r="H334" s="13">
        <f t="shared" si="149"/>
        <v>2332.3733353439998</v>
      </c>
      <c r="I334">
        <f t="shared" si="150"/>
        <v>38894.578697520003</v>
      </c>
      <c r="J334">
        <f t="shared" si="152"/>
        <v>197.21708520693639</v>
      </c>
      <c r="K334" s="6">
        <f t="shared" si="153"/>
        <v>386.54548700559531</v>
      </c>
      <c r="M334" s="2">
        <f>'rockfish harvests'!O342</f>
        <v>34267.842065821518</v>
      </c>
      <c r="N334">
        <f>'rockfish harvests'!P342</f>
        <v>37595985.131994449</v>
      </c>
      <c r="O334">
        <f>IF([2]species_comp_Region1_forR!$D259&gt;49,[2]species_comp_Region1_forR!$AR259,[2]species_comp_Region1_forR!$AT259)</f>
        <v>0.12985359599999999</v>
      </c>
      <c r="P334">
        <f>IF([2]species_comp_Region1_forR!$D259&gt;49,[2]species_comp_Region1_forR!$AS259,[2]species_comp_Region1_forR!$AU259)</f>
        <v>7.1969200000000002E-5</v>
      </c>
      <c r="Q334" s="13">
        <f t="shared" si="124"/>
        <v>4449.8025194069924</v>
      </c>
      <c r="R334" s="14">
        <f t="shared" si="125"/>
        <v>715748.46092800121</v>
      </c>
      <c r="S334">
        <f t="shared" si="154"/>
        <v>846.01918472810132</v>
      </c>
      <c r="T334" s="6">
        <f t="shared" si="155"/>
        <v>1658.1976020670786</v>
      </c>
      <c r="V334" s="13">
        <f t="shared" si="151"/>
        <v>6782.1758547509926</v>
      </c>
      <c r="W334">
        <f t="shared" si="151"/>
        <v>754643.03962552117</v>
      </c>
      <c r="X334">
        <f t="shared" si="156"/>
        <v>868.70192795084847</v>
      </c>
      <c r="Y334" s="6">
        <f t="shared" si="157"/>
        <v>1702.655778783663</v>
      </c>
      <c r="Z334" s="14">
        <f t="shared" si="126"/>
        <v>0.12808602232605229</v>
      </c>
    </row>
    <row r="335" spans="1:26" hidden="1" x14ac:dyDescent="0.25">
      <c r="A335" t="str">
        <f>'rockfish harvests'!A343</f>
        <v>SE</v>
      </c>
      <c r="B335">
        <f>'rockfish harvests'!B343</f>
        <v>2014</v>
      </c>
      <c r="C335" t="str">
        <f>'rockfish harvests'!C343</f>
        <v>SSEI</v>
      </c>
      <c r="D335">
        <f>'rockfish harvests'!D343</f>
        <v>25686</v>
      </c>
      <c r="E335">
        <f>'YE harvest'!E344</f>
        <v>15018</v>
      </c>
      <c r="F335">
        <f>IF([2]species_comp_Region1_forR!$H238&gt;49,[2]species_comp_Region1_forR!$AV238,[2]species_comp_Region1_forR!$AX238)</f>
        <v>0.21995783599999999</v>
      </c>
      <c r="G335">
        <f>IF([2]species_comp_Region1_forR!$H238&gt;49,[2]species_comp_Region1_forR!$AW238,[2]species_comp_Region1_forR!$AY238)</f>
        <v>1.20658E-4</v>
      </c>
      <c r="H335" s="13">
        <f t="shared" si="149"/>
        <v>3303.3267810479997</v>
      </c>
      <c r="I335">
        <f t="shared" si="150"/>
        <v>27213.244413191998</v>
      </c>
      <c r="J335">
        <f t="shared" si="152"/>
        <v>164.96437316339549</v>
      </c>
      <c r="K335" s="6">
        <f t="shared" si="153"/>
        <v>323.33017140025515</v>
      </c>
      <c r="M335" s="2">
        <f>'rockfish harvests'!O343</f>
        <v>33152.073336968373</v>
      </c>
      <c r="N335">
        <f>'rockfish harvests'!P343</f>
        <v>19566076.633357268</v>
      </c>
      <c r="O335">
        <f>IF([2]species_comp_Region1_forR!$D260&gt;49,[2]species_comp_Region1_forR!$AR260,[2]species_comp_Region1_forR!$AT260)</f>
        <v>0.16422435599999999</v>
      </c>
      <c r="P335">
        <f>IF([2]species_comp_Region1_forR!$D260&gt;49,[2]species_comp_Region1_forR!$AS260,[2]species_comp_Region1_forR!$AU260)</f>
        <v>6.9390700000000006E-5</v>
      </c>
      <c r="Q335" s="13">
        <f t="shared" si="124"/>
        <v>5444.3778938284013</v>
      </c>
      <c r="R335" s="14">
        <f t="shared" si="125"/>
        <v>602596.86214164086</v>
      </c>
      <c r="S335">
        <f t="shared" si="154"/>
        <v>776.27112669584767</v>
      </c>
      <c r="T335" s="6">
        <f t="shared" si="155"/>
        <v>1521.4914083238614</v>
      </c>
      <c r="V335" s="13">
        <f t="shared" si="151"/>
        <v>8747.7046748764005</v>
      </c>
      <c r="W335">
        <f t="shared" si="151"/>
        <v>629810.10655483289</v>
      </c>
      <c r="X335">
        <f t="shared" si="156"/>
        <v>793.60576267743477</v>
      </c>
      <c r="Y335" s="6">
        <f t="shared" si="157"/>
        <v>1555.4672948477721</v>
      </c>
      <c r="Z335" s="14">
        <f t="shared" si="126"/>
        <v>9.0721599799395133E-2</v>
      </c>
    </row>
    <row r="336" spans="1:26" hidden="1" x14ac:dyDescent="0.25">
      <c r="A336" t="str">
        <f>'rockfish harvests'!A344</f>
        <v>SE</v>
      </c>
      <c r="B336">
        <f>'rockfish harvests'!B344</f>
        <v>2015</v>
      </c>
      <c r="C336" t="str">
        <f>'rockfish harvests'!C344</f>
        <v>SSEI</v>
      </c>
      <c r="D336">
        <f>'rockfish harvests'!D344</f>
        <v>29160</v>
      </c>
      <c r="E336">
        <f>'YE harvest'!E345</f>
        <v>17942</v>
      </c>
      <c r="F336">
        <f>IF([2]species_comp_Region1_forR!$H239&gt;49,[2]species_comp_Region1_forR!$AV239,[2]species_comp_Region1_forR!$AX239)</f>
        <v>0.20289330899999999</v>
      </c>
      <c r="G336">
        <f>IF([2]species_comp_Region1_forR!$H239&gt;49,[2]species_comp_Region1_forR!$AW239,[2]species_comp_Region1_forR!$AY239)</f>
        <v>5.8512199999999999E-5</v>
      </c>
      <c r="H336" s="13">
        <f t="shared" si="149"/>
        <v>3640.3117500779999</v>
      </c>
      <c r="I336">
        <f t="shared" si="150"/>
        <v>18835.976161440798</v>
      </c>
      <c r="J336">
        <f t="shared" si="152"/>
        <v>137.2442208671855</v>
      </c>
      <c r="K336" s="6">
        <f t="shared" si="153"/>
        <v>268.99867289968358</v>
      </c>
      <c r="M336" s="2">
        <f>'rockfish harvests'!O344</f>
        <v>31796.645359656926</v>
      </c>
      <c r="N336">
        <f>'rockfish harvests'!P344</f>
        <v>18451721.940392502</v>
      </c>
      <c r="O336">
        <f>IF([2]species_comp_Region1_forR!$D261&gt;49,[2]species_comp_Region1_forR!$AR261,[2]species_comp_Region1_forR!$AT261)</f>
        <v>0.11386639699999999</v>
      </c>
      <c r="P336">
        <f>IF([2]species_comp_Region1_forR!$D261&gt;49,[2]species_comp_Region1_forR!$AS261,[2]species_comp_Region1_forR!$AU261)</f>
        <v>5.1088999999999998E-5</v>
      </c>
      <c r="Q336" s="13">
        <f t="shared" si="124"/>
        <v>3620.5694437909033</v>
      </c>
      <c r="R336" s="14">
        <f t="shared" si="125"/>
        <v>289946.50167621917</v>
      </c>
      <c r="S336">
        <f t="shared" si="154"/>
        <v>538.46680647577443</v>
      </c>
      <c r="T336" s="6">
        <f t="shared" si="155"/>
        <v>1055.3949406925178</v>
      </c>
      <c r="V336" s="13">
        <f t="shared" si="151"/>
        <v>7260.8811938689032</v>
      </c>
      <c r="W336">
        <f t="shared" si="151"/>
        <v>308782.47783765994</v>
      </c>
      <c r="X336">
        <f t="shared" si="156"/>
        <v>555.68199344378615</v>
      </c>
      <c r="Y336" s="6">
        <f t="shared" si="157"/>
        <v>1089.1367071498209</v>
      </c>
      <c r="Z336" s="14">
        <f t="shared" si="126"/>
        <v>7.6530930421090576E-2</v>
      </c>
    </row>
    <row r="337" spans="1:26" hidden="1" x14ac:dyDescent="0.25">
      <c r="A337" t="str">
        <f>'rockfish harvests'!A345</f>
        <v>SE</v>
      </c>
      <c r="B337">
        <f>'rockfish harvests'!B345</f>
        <v>2016</v>
      </c>
      <c r="C337" t="str">
        <f>'rockfish harvests'!C345</f>
        <v>SSEI</v>
      </c>
      <c r="D337">
        <f>'rockfish harvests'!D345</f>
        <v>32540</v>
      </c>
      <c r="E337">
        <f>'YE harvest'!E346</f>
        <v>19167</v>
      </c>
      <c r="F337">
        <f>IF([2]species_comp_Region1_forR!$H240&gt;49,[2]species_comp_Region1_forR!$AV240,[2]species_comp_Region1_forR!$AX240)</f>
        <v>0.19990701999999999</v>
      </c>
      <c r="G337">
        <f>IF([2]species_comp_Region1_forR!$H240&gt;49,[2]species_comp_Region1_forR!$AW240,[2]species_comp_Region1_forR!$AY240)</f>
        <v>7.4392699999999997E-5</v>
      </c>
      <c r="H337" s="13">
        <f t="shared" si="149"/>
        <v>3831.6178523399999</v>
      </c>
      <c r="I337">
        <f t="shared" si="150"/>
        <v>27329.935512210297</v>
      </c>
      <c r="J337">
        <f t="shared" si="152"/>
        <v>165.31768057957473</v>
      </c>
      <c r="K337" s="6">
        <f t="shared" si="153"/>
        <v>324.02265393596645</v>
      </c>
      <c r="M337" s="2">
        <f>'rockfish harvests'!O345</f>
        <v>33865.532446281708</v>
      </c>
      <c r="N337">
        <f>'rockfish harvests'!P345</f>
        <v>23923054.468410891</v>
      </c>
      <c r="O337">
        <f>IF([2]species_comp_Region1_forR!$D262&gt;49,[2]species_comp_Region1_forR!$AR262,[2]species_comp_Region1_forR!$AT262)</f>
        <v>0.14972458699999999</v>
      </c>
      <c r="P337">
        <f>IF([2]species_comp_Region1_forR!$D262&gt;49,[2]species_comp_Region1_forR!$AS262,[2]species_comp_Region1_forR!$AU262)</f>
        <v>6.3781099999999998E-5</v>
      </c>
      <c r="Q337" s="13">
        <f t="shared" si="124"/>
        <v>5070.5028590546281</v>
      </c>
      <c r="R337" s="14">
        <f t="shared" si="125"/>
        <v>607916.98901106918</v>
      </c>
      <c r="S337">
        <f t="shared" si="154"/>
        <v>779.69031609419721</v>
      </c>
      <c r="T337" s="6">
        <f t="shared" si="155"/>
        <v>1528.1930195446266</v>
      </c>
      <c r="V337" s="13">
        <f t="shared" si="151"/>
        <v>8902.1207113946275</v>
      </c>
      <c r="W337">
        <f t="shared" si="151"/>
        <v>635246.92452327942</v>
      </c>
      <c r="X337">
        <f t="shared" si="156"/>
        <v>797.02379169211724</v>
      </c>
      <c r="Y337" s="6">
        <f t="shared" si="157"/>
        <v>1562.1666317165498</v>
      </c>
      <c r="Z337" s="14">
        <f t="shared" si="126"/>
        <v>8.9531901165071218E-2</v>
      </c>
    </row>
    <row r="338" spans="1:26" hidden="1" x14ac:dyDescent="0.25">
      <c r="A338" t="str">
        <f>'rockfish harvests'!A346</f>
        <v>SE</v>
      </c>
      <c r="B338">
        <f>'rockfish harvests'!B346</f>
        <v>2017</v>
      </c>
      <c r="C338" t="str">
        <f>'rockfish harvests'!C346</f>
        <v>SSEI</v>
      </c>
      <c r="D338">
        <f>'rockfish harvests'!D346</f>
        <v>30249</v>
      </c>
      <c r="E338">
        <f>'YE harvest'!E347</f>
        <v>13768</v>
      </c>
      <c r="F338">
        <f>IF([2]species_comp_Region1_forR!$H241&gt;49,[2]species_comp_Region1_forR!$AV241,[2]species_comp_Region1_forR!$AX241)</f>
        <v>0.17742946700000001</v>
      </c>
      <c r="G338">
        <f>IF([2]species_comp_Region1_forR!$H241&gt;49,[2]species_comp_Region1_forR!$AW241,[2]species_comp_Region1_forR!$AY241)</f>
        <v>9.1561E-5</v>
      </c>
      <c r="H338" s="13">
        <f t="shared" si="149"/>
        <v>2442.8489016560002</v>
      </c>
      <c r="I338">
        <f t="shared" si="150"/>
        <v>17356.103923264</v>
      </c>
      <c r="J338">
        <f t="shared" si="152"/>
        <v>131.74256686152734</v>
      </c>
      <c r="K338" s="6">
        <f t="shared" si="153"/>
        <v>258.21543104859359</v>
      </c>
      <c r="M338" s="2">
        <f>'rockfish harvests'!O346</f>
        <v>32660.834871736792</v>
      </c>
      <c r="N338">
        <f>'rockfish harvests'!P346</f>
        <v>21220862.426665116</v>
      </c>
      <c r="O338">
        <f>IF([2]species_comp_Region1_forR!$D263&gt;49,[2]species_comp_Region1_forR!$AR263,[2]species_comp_Region1_forR!$AT263)</f>
        <v>0.13790760899999999</v>
      </c>
      <c r="P338">
        <f>IF([2]species_comp_Region1_forR!$D263&gt;49,[2]species_comp_Region1_forR!$AS263,[2]species_comp_Region1_forR!$AU263)</f>
        <v>8.0822000000000006E-5</v>
      </c>
      <c r="Q338" s="13">
        <f t="shared" si="124"/>
        <v>4504.1776451050418</v>
      </c>
      <c r="R338" s="14">
        <f t="shared" si="125"/>
        <v>488089.30537645565</v>
      </c>
      <c r="S338">
        <f t="shared" si="154"/>
        <v>698.63388507605021</v>
      </c>
      <c r="T338" s="6">
        <f t="shared" si="155"/>
        <v>1369.3224147490585</v>
      </c>
      <c r="V338" s="13">
        <f t="shared" si="151"/>
        <v>6947.0265467610425</v>
      </c>
      <c r="W338">
        <f t="shared" si="151"/>
        <v>505445.40929971967</v>
      </c>
      <c r="X338">
        <f t="shared" si="156"/>
        <v>710.94683999559322</v>
      </c>
      <c r="Y338" s="6">
        <f t="shared" si="157"/>
        <v>1393.4558063913628</v>
      </c>
      <c r="Z338" s="14">
        <f t="shared" si="126"/>
        <v>0.10233829325541625</v>
      </c>
    </row>
    <row r="339" spans="1:26" hidden="1" x14ac:dyDescent="0.25">
      <c r="A339" t="str">
        <f>'rockfish harvests'!A347</f>
        <v>SE</v>
      </c>
      <c r="B339">
        <f>'rockfish harvests'!B347</f>
        <v>2018</v>
      </c>
      <c r="C339" t="str">
        <f>'rockfish harvests'!C347</f>
        <v>SSEI</v>
      </c>
      <c r="D339">
        <f>'rockfish harvests'!D347</f>
        <v>42049</v>
      </c>
      <c r="E339">
        <f>'YE harvest'!E348</f>
        <v>16630</v>
      </c>
      <c r="F339">
        <f>IF([2]species_comp_Region1_forR!$H242&gt;49,[2]species_comp_Region1_forR!$AV242,[2]species_comp_Region1_forR!$AX242)</f>
        <v>0.145038168</v>
      </c>
      <c r="G339">
        <f>IF([2]species_comp_Region1_forR!$H242&gt;49,[2]species_comp_Region1_forR!$AW242,[2]species_comp_Region1_forR!$AY242)</f>
        <v>2.3709800000000001E-4</v>
      </c>
      <c r="H339" s="13">
        <f t="shared" si="149"/>
        <v>2411.98473384</v>
      </c>
      <c r="I339">
        <f t="shared" si="150"/>
        <v>65571.087876200007</v>
      </c>
      <c r="J339">
        <f t="shared" si="152"/>
        <v>256.06852183780808</v>
      </c>
      <c r="K339" s="6">
        <f t="shared" si="153"/>
        <v>501.89430280210382</v>
      </c>
      <c r="M339" s="2">
        <f>'rockfish harvests'!O347</f>
        <v>34725.8595505618</v>
      </c>
      <c r="N339">
        <f>'rockfish harvests'!P347</f>
        <v>18537755.684375577</v>
      </c>
      <c r="O339">
        <f>IF([2]species_comp_Region1_forR!$D264&gt;49,[2]species_comp_Region1_forR!$AR264,[2]species_comp_Region1_forR!$AT264)</f>
        <v>9.4146046999999997E-2</v>
      </c>
      <c r="P339">
        <f>IF([2]species_comp_Region1_forR!$D264&gt;49,[2]species_comp_Region1_forR!$AS264,[2]species_comp_Region1_forR!$AU264)</f>
        <v>5.1499100000000003E-5</v>
      </c>
      <c r="Q339" s="13">
        <f t="shared" si="124"/>
        <v>3269.30240536259</v>
      </c>
      <c r="R339" s="14">
        <f t="shared" si="125"/>
        <v>225456.32377803046</v>
      </c>
      <c r="S339">
        <f t="shared" si="154"/>
        <v>474.82241288510221</v>
      </c>
      <c r="T339" s="6">
        <f t="shared" si="155"/>
        <v>930.65192925480028</v>
      </c>
      <c r="V339" s="13">
        <f t="shared" si="151"/>
        <v>5681.28713920259</v>
      </c>
      <c r="W339">
        <f t="shared" si="151"/>
        <v>291027.41165423044</v>
      </c>
      <c r="X339">
        <f t="shared" si="156"/>
        <v>539.4695650861413</v>
      </c>
      <c r="Y339" s="6">
        <f t="shared" si="157"/>
        <v>1057.3603475688369</v>
      </c>
      <c r="Z339" s="14">
        <f t="shared" si="126"/>
        <v>9.4955518330281014E-2</v>
      </c>
    </row>
    <row r="340" spans="1:26" hidden="1" x14ac:dyDescent="0.25">
      <c r="A340" t="str">
        <f>'rockfish harvests'!A348</f>
        <v>SE</v>
      </c>
      <c r="B340">
        <f>'rockfish harvests'!B348</f>
        <v>2019</v>
      </c>
      <c r="C340" t="str">
        <f>'rockfish harvests'!C348</f>
        <v>SSEI</v>
      </c>
      <c r="D340">
        <f>'rockfish harvests'!D348</f>
        <v>35867</v>
      </c>
      <c r="E340">
        <f>'YE harvest'!E349</f>
        <v>14851</v>
      </c>
      <c r="F340">
        <v>0.16850828729281769</v>
      </c>
      <c r="G340">
        <v>3.8812533076581417E-4</v>
      </c>
      <c r="H340" s="13">
        <f>E340*F340</f>
        <v>2502.5165745856357</v>
      </c>
      <c r="I340">
        <f>(E340^2)*G340</f>
        <v>85601.89596425333</v>
      </c>
      <c r="K340" s="6"/>
      <c r="M340" s="2">
        <f>'rockfish harvests'!O348</f>
        <v>69950.34860446323</v>
      </c>
      <c r="N340">
        <f>'rockfish harvests'!P348</f>
        <v>111154603.32156514</v>
      </c>
      <c r="O340">
        <v>7.5318655851680183E-2</v>
      </c>
      <c r="P340">
        <v>8.0795540524798546E-5</v>
      </c>
      <c r="Q340" s="13">
        <f>M340*O340</f>
        <v>5268.5662332446236</v>
      </c>
      <c r="R340" s="14">
        <f>(M340^2)*P340+(O340^2)*N340-(P340*N340)</f>
        <v>1016924.8661219572</v>
      </c>
      <c r="S340">
        <f>SQRT(R340)</f>
        <v>1008.4269265157278</v>
      </c>
      <c r="T340" s="6">
        <f>(1.96*S340)</f>
        <v>1976.5167759708265</v>
      </c>
      <c r="V340" s="13">
        <f>Q340+H340</f>
        <v>7771.0828078302593</v>
      </c>
      <c r="W340">
        <f>R340+I340</f>
        <v>1102526.7620862105</v>
      </c>
      <c r="X340">
        <f>SQRT(W340)</f>
        <v>1050.0127437732413</v>
      </c>
      <c r="Y340" s="6">
        <f>(1.96*X340)</f>
        <v>2058.0249777955528</v>
      </c>
      <c r="Z340" s="14">
        <f t="shared" si="126"/>
        <v>0.13511794556033205</v>
      </c>
    </row>
    <row r="341" spans="1:26" hidden="1" x14ac:dyDescent="0.25">
      <c r="A341" t="str">
        <f>'rockfish harvests'!A349</f>
        <v>SE</v>
      </c>
      <c r="B341">
        <f>'rockfish harvests'!B349</f>
        <v>2020</v>
      </c>
      <c r="C341" t="str">
        <f>'rockfish harvests'!C349</f>
        <v>SSEI</v>
      </c>
      <c r="D341">
        <f>'rockfish harvests'!D349</f>
        <v>11107</v>
      </c>
      <c r="E341">
        <f>'YE harvest'!E350</f>
        <v>325</v>
      </c>
      <c r="F341">
        <v>1</v>
      </c>
      <c r="G341">
        <v>0</v>
      </c>
      <c r="H341" s="13">
        <f t="shared" ref="H341:H342" si="182">E341*F341</f>
        <v>325</v>
      </c>
      <c r="I341">
        <f t="shared" ref="I341:I342" si="183">(E341^2)*G341</f>
        <v>0</v>
      </c>
      <c r="J341">
        <f t="shared" ref="J341" si="184">SQRT(I341)</f>
        <v>0</v>
      </c>
      <c r="K341" s="6">
        <f t="shared" ref="K341" si="185">(1.96*J341)</f>
        <v>0</v>
      </c>
      <c r="M341" s="2">
        <f>'rockfish harvests'!O349</f>
        <v>15196.649154865238</v>
      </c>
      <c r="N341">
        <f>'rockfish harvests'!P349</f>
        <v>6640608.2621304234</v>
      </c>
      <c r="O341" t="s">
        <v>266</v>
      </c>
      <c r="P341" t="s">
        <v>267</v>
      </c>
      <c r="Q341" s="13">
        <f t="shared" ref="Q341:Q342" si="186">M341*O341</f>
        <v>535.56472792476643</v>
      </c>
      <c r="R341" s="14">
        <f t="shared" ref="R341:R342" si="187">(M341^2)*P341+(O341^2)*N341-(P341*N341)</f>
        <v>19462.72849417324</v>
      </c>
      <c r="S341">
        <f t="shared" ref="S341:S342" si="188">SQRT(R341)</f>
        <v>139.50888320882379</v>
      </c>
      <c r="T341" s="6">
        <f t="shared" ref="T341:T342" si="189">(1.96*S341)</f>
        <v>273.43741108929464</v>
      </c>
      <c r="V341" s="13">
        <f t="shared" ref="V341:V342" si="190">Q341+H341</f>
        <v>860.56472792476643</v>
      </c>
      <c r="W341">
        <f t="shared" ref="W341:W342" si="191">R341+I341</f>
        <v>19462.72849417324</v>
      </c>
      <c r="X341">
        <f t="shared" ref="X341:X342" si="192">SQRT(W341)</f>
        <v>139.50888320882379</v>
      </c>
      <c r="Y341" s="6">
        <f t="shared" ref="Y341:Y342" si="193">(1.96*X341)</f>
        <v>273.43741108929464</v>
      </c>
      <c r="Z341" s="14">
        <f t="shared" ref="Z341:Z342" si="194">X341/V341</f>
        <v>0.16211317833726058</v>
      </c>
    </row>
    <row r="342" spans="1:26" hidden="1" x14ac:dyDescent="0.25">
      <c r="A342" t="str">
        <f>'rockfish harvests'!A350</f>
        <v>SE</v>
      </c>
      <c r="B342">
        <f>'rockfish harvests'!B350</f>
        <v>2021</v>
      </c>
      <c r="C342" t="str">
        <f>'rockfish harvests'!C350</f>
        <v>SSEI</v>
      </c>
      <c r="D342">
        <f>'rockfish harvests'!D350</f>
        <v>28388</v>
      </c>
      <c r="E342">
        <f>'YE harvest'!E351</f>
        <v>1254</v>
      </c>
      <c r="F342" t="s">
        <v>264</v>
      </c>
      <c r="G342" t="s">
        <v>235</v>
      </c>
      <c r="H342" s="13">
        <f t="shared" si="182"/>
        <v>1201.1999999999996</v>
      </c>
      <c r="I342">
        <f t="shared" si="183"/>
        <v>28.100735489587993</v>
      </c>
      <c r="K342" s="6"/>
      <c r="M342" s="2">
        <f>'rockfish harvests'!O350</f>
        <v>14186.636497865038</v>
      </c>
      <c r="N342">
        <f>'rockfish harvests'!P350</f>
        <v>6428956.9149598647</v>
      </c>
      <c r="O342" t="s">
        <v>268</v>
      </c>
      <c r="P342" t="s">
        <v>269</v>
      </c>
      <c r="Q342" s="13">
        <f t="shared" si="186"/>
        <v>1337.5971555129895</v>
      </c>
      <c r="R342" s="14">
        <f t="shared" si="187"/>
        <v>80954.449413368158</v>
      </c>
      <c r="S342">
        <f t="shared" si="188"/>
        <v>284.52495393790713</v>
      </c>
      <c r="T342" s="6">
        <f t="shared" si="189"/>
        <v>557.66890971829798</v>
      </c>
      <c r="V342" s="13">
        <f t="shared" si="190"/>
        <v>2538.7971555129889</v>
      </c>
      <c r="W342">
        <f t="shared" si="191"/>
        <v>80982.550148857743</v>
      </c>
      <c r="X342">
        <f t="shared" si="192"/>
        <v>284.57433150032654</v>
      </c>
      <c r="Y342" s="6">
        <f t="shared" si="193"/>
        <v>557.76568974064003</v>
      </c>
      <c r="Z342" s="14">
        <f t="shared" si="194"/>
        <v>0.11209021992260169</v>
      </c>
    </row>
    <row r="343" spans="1:26" hidden="1" x14ac:dyDescent="0.25">
      <c r="A343" t="str">
        <f>'rockfish harvests'!A351</f>
        <v>SE</v>
      </c>
      <c r="B343">
        <f>'rockfish harvests'!B351</f>
        <v>2022</v>
      </c>
      <c r="C343" t="str">
        <f>'rockfish harvests'!C351</f>
        <v>SSEI</v>
      </c>
      <c r="D343">
        <f>'rockfish harvests'!D351</f>
        <v>33837</v>
      </c>
      <c r="E343">
        <f>'YE harvest'!E352</f>
        <v>3983</v>
      </c>
      <c r="F343" t="s">
        <v>265</v>
      </c>
      <c r="G343" t="s">
        <v>237</v>
      </c>
      <c r="H343" s="13">
        <f t="shared" ref="H343" si="195">E343*F343</f>
        <v>3731.7359813084099</v>
      </c>
      <c r="I343">
        <f t="shared" ref="I343" si="196">(E343^2)*G343</f>
        <v>431.89819408546725</v>
      </c>
      <c r="K343" s="6"/>
      <c r="M343" s="2">
        <f>'rockfish harvests'!O351</f>
        <v>25305.766593391003</v>
      </c>
      <c r="N343">
        <f>'rockfish harvests'!P351</f>
        <v>17493065.751002964</v>
      </c>
      <c r="O343" t="s">
        <v>270</v>
      </c>
      <c r="P343" t="s">
        <v>271</v>
      </c>
      <c r="Q343" s="13">
        <f t="shared" ref="Q343" si="197">M343*O343</f>
        <v>4531.7064289583141</v>
      </c>
      <c r="R343" s="14">
        <f t="shared" ref="R343" si="198">(M343^2)*P343+(O343^2)*N343-(P343*N343)</f>
        <v>723631.06513569446</v>
      </c>
      <c r="S343">
        <f t="shared" ref="S343" si="199">SQRT(R343)</f>
        <v>850.66507224388522</v>
      </c>
      <c r="T343" s="6"/>
      <c r="V343" s="13">
        <f t="shared" ref="V343" si="200">Q343+H343</f>
        <v>8263.4424102667235</v>
      </c>
      <c r="W343">
        <f t="shared" ref="W343" si="201">R343+I343</f>
        <v>724062.96332977992</v>
      </c>
      <c r="X343">
        <f t="shared" ref="X343" si="202">SQRT(W343)</f>
        <v>850.91889350852932</v>
      </c>
      <c r="Y343" s="6">
        <f t="shared" ref="Y343" si="203">(1.96*X343)</f>
        <v>1667.8010312767174</v>
      </c>
      <c r="Z343" s="14">
        <f t="shared" ref="Z343" si="204">X343/V343</f>
        <v>0.10297390013287014</v>
      </c>
    </row>
    <row r="344" spans="1:26" x14ac:dyDescent="0.25">
      <c r="A344" t="str">
        <f>'rockfish harvests'!A352</f>
        <v>SE</v>
      </c>
      <c r="B344">
        <f>'rockfish harvests'!B352</f>
        <v>1998</v>
      </c>
      <c r="C344" t="str">
        <f>'rockfish harvests'!C352</f>
        <v>SSEO</v>
      </c>
      <c r="D344">
        <f>'rockfish harvests'!D352</f>
        <v>3185</v>
      </c>
      <c r="E344">
        <f>'YE harvest'!E353</f>
        <v>1723</v>
      </c>
      <c r="F344" s="32">
        <v>5.5469732000000001E-2</v>
      </c>
      <c r="G344" s="32">
        <v>9.1752999999999995E-4</v>
      </c>
      <c r="H344" s="13">
        <f t="shared" si="149"/>
        <v>95.574348236000006</v>
      </c>
      <c r="I344">
        <f t="shared" si="150"/>
        <v>2723.8979193699997</v>
      </c>
      <c r="J344">
        <f t="shared" si="152"/>
        <v>52.190975459077208</v>
      </c>
      <c r="K344" s="6">
        <f t="shared" si="153"/>
        <v>102.29431189979132</v>
      </c>
      <c r="M344" s="2">
        <f>'rockfish harvests'!O352</f>
        <v>1543.4215757484271</v>
      </c>
      <c r="N344">
        <f>'rockfish harvests'!P352</f>
        <v>277633.92962977174</v>
      </c>
      <c r="O344" s="32">
        <v>2.5896555000000002E-2</v>
      </c>
      <c r="P344" s="32">
        <v>1.86563E-4</v>
      </c>
      <c r="Q344" s="13">
        <f t="shared" si="124"/>
        <v>39.969301724555812</v>
      </c>
      <c r="R344" s="14">
        <f t="shared" si="125"/>
        <v>578.81493715472266</v>
      </c>
      <c r="S344">
        <f t="shared" si="154"/>
        <v>24.058573049013582</v>
      </c>
      <c r="T344" s="6">
        <f t="shared" si="155"/>
        <v>47.154803176066622</v>
      </c>
      <c r="V344" s="13">
        <f t="shared" si="151"/>
        <v>135.54364996055583</v>
      </c>
      <c r="W344">
        <f t="shared" si="151"/>
        <v>3302.7128565247222</v>
      </c>
      <c r="X344">
        <f t="shared" si="156"/>
        <v>57.469233999808296</v>
      </c>
      <c r="Y344" s="6">
        <f t="shared" si="157"/>
        <v>112.63969863962426</v>
      </c>
      <c r="Z344" s="14">
        <f t="shared" si="126"/>
        <v>0.42399060388688259</v>
      </c>
    </row>
    <row r="345" spans="1:26" x14ac:dyDescent="0.25">
      <c r="A345" t="str">
        <f>'rockfish harvests'!A353</f>
        <v>SE</v>
      </c>
      <c r="B345">
        <f>'rockfish harvests'!B353</f>
        <v>1999</v>
      </c>
      <c r="C345" t="str">
        <f>'rockfish harvests'!C353</f>
        <v>SSEO</v>
      </c>
      <c r="D345">
        <f>'rockfish harvests'!D353</f>
        <v>4616</v>
      </c>
      <c r="E345">
        <f>'YE harvest'!E354</f>
        <v>3048</v>
      </c>
      <c r="F345" s="32">
        <v>5.5469732000000001E-2</v>
      </c>
      <c r="G345" s="32">
        <v>9.1752999999999995E-4</v>
      </c>
      <c r="H345" s="13">
        <f t="shared" si="149"/>
        <v>169.07174313600001</v>
      </c>
      <c r="I345">
        <f t="shared" si="150"/>
        <v>8524.1326291200003</v>
      </c>
      <c r="J345">
        <f t="shared" si="152"/>
        <v>92.32622936695725</v>
      </c>
      <c r="K345" s="6">
        <f t="shared" si="153"/>
        <v>180.95940955923621</v>
      </c>
      <c r="M345" s="2">
        <f>'rockfish harvests'!O353</f>
        <v>2236.8709556215817</v>
      </c>
      <c r="N345">
        <f>'rockfish harvests'!P353</f>
        <v>583156.69651387446</v>
      </c>
      <c r="O345" s="32">
        <v>2.5896555000000002E-2</v>
      </c>
      <c r="P345" s="32">
        <v>1.86563E-4</v>
      </c>
      <c r="Q345" s="13">
        <f t="shared" si="124"/>
        <v>57.927251730156854</v>
      </c>
      <c r="R345" s="14">
        <f t="shared" si="125"/>
        <v>1215.7728959646513</v>
      </c>
      <c r="S345">
        <f t="shared" si="154"/>
        <v>34.867935068837262</v>
      </c>
      <c r="T345" s="6">
        <f t="shared" si="155"/>
        <v>68.341152734921039</v>
      </c>
      <c r="V345" s="13">
        <f t="shared" si="151"/>
        <v>226.99899486615686</v>
      </c>
      <c r="W345">
        <f t="shared" si="151"/>
        <v>9739.9055250846523</v>
      </c>
      <c r="X345">
        <f t="shared" si="156"/>
        <v>98.690959692793811</v>
      </c>
      <c r="Y345" s="6">
        <f t="shared" si="157"/>
        <v>193.43428099787587</v>
      </c>
      <c r="Z345" s="14">
        <f t="shared" si="126"/>
        <v>0.43476386206460504</v>
      </c>
    </row>
    <row r="346" spans="1:26" x14ac:dyDescent="0.25">
      <c r="A346" t="str">
        <f>'rockfish harvests'!A354</f>
        <v>SE</v>
      </c>
      <c r="B346">
        <f>'rockfish harvests'!B354</f>
        <v>2000</v>
      </c>
      <c r="C346" t="str">
        <f>'rockfish harvests'!C354</f>
        <v>SSEO</v>
      </c>
      <c r="D346">
        <f>'rockfish harvests'!D354</f>
        <v>6910</v>
      </c>
      <c r="E346">
        <f>'YE harvest'!E355</f>
        <v>4760</v>
      </c>
      <c r="F346" s="32">
        <v>5.5469732000000001E-2</v>
      </c>
      <c r="G346" s="32">
        <v>9.1752999999999995E-4</v>
      </c>
      <c r="H346" s="13">
        <f t="shared" si="149"/>
        <v>264.03592431999999</v>
      </c>
      <c r="I346">
        <f t="shared" si="150"/>
        <v>20789.027727999997</v>
      </c>
      <c r="J346">
        <f t="shared" si="152"/>
        <v>144.18400649170488</v>
      </c>
      <c r="K346" s="6">
        <f t="shared" si="153"/>
        <v>282.60065272374158</v>
      </c>
      <c r="M346" s="2">
        <f>'rockfish harvests'!O354</f>
        <v>3348.5221627697429</v>
      </c>
      <c r="N346">
        <f>'rockfish harvests'!P354</f>
        <v>1306801.9129460659</v>
      </c>
      <c r="O346" s="32">
        <v>2.5896555000000002E-2</v>
      </c>
      <c r="P346" s="32">
        <v>1.86563E-4</v>
      </c>
      <c r="Q346" s="13">
        <f t="shared" si="124"/>
        <v>86.715188356885605</v>
      </c>
      <c r="R346" s="14">
        <f t="shared" si="125"/>
        <v>2724.4381409873504</v>
      </c>
      <c r="S346">
        <f t="shared" si="154"/>
        <v>52.19615063380968</v>
      </c>
      <c r="T346" s="6">
        <f t="shared" si="155"/>
        <v>102.30445524226697</v>
      </c>
      <c r="V346" s="13">
        <f t="shared" si="151"/>
        <v>350.75111267688561</v>
      </c>
      <c r="W346">
        <f t="shared" si="151"/>
        <v>23513.465868987347</v>
      </c>
      <c r="X346">
        <f t="shared" si="156"/>
        <v>153.34101169937333</v>
      </c>
      <c r="Y346" s="6">
        <f t="shared" si="157"/>
        <v>300.54838293077171</v>
      </c>
      <c r="Z346" s="14">
        <f t="shared" si="126"/>
        <v>0.43717897437044523</v>
      </c>
    </row>
    <row r="347" spans="1:26" x14ac:dyDescent="0.25">
      <c r="A347" t="str">
        <f>'rockfish harvests'!A355</f>
        <v>SE</v>
      </c>
      <c r="B347">
        <f>'rockfish harvests'!B355</f>
        <v>2001</v>
      </c>
      <c r="C347" t="str">
        <f>'rockfish harvests'!C355</f>
        <v>SSEO</v>
      </c>
      <c r="D347">
        <f>'rockfish harvests'!D355</f>
        <v>5756</v>
      </c>
      <c r="E347">
        <f>'YE harvest'!E356</f>
        <v>3877</v>
      </c>
      <c r="F347" s="32">
        <v>5.5469732000000001E-2</v>
      </c>
      <c r="G347" s="32">
        <v>9.1752999999999995E-4</v>
      </c>
      <c r="H347" s="13">
        <f t="shared" si="149"/>
        <v>215.05615096400001</v>
      </c>
      <c r="I347">
        <f t="shared" si="150"/>
        <v>13791.51179137</v>
      </c>
      <c r="J347">
        <f t="shared" si="152"/>
        <v>117.43726747234031</v>
      </c>
      <c r="K347" s="6">
        <f t="shared" si="153"/>
        <v>230.17704424578702</v>
      </c>
      <c r="M347" s="2">
        <f>'rockfish harvests'!O355</f>
        <v>2789.304423864347</v>
      </c>
      <c r="N347">
        <f>'rockfish harvests'!P355</f>
        <v>906766.02050430153</v>
      </c>
      <c r="O347" s="32">
        <v>2.5896555000000002E-2</v>
      </c>
      <c r="P347" s="32">
        <v>1.86563E-4</v>
      </c>
      <c r="Q347" s="13">
        <f t="shared" ref="Q347:Q364" si="205">M347*O347</f>
        <v>72.233375424346377</v>
      </c>
      <c r="R347" s="14">
        <f t="shared" ref="R347:R364" si="206">(M347^2)*P347+(O347^2)*N347-(P347*N347)</f>
        <v>1890.4379514136785</v>
      </c>
      <c r="S347">
        <f t="shared" si="154"/>
        <v>43.479166866600359</v>
      </c>
      <c r="T347" s="6">
        <f t="shared" si="155"/>
        <v>85.219167058536698</v>
      </c>
      <c r="V347" s="13">
        <f t="shared" si="151"/>
        <v>287.28952638834642</v>
      </c>
      <c r="W347">
        <f t="shared" si="151"/>
        <v>15681.949742783678</v>
      </c>
      <c r="X347">
        <f t="shared" si="156"/>
        <v>125.22759177906312</v>
      </c>
      <c r="Y347" s="6">
        <f t="shared" si="157"/>
        <v>245.4460798869637</v>
      </c>
      <c r="Z347" s="14">
        <f t="shared" si="126"/>
        <v>0.43589334200017266</v>
      </c>
    </row>
    <row r="348" spans="1:26" x14ac:dyDescent="0.25">
      <c r="A348" t="str">
        <f>'rockfish harvests'!A356</f>
        <v>SE</v>
      </c>
      <c r="B348">
        <f>'rockfish harvests'!B356</f>
        <v>2002</v>
      </c>
      <c r="C348" t="str">
        <f>'rockfish harvests'!C356</f>
        <v>SSEO</v>
      </c>
      <c r="D348">
        <f>'rockfish harvests'!D356</f>
        <v>7617</v>
      </c>
      <c r="E348">
        <f>'YE harvest'!E357</f>
        <v>4125</v>
      </c>
      <c r="F348" s="32">
        <v>5.5469732000000001E-2</v>
      </c>
      <c r="G348" s="32">
        <v>9.1752999999999995E-4</v>
      </c>
      <c r="H348" s="13">
        <f t="shared" si="149"/>
        <v>228.8126445</v>
      </c>
      <c r="I348">
        <f t="shared" si="150"/>
        <v>15612.346406249999</v>
      </c>
      <c r="J348">
        <f t="shared" si="152"/>
        <v>124.94937537358879</v>
      </c>
      <c r="K348" s="6">
        <f t="shared" si="153"/>
        <v>244.90077573223402</v>
      </c>
      <c r="M348" s="2">
        <f>'rockfish harvests'!O356</f>
        <v>3691.1278312325794</v>
      </c>
      <c r="N348">
        <f>'rockfish harvests'!P356</f>
        <v>1587894.256982432</v>
      </c>
      <c r="O348" s="32">
        <v>2.5896555000000002E-2</v>
      </c>
      <c r="P348" s="32">
        <v>1.86563E-4</v>
      </c>
      <c r="Q348" s="13">
        <f t="shared" si="205"/>
        <v>95.587494893545212</v>
      </c>
      <c r="R348" s="14">
        <f t="shared" si="206"/>
        <v>3310.4632268442756</v>
      </c>
      <c r="S348">
        <f t="shared" si="154"/>
        <v>57.536625090843444</v>
      </c>
      <c r="T348" s="6">
        <f t="shared" si="155"/>
        <v>112.77178517805315</v>
      </c>
      <c r="V348" s="13">
        <f t="shared" si="151"/>
        <v>324.4001393935452</v>
      </c>
      <c r="W348">
        <f t="shared" si="151"/>
        <v>18922.809633094275</v>
      </c>
      <c r="X348">
        <f t="shared" si="156"/>
        <v>137.56020366768246</v>
      </c>
      <c r="Y348" s="6">
        <f t="shared" si="157"/>
        <v>269.61799918865762</v>
      </c>
      <c r="Z348" s="14">
        <f t="shared" si="126"/>
        <v>0.42404483526069525</v>
      </c>
    </row>
    <row r="349" spans="1:26" x14ac:dyDescent="0.25">
      <c r="A349" t="str">
        <f>'rockfish harvests'!A357</f>
        <v>SE</v>
      </c>
      <c r="B349">
        <f>'rockfish harvests'!B357</f>
        <v>2003</v>
      </c>
      <c r="C349" t="str">
        <f>'rockfish harvests'!C357</f>
        <v>SSEO</v>
      </c>
      <c r="D349">
        <f>'rockfish harvests'!D357</f>
        <v>6896</v>
      </c>
      <c r="E349">
        <f>'YE harvest'!E358</f>
        <v>4090</v>
      </c>
      <c r="F349" s="32">
        <v>5.5469732000000001E-2</v>
      </c>
      <c r="G349" s="32">
        <v>9.1752999999999995E-4</v>
      </c>
      <c r="H349" s="13">
        <f t="shared" si="149"/>
        <v>226.87120388</v>
      </c>
      <c r="I349">
        <f t="shared" si="150"/>
        <v>15348.533592999998</v>
      </c>
      <c r="J349">
        <f t="shared" si="152"/>
        <v>123.88919885526744</v>
      </c>
      <c r="K349" s="6">
        <f t="shared" si="153"/>
        <v>242.82282975632418</v>
      </c>
      <c r="M349" s="2">
        <f>'rockfish harvests'!O357</f>
        <v>3341.7378921071122</v>
      </c>
      <c r="N349">
        <f>'rockfish harvests'!P357</f>
        <v>1301511.9872539048</v>
      </c>
      <c r="O349" s="32">
        <v>2.5896555000000002E-2</v>
      </c>
      <c r="P349" s="32">
        <v>1.86563E-4</v>
      </c>
      <c r="Q349" s="13">
        <f t="shared" si="205"/>
        <v>86.5394991185359</v>
      </c>
      <c r="R349" s="14">
        <f t="shared" si="206"/>
        <v>2713.4096330123189</v>
      </c>
      <c r="S349">
        <f t="shared" si="154"/>
        <v>52.090398664363462</v>
      </c>
      <c r="T349" s="6">
        <f t="shared" si="155"/>
        <v>102.09718138215239</v>
      </c>
      <c r="V349" s="13">
        <f t="shared" si="151"/>
        <v>313.4107029985359</v>
      </c>
      <c r="W349">
        <f t="shared" si="151"/>
        <v>18061.943226012318</v>
      </c>
      <c r="X349">
        <f t="shared" si="156"/>
        <v>134.39472916008395</v>
      </c>
      <c r="Y349" s="6">
        <f t="shared" si="157"/>
        <v>263.41366915376454</v>
      </c>
      <c r="Z349" s="14">
        <f t="shared" si="126"/>
        <v>0.42881346384878177</v>
      </c>
    </row>
    <row r="350" spans="1:26" x14ac:dyDescent="0.25">
      <c r="A350" t="str">
        <f>'rockfish harvests'!A358</f>
        <v>SE</v>
      </c>
      <c r="B350">
        <f>'rockfish harvests'!B358</f>
        <v>2004</v>
      </c>
      <c r="C350" t="str">
        <f>'rockfish harvests'!C358</f>
        <v>SSEO</v>
      </c>
      <c r="D350">
        <f>'rockfish harvests'!D358</f>
        <v>10061</v>
      </c>
      <c r="E350">
        <f>'YE harvest'!E359</f>
        <v>5918</v>
      </c>
      <c r="F350" s="32">
        <v>5.5469732000000001E-2</v>
      </c>
      <c r="G350" s="32">
        <v>9.1752999999999995E-4</v>
      </c>
      <c r="H350" s="13">
        <f t="shared" si="149"/>
        <v>328.26987397599999</v>
      </c>
      <c r="I350">
        <f t="shared" si="150"/>
        <v>32134.399951719999</v>
      </c>
      <c r="J350">
        <f t="shared" si="152"/>
        <v>179.26070386930874</v>
      </c>
      <c r="K350" s="6">
        <f t="shared" si="153"/>
        <v>351.35097958384512</v>
      </c>
      <c r="M350" s="2">
        <f>'rockfish harvests'!O358</f>
        <v>4875.4676526232088</v>
      </c>
      <c r="N350">
        <f>'rockfish harvests'!P358</f>
        <v>2770358.4485732173</v>
      </c>
      <c r="O350" s="32">
        <v>2.5896555000000002E-2</v>
      </c>
      <c r="P350" s="32">
        <v>1.86563E-4</v>
      </c>
      <c r="Q350" s="13">
        <f t="shared" si="205"/>
        <v>126.25781621687783</v>
      </c>
      <c r="R350" s="14">
        <f t="shared" si="206"/>
        <v>5775.6804200598999</v>
      </c>
      <c r="S350">
        <f t="shared" si="154"/>
        <v>75.997897471311006</v>
      </c>
      <c r="T350" s="6">
        <f t="shared" si="155"/>
        <v>148.95587904376956</v>
      </c>
      <c r="V350" s="13">
        <f t="shared" si="151"/>
        <v>454.5276901928778</v>
      </c>
      <c r="W350">
        <f t="shared" si="151"/>
        <v>37910.080371779899</v>
      </c>
      <c r="X350">
        <f t="shared" si="156"/>
        <v>194.70511131395574</v>
      </c>
      <c r="Y350" s="6">
        <f t="shared" si="157"/>
        <v>381.62201817535322</v>
      </c>
      <c r="Z350" s="14">
        <f t="shared" si="126"/>
        <v>0.42836798618656891</v>
      </c>
    </row>
    <row r="351" spans="1:26" x14ac:dyDescent="0.25">
      <c r="A351" t="str">
        <f>'rockfish harvests'!A359</f>
        <v>SE</v>
      </c>
      <c r="B351">
        <f>'rockfish harvests'!B359</f>
        <v>2005</v>
      </c>
      <c r="C351" t="str">
        <f>'rockfish harvests'!C359</f>
        <v>SSEO</v>
      </c>
      <c r="D351">
        <f>'rockfish harvests'!D359</f>
        <v>12666</v>
      </c>
      <c r="E351">
        <f>'YE harvest'!E360</f>
        <v>7243</v>
      </c>
      <c r="F351" s="32">
        <v>5.5469732000000001E-2</v>
      </c>
      <c r="G351" s="32">
        <v>9.1752999999999995E-4</v>
      </c>
      <c r="H351" s="13">
        <f t="shared" si="149"/>
        <v>401.767268876</v>
      </c>
      <c r="I351">
        <f t="shared" si="150"/>
        <v>48134.58628897</v>
      </c>
      <c r="J351">
        <f t="shared" si="152"/>
        <v>219.39595777718878</v>
      </c>
      <c r="K351" s="6">
        <f t="shared" si="153"/>
        <v>430.01607724329</v>
      </c>
      <c r="M351" s="2">
        <f>'rockfish harvests'!O359</f>
        <v>6137.826586634088</v>
      </c>
      <c r="N351">
        <f>'rockfish harvests'!P359</f>
        <v>4390688.5733686173</v>
      </c>
      <c r="O351" s="32">
        <v>2.5896555000000002E-2</v>
      </c>
      <c r="P351" s="32">
        <v>1.86563E-4</v>
      </c>
      <c r="Q351" s="13">
        <f t="shared" si="205"/>
        <v>158.94856378123194</v>
      </c>
      <c r="R351" s="14">
        <f t="shared" si="206"/>
        <v>9153.7663788042628</v>
      </c>
      <c r="S351">
        <f t="shared" si="154"/>
        <v>95.675317500410017</v>
      </c>
      <c r="T351" s="6">
        <f t="shared" si="155"/>
        <v>187.52362230080362</v>
      </c>
      <c r="V351" s="13">
        <f t="shared" si="151"/>
        <v>560.71583265723189</v>
      </c>
      <c r="W351">
        <f t="shared" si="151"/>
        <v>57288.352667774263</v>
      </c>
      <c r="X351">
        <f t="shared" si="156"/>
        <v>239.34985412106326</v>
      </c>
      <c r="Y351" s="6">
        <f t="shared" si="157"/>
        <v>469.12571407728399</v>
      </c>
      <c r="Z351" s="14">
        <f t="shared" si="126"/>
        <v>0.42686480420355616</v>
      </c>
    </row>
    <row r="352" spans="1:26" x14ac:dyDescent="0.25">
      <c r="A352" t="str">
        <f>'rockfish harvests'!A360</f>
        <v>SE</v>
      </c>
      <c r="B352">
        <f>'rockfish harvests'!B360</f>
        <v>2006</v>
      </c>
      <c r="C352" t="str">
        <f>'rockfish harvests'!C360</f>
        <v>SSEO</v>
      </c>
      <c r="D352">
        <f>'rockfish harvests'!D360</f>
        <v>12007</v>
      </c>
      <c r="E352">
        <f>'YE harvest'!E361</f>
        <v>7233</v>
      </c>
      <c r="F352">
        <f>IF([2]species_comp_Region1_forR!$H274&gt;49,[2]species_comp_Region1_forR!$AV274,[2]species_comp_Region1_forR!$AX274)</f>
        <v>3.7671232999999998E-2</v>
      </c>
      <c r="G352">
        <f>IF([2]species_comp_Region1_forR!$H274&gt;49,[2]species_comp_Region1_forR!$AW274,[2]species_comp_Region1_forR!$AY274)</f>
        <v>1.24578E-4</v>
      </c>
      <c r="H352" s="13">
        <f t="shared" si="149"/>
        <v>272.476028289</v>
      </c>
      <c r="I352">
        <f t="shared" si="150"/>
        <v>6517.4586510420004</v>
      </c>
      <c r="J352">
        <f t="shared" si="152"/>
        <v>80.730778833366898</v>
      </c>
      <c r="K352" s="6">
        <f t="shared" si="153"/>
        <v>158.23232651339913</v>
      </c>
      <c r="M352" s="2">
        <f>'rockfish harvests'!O360</f>
        <v>5818.4812747288415</v>
      </c>
      <c r="N352">
        <f>'rockfish harvests'!P360</f>
        <v>3945687.5188521035</v>
      </c>
      <c r="O352">
        <f>IF([2]species_comp_Region1_forR!$D296&gt;49,[2]species_comp_Region1_forR!$AR296,[2]species_comp_Region1_forR!$AT296)</f>
        <v>2.2058824000000001E-2</v>
      </c>
      <c r="P352">
        <f>IF([2]species_comp_Region1_forR!$D296&gt;49,[2]species_comp_Region1_forR!$AS296,[2]species_comp_Region1_forR!$AU296)</f>
        <v>1.59794E-4</v>
      </c>
      <c r="Q352" s="13">
        <f t="shared" si="205"/>
        <v>128.34885438653916</v>
      </c>
      <c r="R352" s="14">
        <f t="shared" si="206"/>
        <v>6699.2234921324807</v>
      </c>
      <c r="S352">
        <f t="shared" si="154"/>
        <v>81.848784304548346</v>
      </c>
      <c r="T352" s="6">
        <f t="shared" si="155"/>
        <v>160.42361723691477</v>
      </c>
      <c r="V352" s="13">
        <f t="shared" si="151"/>
        <v>400.82488267553913</v>
      </c>
      <c r="W352">
        <f t="shared" si="151"/>
        <v>13216.682143174481</v>
      </c>
      <c r="X352">
        <f t="shared" si="156"/>
        <v>114.96382971689174</v>
      </c>
      <c r="Y352" s="6">
        <f t="shared" si="157"/>
        <v>225.32910624510779</v>
      </c>
      <c r="Z352" s="14">
        <f t="shared" si="126"/>
        <v>0.28681809609597764</v>
      </c>
    </row>
    <row r="353" spans="1:26" x14ac:dyDescent="0.25">
      <c r="A353" t="str">
        <f>'rockfish harvests'!A361</f>
        <v>SE</v>
      </c>
      <c r="B353">
        <f>'rockfish harvests'!B361</f>
        <v>2007</v>
      </c>
      <c r="C353" t="str">
        <f>'rockfish harvests'!C361</f>
        <v>SSEO</v>
      </c>
      <c r="D353">
        <f>'rockfish harvests'!D361</f>
        <v>12018</v>
      </c>
      <c r="E353">
        <f>'YE harvest'!E362</f>
        <v>6094</v>
      </c>
      <c r="F353">
        <f>IF([2]species_comp_Region1_forR!$H275&gt;49,[2]species_comp_Region1_forR!$AV275,[2]species_comp_Region1_forR!$AX275)</f>
        <v>2.9968453999999999E-2</v>
      </c>
      <c r="G353">
        <f>IF([2]species_comp_Region1_forR!$H275&gt;49,[2]species_comp_Region1_forR!$AW275,[2]species_comp_Region1_forR!$AY275)</f>
        <v>4.5924699999999998E-5</v>
      </c>
      <c r="H353" s="13">
        <f t="shared" si="149"/>
        <v>182.62775867599998</v>
      </c>
      <c r="I353">
        <f t="shared" si="150"/>
        <v>1705.4980522491999</v>
      </c>
      <c r="J353">
        <f t="shared" si="152"/>
        <v>41.297676111970269</v>
      </c>
      <c r="K353" s="6">
        <f t="shared" si="153"/>
        <v>80.943445179461719</v>
      </c>
      <c r="M353" s="2">
        <f>'rockfish harvests'!O361</f>
        <v>5823.8117731066231</v>
      </c>
      <c r="N353">
        <f>'rockfish harvests'!P361</f>
        <v>3952920.3736786586</v>
      </c>
      <c r="O353">
        <f>IF([2]species_comp_Region1_forR!$D297&gt;49,[2]species_comp_Region1_forR!$AR297,[2]species_comp_Region1_forR!$AT297)</f>
        <v>8.0862529999999998E-3</v>
      </c>
      <c r="P353">
        <f>IF([2]species_comp_Region1_forR!$D297&gt;49,[2]species_comp_Region1_forR!$AS297,[2]species_comp_Region1_forR!$AU297)</f>
        <v>2.1678000000000001E-5</v>
      </c>
      <c r="Q353" s="13">
        <f t="shared" si="205"/>
        <v>47.092815421718747</v>
      </c>
      <c r="R353" s="14">
        <f t="shared" si="206"/>
        <v>908.02815817764747</v>
      </c>
      <c r="S353">
        <f t="shared" si="154"/>
        <v>30.133505573989353</v>
      </c>
      <c r="T353" s="6">
        <f t="shared" si="155"/>
        <v>59.061670925019129</v>
      </c>
      <c r="V353" s="13">
        <f t="shared" si="151"/>
        <v>229.72057409771872</v>
      </c>
      <c r="W353">
        <f t="shared" si="151"/>
        <v>2613.5262104268472</v>
      </c>
      <c r="X353">
        <f t="shared" si="156"/>
        <v>51.122658483561352</v>
      </c>
      <c r="Y353" s="6">
        <f t="shared" si="157"/>
        <v>100.20041062778024</v>
      </c>
      <c r="Z353" s="14">
        <f t="shared" si="126"/>
        <v>0.22254279436814725</v>
      </c>
    </row>
    <row r="354" spans="1:26" x14ac:dyDescent="0.25">
      <c r="A354" t="str">
        <f>'rockfish harvests'!A362</f>
        <v>SE</v>
      </c>
      <c r="B354">
        <f>'rockfish harvests'!B362</f>
        <v>2008</v>
      </c>
      <c r="C354" t="str">
        <f>'rockfish harvests'!C362</f>
        <v>SSEO</v>
      </c>
      <c r="D354">
        <f>'rockfish harvests'!D362</f>
        <v>17754</v>
      </c>
      <c r="E354">
        <f>'YE harvest'!E363</f>
        <v>6953</v>
      </c>
      <c r="F354">
        <f>IF([2]species_comp_Region1_forR!$H276&gt;49,[2]species_comp_Region1_forR!$AV276,[2]species_comp_Region1_forR!$AX276)</f>
        <v>4.9019607999999999E-2</v>
      </c>
      <c r="G354">
        <f>IF([2]species_comp_Region1_forR!$H276&gt;49,[2]species_comp_Region1_forR!$AW276,[2]species_comp_Region1_forR!$AY276)</f>
        <v>5.0836099999999999E-5</v>
      </c>
      <c r="H354" s="13">
        <f t="shared" si="149"/>
        <v>340.83333442399999</v>
      </c>
      <c r="I354">
        <f t="shared" si="150"/>
        <v>2457.6310431449001</v>
      </c>
      <c r="J354">
        <f t="shared" si="152"/>
        <v>49.574499928339165</v>
      </c>
      <c r="K354" s="6">
        <f t="shared" si="153"/>
        <v>97.166019859544761</v>
      </c>
      <c r="M354" s="2">
        <f>'rockfish harvests'!O362</f>
        <v>8603.4243817386414</v>
      </c>
      <c r="N354">
        <f>'rockfish harvests'!P362</f>
        <v>8626727.8588684946</v>
      </c>
      <c r="O354">
        <f>IF([2]species_comp_Region1_forR!$D298&gt;49,[2]species_comp_Region1_forR!$AR298,[2]species_comp_Region1_forR!$AT298)</f>
        <v>1.3157894999999999E-2</v>
      </c>
      <c r="P354">
        <f>IF([2]species_comp_Region1_forR!$D298&gt;49,[2]species_comp_Region1_forR!$AS298,[2]species_comp_Region1_forR!$AU298)</f>
        <v>2.4453399999999999E-5</v>
      </c>
      <c r="Q354" s="13">
        <f t="shared" si="205"/>
        <v>113.20295465535696</v>
      </c>
      <c r="R354" s="14">
        <f t="shared" si="206"/>
        <v>3092.6083402007703</v>
      </c>
      <c r="S354">
        <f t="shared" si="154"/>
        <v>55.611224947853557</v>
      </c>
      <c r="T354" s="6">
        <f t="shared" si="155"/>
        <v>108.99800089779298</v>
      </c>
      <c r="V354" s="13">
        <f t="shared" si="151"/>
        <v>454.03628907935695</v>
      </c>
      <c r="W354">
        <f t="shared" si="151"/>
        <v>5550.2393833456699</v>
      </c>
      <c r="X354">
        <f t="shared" si="156"/>
        <v>74.499928747252298</v>
      </c>
      <c r="Y354" s="6">
        <f t="shared" si="157"/>
        <v>146.0198603446145</v>
      </c>
      <c r="Z354" s="14">
        <f t="shared" si="126"/>
        <v>0.16408364383894239</v>
      </c>
    </row>
    <row r="355" spans="1:26" x14ac:dyDescent="0.25">
      <c r="A355" t="str">
        <f>'rockfish harvests'!A363</f>
        <v>SE</v>
      </c>
      <c r="B355">
        <f>'rockfish harvests'!B363</f>
        <v>2009</v>
      </c>
      <c r="C355" t="str">
        <f>'rockfish harvests'!C363</f>
        <v>SSEO</v>
      </c>
      <c r="D355">
        <f>'rockfish harvests'!D363</f>
        <v>9645</v>
      </c>
      <c r="E355">
        <f>'YE harvest'!E364</f>
        <v>3692</v>
      </c>
      <c r="F355">
        <f>IF([2]species_comp_Region1_forR!$H277&gt;49,[2]species_comp_Region1_forR!$AV277,[2]species_comp_Region1_forR!$AX277)</f>
        <v>3.9568344999999998E-2</v>
      </c>
      <c r="G355">
        <f>IF([2]species_comp_Region1_forR!$H277&gt;49,[2]species_comp_Region1_forR!$AW277,[2]species_comp_Region1_forR!$AY277)</f>
        <v>6.8473300000000001E-5</v>
      </c>
      <c r="H355" s="13">
        <f t="shared" si="149"/>
        <v>146.08632974</v>
      </c>
      <c r="I355">
        <f t="shared" si="150"/>
        <v>933.35023993120001</v>
      </c>
      <c r="J355">
        <f t="shared" si="152"/>
        <v>30.550781330944712</v>
      </c>
      <c r="K355" s="6">
        <f t="shared" si="153"/>
        <v>59.879531408651637</v>
      </c>
      <c r="M355" s="2">
        <f>'rockfish harvests'!O363</f>
        <v>4673.8778957907616</v>
      </c>
      <c r="N355">
        <f>'rockfish harvests'!P363</f>
        <v>2545998.4255660125</v>
      </c>
      <c r="O355">
        <f>IF([2]species_comp_Region1_forR!$D299&gt;49,[2]species_comp_Region1_forR!$AR299,[2]species_comp_Region1_forR!$AT299)</f>
        <v>1.6819572000000001E-2</v>
      </c>
      <c r="P355">
        <f>IF([2]species_comp_Region1_forR!$D299&gt;49,[2]species_comp_Region1_forR!$AS299,[2]species_comp_Region1_forR!$AU299)</f>
        <v>2.5324200000000001E-5</v>
      </c>
      <c r="Q355" s="13">
        <f t="shared" si="205"/>
        <v>78.612625787461212</v>
      </c>
      <c r="R355" s="14">
        <f t="shared" si="206"/>
        <v>1208.9930522805346</v>
      </c>
      <c r="S355">
        <f t="shared" si="154"/>
        <v>34.770577393545459</v>
      </c>
      <c r="T355" s="6">
        <f t="shared" si="155"/>
        <v>68.150331691349095</v>
      </c>
      <c r="V355" s="13">
        <f t="shared" si="151"/>
        <v>224.69895552746121</v>
      </c>
      <c r="W355">
        <f t="shared" si="151"/>
        <v>2142.3432922117345</v>
      </c>
      <c r="X355">
        <f t="shared" si="156"/>
        <v>46.285454434538444</v>
      </c>
      <c r="Y355" s="6">
        <f t="shared" si="157"/>
        <v>90.719490691695356</v>
      </c>
      <c r="Z355" s="14">
        <f t="shared" si="126"/>
        <v>0.20598873869211975</v>
      </c>
    </row>
    <row r="356" spans="1:26" x14ac:dyDescent="0.25">
      <c r="A356" t="str">
        <f>'rockfish harvests'!A364</f>
        <v>SE</v>
      </c>
      <c r="B356">
        <f>'rockfish harvests'!B364</f>
        <v>2010</v>
      </c>
      <c r="C356" t="str">
        <f>'rockfish harvests'!C364</f>
        <v>SSEO</v>
      </c>
      <c r="D356">
        <f>'rockfish harvests'!D364</f>
        <v>12415</v>
      </c>
      <c r="E356">
        <f>'YE harvest'!E365</f>
        <v>4993</v>
      </c>
      <c r="F356">
        <f>IF([2]species_comp_Region1_forR!$H278&gt;49,[2]species_comp_Region1_forR!$AV278,[2]species_comp_Region1_forR!$AX278)</f>
        <v>2.5641026000000001E-2</v>
      </c>
      <c r="G356">
        <f>IF([2]species_comp_Region1_forR!$H278&gt;49,[2]species_comp_Region1_forR!$AW278,[2]species_comp_Region1_forR!$AY278)</f>
        <v>3.5639899999999997E-5</v>
      </c>
      <c r="H356" s="13">
        <f t="shared" si="149"/>
        <v>128.02564281799999</v>
      </c>
      <c r="I356">
        <f t="shared" si="150"/>
        <v>888.50445335509994</v>
      </c>
      <c r="J356">
        <f t="shared" si="152"/>
        <v>29.807791822862356</v>
      </c>
      <c r="K356" s="6">
        <f t="shared" si="153"/>
        <v>58.42327197281022</v>
      </c>
      <c r="M356" s="2">
        <f>'rockfish harvests'!O364</f>
        <v>6016.1943054683579</v>
      </c>
      <c r="N356">
        <f>'rockfish harvests'!P364</f>
        <v>4218393.7471152442</v>
      </c>
      <c r="O356">
        <f>IF([2]species_comp_Region1_forR!$D300&gt;49,[2]species_comp_Region1_forR!$AR300,[2]species_comp_Region1_forR!$AT300)</f>
        <v>2.8097062999999999E-2</v>
      </c>
      <c r="P356">
        <f>IF([2]species_comp_Region1_forR!$D300&gt;49,[2]species_comp_Region1_forR!$AS300,[2]species_comp_Region1_forR!$AU300)</f>
        <v>3.4920199999999998E-5</v>
      </c>
      <c r="Q356" s="13">
        <f t="shared" si="205"/>
        <v>169.0373904209857</v>
      </c>
      <c r="R356" s="14">
        <f t="shared" si="206"/>
        <v>4446.8049428238637</v>
      </c>
      <c r="S356">
        <f t="shared" si="154"/>
        <v>66.684368054468834</v>
      </c>
      <c r="T356" s="6">
        <f t="shared" si="155"/>
        <v>130.70136138675892</v>
      </c>
      <c r="V356" s="13">
        <f t="shared" si="151"/>
        <v>297.06303323898567</v>
      </c>
      <c r="W356">
        <f t="shared" si="151"/>
        <v>5335.3093961789637</v>
      </c>
      <c r="X356">
        <f t="shared" si="156"/>
        <v>73.043202258519329</v>
      </c>
      <c r="Y356" s="6">
        <f t="shared" si="157"/>
        <v>143.16467642669789</v>
      </c>
      <c r="Z356" s="14">
        <f t="shared" si="126"/>
        <v>0.24588452309970341</v>
      </c>
    </row>
    <row r="357" spans="1:26" x14ac:dyDescent="0.25">
      <c r="A357" t="str">
        <f>'rockfish harvests'!A365</f>
        <v>SE</v>
      </c>
      <c r="B357">
        <f>'rockfish harvests'!B365</f>
        <v>2011</v>
      </c>
      <c r="C357" t="str">
        <f>'rockfish harvests'!C365</f>
        <v>SSEO</v>
      </c>
      <c r="D357">
        <f>'rockfish harvests'!D365</f>
        <v>11926</v>
      </c>
      <c r="E357">
        <f>'YE harvest'!E366</f>
        <v>3783</v>
      </c>
      <c r="F357">
        <f>IF([2]species_comp_Region1_forR!$H279&gt;49,[2]species_comp_Region1_forR!$AV279,[2]species_comp_Region1_forR!$AX279)</f>
        <v>6.3394682999999993E-2</v>
      </c>
      <c r="G357">
        <f>IF([2]species_comp_Region1_forR!$H279&gt;49,[2]species_comp_Region1_forR!$AW279,[2]species_comp_Region1_forR!$AY279)</f>
        <v>1.21672E-4</v>
      </c>
      <c r="H357" s="13">
        <f t="shared" si="149"/>
        <v>239.82208578899997</v>
      </c>
      <c r="I357">
        <f t="shared" si="150"/>
        <v>1741.2588208079999</v>
      </c>
      <c r="J357">
        <f t="shared" si="152"/>
        <v>41.728393460664165</v>
      </c>
      <c r="K357" s="6">
        <f t="shared" si="153"/>
        <v>81.787651182901769</v>
      </c>
      <c r="M357" s="2">
        <f>'rockfish harvests'!O365</f>
        <v>5499.8326454033777</v>
      </c>
      <c r="N357">
        <f>'rockfish harvests'!P365</f>
        <v>3434887.6393615259</v>
      </c>
      <c r="O357">
        <f>IF([2]species_comp_Region1_forR!$D301&gt;49,[2]species_comp_Region1_forR!$AR301,[2]species_comp_Region1_forR!$AT301)</f>
        <v>2.9354207E-2</v>
      </c>
      <c r="P357">
        <f>IF([2]species_comp_Region1_forR!$D301&gt;49,[2]species_comp_Region1_forR!$AS301,[2]species_comp_Region1_forR!$AU301)</f>
        <v>5.58677E-5</v>
      </c>
      <c r="Q357" s="13">
        <f t="shared" si="205"/>
        <v>161.44322593852834</v>
      </c>
      <c r="R357" s="14">
        <f t="shared" si="206"/>
        <v>4457.7336144201863</v>
      </c>
      <c r="S357">
        <f t="shared" si="154"/>
        <v>66.766261048677762</v>
      </c>
      <c r="T357" s="6">
        <f t="shared" si="155"/>
        <v>130.86187165540841</v>
      </c>
      <c r="V357" s="13">
        <f t="shared" si="151"/>
        <v>401.26531172752834</v>
      </c>
      <c r="W357">
        <f t="shared" si="151"/>
        <v>6198.992435228186</v>
      </c>
      <c r="X357">
        <f t="shared" si="156"/>
        <v>78.733680437460734</v>
      </c>
      <c r="Y357" s="6">
        <f t="shared" si="157"/>
        <v>154.31801365742302</v>
      </c>
      <c r="Z357" s="14">
        <f t="shared" si="126"/>
        <v>0.19621352291454328</v>
      </c>
    </row>
    <row r="358" spans="1:26" x14ac:dyDescent="0.25">
      <c r="A358" t="str">
        <f>'rockfish harvests'!A366</f>
        <v>SE</v>
      </c>
      <c r="B358">
        <f>'rockfish harvests'!B366</f>
        <v>2012</v>
      </c>
      <c r="C358" t="str">
        <f>'rockfish harvests'!C366</f>
        <v>SSEO</v>
      </c>
      <c r="D358">
        <f>'rockfish harvests'!D366</f>
        <v>14290</v>
      </c>
      <c r="E358">
        <f>'YE harvest'!E367</f>
        <v>4684</v>
      </c>
      <c r="F358">
        <f>IF([2]species_comp_Region1_forR!$H280&gt;49,[2]species_comp_Region1_forR!$AV280,[2]species_comp_Region1_forR!$AX280)</f>
        <v>5.1968503999999999E-2</v>
      </c>
      <c r="G358">
        <f>IF([2]species_comp_Region1_forR!$H280&gt;49,[2]species_comp_Region1_forR!$AW280,[2]species_comp_Region1_forR!$AY280)</f>
        <v>7.7709399999999998E-5</v>
      </c>
      <c r="H358" s="13">
        <f t="shared" si="149"/>
        <v>243.42047273599999</v>
      </c>
      <c r="I358">
        <f t="shared" si="150"/>
        <v>1704.9330458463999</v>
      </c>
      <c r="J358">
        <f t="shared" si="152"/>
        <v>41.290834889190599</v>
      </c>
      <c r="K358" s="6">
        <f t="shared" si="153"/>
        <v>80.930036382813569</v>
      </c>
      <c r="M358" s="2">
        <f>'rockfish harvests'!O366</f>
        <v>7211.4840486137473</v>
      </c>
      <c r="N358">
        <f>'rockfish harvests'!P366</f>
        <v>3512142.9566568048</v>
      </c>
      <c r="O358">
        <f>IF([2]species_comp_Region1_forR!$D302&gt;49,[2]species_comp_Region1_forR!$AR302,[2]species_comp_Region1_forR!$AT302)</f>
        <v>3.2679738999999999E-2</v>
      </c>
      <c r="P358">
        <f>IF([2]species_comp_Region1_forR!$D302&gt;49,[2]species_comp_Region1_forR!$AS302,[2]species_comp_Region1_forR!$AU302)</f>
        <v>5.1737799999999998E-5</v>
      </c>
      <c r="Q358" s="13">
        <f t="shared" si="205"/>
        <v>235.66941651136057</v>
      </c>
      <c r="R358" s="14">
        <f t="shared" si="206"/>
        <v>6259.7866717284078</v>
      </c>
      <c r="S358">
        <f t="shared" si="154"/>
        <v>79.118813639540932</v>
      </c>
      <c r="T358" s="6">
        <f t="shared" si="155"/>
        <v>155.07287473350021</v>
      </c>
      <c r="V358" s="13">
        <f t="shared" si="151"/>
        <v>479.08988924736059</v>
      </c>
      <c r="W358">
        <f t="shared" si="151"/>
        <v>7964.7197175748079</v>
      </c>
      <c r="X358">
        <f t="shared" si="156"/>
        <v>89.245278404937523</v>
      </c>
      <c r="Y358" s="6">
        <f t="shared" si="157"/>
        <v>174.92074567367754</v>
      </c>
      <c r="Z358" s="14">
        <f t="shared" si="126"/>
        <v>0.18628086379601924</v>
      </c>
    </row>
    <row r="359" spans="1:26" x14ac:dyDescent="0.25">
      <c r="A359" t="str">
        <f>'rockfish harvests'!A367</f>
        <v>SE</v>
      </c>
      <c r="B359">
        <f>'rockfish harvests'!B367</f>
        <v>2013</v>
      </c>
      <c r="C359" t="str">
        <f>'rockfish harvests'!C367</f>
        <v>SSEO</v>
      </c>
      <c r="D359">
        <f>'rockfish harvests'!D367</f>
        <v>15619</v>
      </c>
      <c r="E359">
        <f>'YE harvest'!E368</f>
        <v>4475</v>
      </c>
      <c r="F359">
        <f>IF([2]species_comp_Region1_forR!$H281&gt;49,[2]species_comp_Region1_forR!$AV281,[2]species_comp_Region1_forR!$AX281)</f>
        <v>5.5555555999999999E-2</v>
      </c>
      <c r="G359">
        <f>IF([2]species_comp_Region1_forR!$H281&gt;49,[2]species_comp_Region1_forR!$AW281,[2]species_comp_Region1_forR!$AY281)</f>
        <v>7.2975199999999999E-5</v>
      </c>
      <c r="H359" s="13">
        <f t="shared" si="149"/>
        <v>248.61111309999998</v>
      </c>
      <c r="I359">
        <f t="shared" si="150"/>
        <v>1461.3739894999999</v>
      </c>
      <c r="J359">
        <f t="shared" si="152"/>
        <v>38.227921595347034</v>
      </c>
      <c r="K359" s="6">
        <f t="shared" si="153"/>
        <v>74.926726326880186</v>
      </c>
      <c r="M359" s="2">
        <f>'rockfish harvests'!O367</f>
        <v>7064.6801916454569</v>
      </c>
      <c r="N359">
        <f>'rockfish harvests'!P367</f>
        <v>3429125.8906986257</v>
      </c>
      <c r="O359">
        <f>IF([2]species_comp_Region1_forR!$D303&gt;49,[2]species_comp_Region1_forR!$AR303,[2]species_comp_Region1_forR!$AT303)</f>
        <v>1.4736842E-2</v>
      </c>
      <c r="P359">
        <f>IF([2]species_comp_Region1_forR!$D303&gt;49,[2]species_comp_Region1_forR!$AS303,[2]species_comp_Region1_forR!$AU303)</f>
        <v>3.0632200000000001E-5</v>
      </c>
      <c r="Q359" s="13">
        <f t="shared" si="205"/>
        <v>104.11107576480882</v>
      </c>
      <c r="R359" s="14">
        <f t="shared" si="206"/>
        <v>2168.5211748188681</v>
      </c>
      <c r="S359">
        <f t="shared" si="154"/>
        <v>46.567383164816853</v>
      </c>
      <c r="T359" s="6">
        <f t="shared" si="155"/>
        <v>91.272071003041034</v>
      </c>
      <c r="V359" s="13">
        <f t="shared" si="151"/>
        <v>352.7221888648088</v>
      </c>
      <c r="W359">
        <f t="shared" si="151"/>
        <v>3629.895164318868</v>
      </c>
      <c r="X359">
        <f t="shared" si="156"/>
        <v>60.248611306144376</v>
      </c>
      <c r="Y359" s="6">
        <f t="shared" si="157"/>
        <v>118.08727816004297</v>
      </c>
      <c r="Z359" s="14">
        <f t="shared" si="126"/>
        <v>0.17081038054352865</v>
      </c>
    </row>
    <row r="360" spans="1:26" x14ac:dyDescent="0.25">
      <c r="A360" t="str">
        <f>'rockfish harvests'!A368</f>
        <v>SE</v>
      </c>
      <c r="B360">
        <f>'rockfish harvests'!B368</f>
        <v>2014</v>
      </c>
      <c r="C360" t="str">
        <f>'rockfish harvests'!C368</f>
        <v>SSEO</v>
      </c>
      <c r="D360">
        <f>'rockfish harvests'!D368</f>
        <v>18453</v>
      </c>
      <c r="E360">
        <f>'YE harvest'!E369</f>
        <v>5130</v>
      </c>
      <c r="F360">
        <f>IF([2]species_comp_Region1_forR!$H282&gt;49,[2]species_comp_Region1_forR!$AV282,[2]species_comp_Region1_forR!$AX282)</f>
        <v>4.2115573000000003E-2</v>
      </c>
      <c r="G360">
        <f>IF([2]species_comp_Region1_forR!$H282&gt;49,[2]species_comp_Region1_forR!$AW282,[2]species_comp_Region1_forR!$AY282)</f>
        <v>3.9550800000000001E-5</v>
      </c>
      <c r="H360" s="13">
        <f t="shared" si="149"/>
        <v>216.05288949000001</v>
      </c>
      <c r="I360">
        <f t="shared" si="150"/>
        <v>1040.85444852</v>
      </c>
      <c r="J360">
        <f t="shared" si="152"/>
        <v>32.262275935215733</v>
      </c>
      <c r="K360" s="6">
        <f t="shared" si="153"/>
        <v>63.234060833022838</v>
      </c>
      <c r="M360" s="2">
        <f>'rockfish harvests'!O368</f>
        <v>5969.0572591587515</v>
      </c>
      <c r="N360">
        <f>'rockfish harvests'!P368</f>
        <v>5648205.4842977012</v>
      </c>
      <c r="O360">
        <f>IF([2]species_comp_Region1_forR!$D304&gt;49,[2]species_comp_Region1_forR!$AR304,[2]species_comp_Region1_forR!$AT304)</f>
        <v>2.7508090999999998E-2</v>
      </c>
      <c r="P360">
        <f>IF([2]species_comp_Region1_forR!$D304&gt;49,[2]species_comp_Region1_forR!$AS304,[2]species_comp_Region1_forR!$AU304)</f>
        <v>4.3357199999999999E-5</v>
      </c>
      <c r="Q360" s="13">
        <f t="shared" si="205"/>
        <v>164.1973702691495</v>
      </c>
      <c r="R360" s="14">
        <f t="shared" si="206"/>
        <v>5573.8804973655178</v>
      </c>
      <c r="S360">
        <f t="shared" si="154"/>
        <v>74.658425494819525</v>
      </c>
      <c r="T360" s="6">
        <f t="shared" si="155"/>
        <v>146.33051396984627</v>
      </c>
      <c r="V360" s="13">
        <f t="shared" si="151"/>
        <v>380.25025975914951</v>
      </c>
      <c r="W360">
        <f t="shared" si="151"/>
        <v>6614.7349458855178</v>
      </c>
      <c r="X360">
        <f t="shared" si="156"/>
        <v>81.331020809316769</v>
      </c>
      <c r="Y360" s="6">
        <f t="shared" si="157"/>
        <v>159.40880078626085</v>
      </c>
      <c r="Z360" s="14">
        <f t="shared" si="126"/>
        <v>0.21388814003922529</v>
      </c>
    </row>
    <row r="361" spans="1:26" x14ac:dyDescent="0.25">
      <c r="A361" t="str">
        <f>'rockfish harvests'!A369</f>
        <v>SE</v>
      </c>
      <c r="B361">
        <f>'rockfish harvests'!B369</f>
        <v>2015</v>
      </c>
      <c r="C361" t="str">
        <f>'rockfish harvests'!C369</f>
        <v>SSEO</v>
      </c>
      <c r="D361">
        <f>'rockfish harvests'!D369</f>
        <v>17669</v>
      </c>
      <c r="E361">
        <f>'YE harvest'!E370</f>
        <v>4920</v>
      </c>
      <c r="F361">
        <f>IF([2]species_comp_Region1_forR!$H283&gt;49,[2]species_comp_Region1_forR!$AV283,[2]species_comp_Region1_forR!$AX283)</f>
        <v>3.6087369000000001E-2</v>
      </c>
      <c r="G361">
        <f>IF([2]species_comp_Region1_forR!$H283&gt;49,[2]species_comp_Region1_forR!$AW283,[2]species_comp_Region1_forR!$AY283)</f>
        <v>3.3065699999999998E-5</v>
      </c>
      <c r="H361" s="13">
        <f t="shared" si="149"/>
        <v>177.54985548000002</v>
      </c>
      <c r="I361">
        <f t="shared" si="150"/>
        <v>800.40156047999994</v>
      </c>
      <c r="J361">
        <f t="shared" si="152"/>
        <v>28.291369010353669</v>
      </c>
      <c r="K361" s="6">
        <f t="shared" si="153"/>
        <v>55.451083260293188</v>
      </c>
      <c r="M361" s="2">
        <f>'rockfish harvests'!O369</f>
        <v>15546.524335519505</v>
      </c>
      <c r="N361">
        <f>'rockfish harvests'!P369</f>
        <v>23591989.047447968</v>
      </c>
      <c r="O361">
        <f>IF([2]species_comp_Region1_forR!$D305&gt;49,[2]species_comp_Region1_forR!$AR305,[2]species_comp_Region1_forR!$AT305)</f>
        <v>3.2352941000000003E-2</v>
      </c>
      <c r="P361">
        <f>IF([2]species_comp_Region1_forR!$D305&gt;49,[2]species_comp_Region1_forR!$AS305,[2]species_comp_Region1_forR!$AU305)</f>
        <v>4.6106400000000003E-5</v>
      </c>
      <c r="Q361" s="13">
        <f t="shared" si="205"/>
        <v>502.97578458212683</v>
      </c>
      <c r="R361" s="14">
        <f t="shared" si="206"/>
        <v>34749.954581781349</v>
      </c>
      <c r="S361">
        <f t="shared" si="154"/>
        <v>186.4133970018822</v>
      </c>
      <c r="T361" s="6">
        <f t="shared" si="155"/>
        <v>365.3702581236891</v>
      </c>
      <c r="V361" s="13">
        <f t="shared" si="151"/>
        <v>680.52564006212685</v>
      </c>
      <c r="W361">
        <f t="shared" si="151"/>
        <v>35550.356142261349</v>
      </c>
      <c r="X361">
        <f t="shared" si="156"/>
        <v>188.54802078585007</v>
      </c>
      <c r="Y361" s="6">
        <f t="shared" si="157"/>
        <v>369.55412074026611</v>
      </c>
      <c r="Z361" s="14">
        <f t="shared" si="126"/>
        <v>0.27706233194775298</v>
      </c>
    </row>
    <row r="362" spans="1:26" x14ac:dyDescent="0.25">
      <c r="A362" t="str">
        <f>'rockfish harvests'!A370</f>
        <v>SE</v>
      </c>
      <c r="B362">
        <f>'rockfish harvests'!B370</f>
        <v>2016</v>
      </c>
      <c r="C362" t="str">
        <f>'rockfish harvests'!C370</f>
        <v>SSEO</v>
      </c>
      <c r="D362">
        <f>'rockfish harvests'!D370</f>
        <v>17707</v>
      </c>
      <c r="E362">
        <f>'YE harvest'!E371</f>
        <v>4149</v>
      </c>
      <c r="F362">
        <f>IF([2]species_comp_Region1_forR!$H284&gt;49,[2]species_comp_Region1_forR!$AV284,[2]species_comp_Region1_forR!$AX284)</f>
        <v>5.2576235999999998E-2</v>
      </c>
      <c r="G362">
        <f>IF([2]species_comp_Region1_forR!$H284&gt;49,[2]species_comp_Region1_forR!$AW284,[2]species_comp_Region1_forR!$AY284)</f>
        <v>5.2433699999999999E-5</v>
      </c>
      <c r="H362" s="13">
        <f t="shared" si="149"/>
        <v>218.138803164</v>
      </c>
      <c r="I362">
        <f t="shared" si="150"/>
        <v>902.6042509737</v>
      </c>
      <c r="J362">
        <f t="shared" si="152"/>
        <v>30.043372829522653</v>
      </c>
      <c r="K362" s="6">
        <f t="shared" si="153"/>
        <v>58.885010745864399</v>
      </c>
      <c r="M362" s="2">
        <f>'rockfish harvests'!O370</f>
        <v>9530.7617028217246</v>
      </c>
      <c r="N362">
        <f>'rockfish harvests'!P370</f>
        <v>11849070.145310419</v>
      </c>
      <c r="O362">
        <f>IF([2]species_comp_Region1_forR!$D306&gt;49,[2]species_comp_Region1_forR!$AR306,[2]species_comp_Region1_forR!$AT306)</f>
        <v>1.1049724E-2</v>
      </c>
      <c r="P362">
        <f>IF([2]species_comp_Region1_forR!$D306&gt;49,[2]species_comp_Region1_forR!$AS306,[2]species_comp_Region1_forR!$AU306)</f>
        <v>3.0270400000000001E-5</v>
      </c>
      <c r="Q362" s="13">
        <f t="shared" si="205"/>
        <v>105.31228632595008</v>
      </c>
      <c r="R362" s="14">
        <f t="shared" si="206"/>
        <v>3837.6771770838823</v>
      </c>
      <c r="S362">
        <f t="shared" si="154"/>
        <v>61.948988507350805</v>
      </c>
      <c r="T362" s="6">
        <f t="shared" si="155"/>
        <v>121.42001747440757</v>
      </c>
      <c r="V362" s="13">
        <f t="shared" si="151"/>
        <v>323.45108948995005</v>
      </c>
      <c r="W362">
        <f t="shared" si="151"/>
        <v>4740.2814280575822</v>
      </c>
      <c r="X362">
        <f t="shared" si="156"/>
        <v>68.849701728167148</v>
      </c>
      <c r="Y362" s="6">
        <f t="shared" si="157"/>
        <v>134.94541538720762</v>
      </c>
      <c r="Z362" s="14">
        <f>X362/V362</f>
        <v>0.21285969955066847</v>
      </c>
    </row>
    <row r="363" spans="1:26" x14ac:dyDescent="0.25">
      <c r="A363" t="str">
        <f>'rockfish harvests'!A371</f>
        <v>SE</v>
      </c>
      <c r="B363">
        <f>'rockfish harvests'!B371</f>
        <v>2017</v>
      </c>
      <c r="C363" t="str">
        <f>'rockfish harvests'!C371</f>
        <v>SSEO</v>
      </c>
      <c r="D363">
        <f>'rockfish harvests'!D371</f>
        <v>20760</v>
      </c>
      <c r="E363">
        <f>'YE harvest'!E372</f>
        <v>4370</v>
      </c>
      <c r="F363">
        <f>IF([2]species_comp_Region1_forR!$H285&gt;49,[2]species_comp_Region1_forR!$AV285,[2]species_comp_Region1_forR!$AX285)</f>
        <v>0.105072464</v>
      </c>
      <c r="G363">
        <f>IF([2]species_comp_Region1_forR!$H285&gt;49,[2]species_comp_Region1_forR!$AW285,[2]species_comp_Region1_forR!$AY285)</f>
        <v>1.1370300000000001E-4</v>
      </c>
      <c r="H363" s="13">
        <f t="shared" si="149"/>
        <v>459.16666768000005</v>
      </c>
      <c r="I363">
        <f t="shared" si="150"/>
        <v>2171.3748207000003</v>
      </c>
      <c r="J363">
        <f t="shared" si="152"/>
        <v>46.598013055279516</v>
      </c>
      <c r="K363" s="6">
        <f t="shared" si="153"/>
        <v>91.332105588347844</v>
      </c>
      <c r="M363" s="2">
        <f>'rockfish harvests'!O371</f>
        <v>7420.2213327054378</v>
      </c>
      <c r="N363">
        <f>'rockfish harvests'!P371</f>
        <v>9465736.8938175309</v>
      </c>
      <c r="O363">
        <f>IF([2]species_comp_Region1_forR!$D307&gt;49,[2]species_comp_Region1_forR!$AR307,[2]species_comp_Region1_forR!$AT307)</f>
        <v>5.6756756999999998E-2</v>
      </c>
      <c r="P363">
        <f>IF([2]species_comp_Region1_forR!$D307&gt;49,[2]species_comp_Region1_forR!$AS307,[2]species_comp_Region1_forR!$AU307)</f>
        <v>1.4508199999999999E-4</v>
      </c>
      <c r="Q363" s="13">
        <f t="shared" si="205"/>
        <v>421.1476990665787</v>
      </c>
      <c r="R363" s="14">
        <f t="shared" si="206"/>
        <v>37107.11829040794</v>
      </c>
      <c r="S363">
        <f t="shared" si="154"/>
        <v>192.63208011753375</v>
      </c>
      <c r="T363" s="6">
        <f t="shared" si="155"/>
        <v>377.55887703036615</v>
      </c>
      <c r="V363" s="13">
        <f t="shared" si="151"/>
        <v>880.3143667465788</v>
      </c>
      <c r="W363">
        <f t="shared" si="151"/>
        <v>39278.493111107942</v>
      </c>
      <c r="X363">
        <f t="shared" si="156"/>
        <v>198.18802464101594</v>
      </c>
      <c r="Y363" s="6">
        <f t="shared" si="157"/>
        <v>388.44852829639126</v>
      </c>
      <c r="Z363" s="14">
        <f>X363/V363</f>
        <v>0.22513323890585724</v>
      </c>
    </row>
    <row r="364" spans="1:26" x14ac:dyDescent="0.25">
      <c r="A364" t="str">
        <f>'rockfish harvests'!A372</f>
        <v>SE</v>
      </c>
      <c r="B364">
        <f>'rockfish harvests'!B372</f>
        <v>2018</v>
      </c>
      <c r="C364" t="str">
        <f>'rockfish harvests'!C372</f>
        <v>SSEO</v>
      </c>
      <c r="D364">
        <f>'rockfish harvests'!D372</f>
        <v>26949</v>
      </c>
      <c r="E364">
        <f>'YE harvest'!E373</f>
        <v>4535</v>
      </c>
      <c r="F364">
        <f>IF([2]species_comp_Region1_forR!$H286&gt;49,[2]species_comp_Region1_forR!$AV286,[2]species_comp_Region1_forR!$AX286)</f>
        <v>0.13649025100000001</v>
      </c>
      <c r="G364">
        <f>IF([2]species_comp_Region1_forR!$H286&gt;49,[2]species_comp_Region1_forR!$AW286,[2]species_comp_Region1_forR!$AY286)</f>
        <v>1.6437999999999999E-4</v>
      </c>
      <c r="H364" s="13">
        <f t="shared" si="149"/>
        <v>618.98328828500007</v>
      </c>
      <c r="I364">
        <f t="shared" si="150"/>
        <v>3380.6760654999998</v>
      </c>
      <c r="J364">
        <f t="shared" si="152"/>
        <v>58.143581464337061</v>
      </c>
      <c r="K364" s="6">
        <f t="shared" si="153"/>
        <v>113.96141967010064</v>
      </c>
      <c r="M364" s="2">
        <f>'rockfish harvests'!O372</f>
        <v>12867.635899450121</v>
      </c>
      <c r="N364">
        <f>'rockfish harvests'!P372</f>
        <v>12734528.822682161</v>
      </c>
      <c r="O364">
        <f>IF([2]species_comp_Region1_forR!$D308&gt;49,[2]species_comp_Region1_forR!$AR308,[2]species_comp_Region1_forR!$AT308)</f>
        <v>2.5117739E-2</v>
      </c>
      <c r="P364">
        <f>IF([2]species_comp_Region1_forR!$D308&gt;49,[2]species_comp_Region1_forR!$AS308,[2]species_comp_Region1_forR!$AU308)</f>
        <v>3.8501299999999997E-5</v>
      </c>
      <c r="Q364" s="13">
        <f t="shared" si="205"/>
        <v>323.20592006941837</v>
      </c>
      <c r="R364" s="14">
        <f t="shared" si="206"/>
        <v>13918.821980160292</v>
      </c>
      <c r="S364">
        <f t="shared" si="154"/>
        <v>117.97805719777001</v>
      </c>
      <c r="T364" s="6">
        <f t="shared" si="155"/>
        <v>231.23699210762922</v>
      </c>
      <c r="V364" s="13">
        <f t="shared" si="151"/>
        <v>942.1892083544185</v>
      </c>
      <c r="W364">
        <f t="shared" si="151"/>
        <v>17299.498045660293</v>
      </c>
      <c r="X364">
        <f t="shared" si="156"/>
        <v>131.52755622172981</v>
      </c>
      <c r="Y364" s="6">
        <f t="shared" si="157"/>
        <v>257.79401019459044</v>
      </c>
      <c r="Z364" s="14">
        <f>X364/V364</f>
        <v>0.13959781650593239</v>
      </c>
    </row>
    <row r="365" spans="1:26" x14ac:dyDescent="0.25">
      <c r="A365" t="str">
        <f>'rockfish harvests'!A373</f>
        <v>SE</v>
      </c>
      <c r="B365">
        <f>'rockfish harvests'!B373</f>
        <v>2019</v>
      </c>
      <c r="C365" t="str">
        <f>'rockfish harvests'!C373</f>
        <v>SSEO</v>
      </c>
      <c r="D365">
        <f>'rockfish harvests'!D373</f>
        <v>22912</v>
      </c>
      <c r="E365">
        <f>'YE harvest'!E374</f>
        <v>3570</v>
      </c>
      <c r="F365">
        <v>5.1446945337620578E-2</v>
      </c>
      <c r="G365">
        <v>7.858318382133408E-5</v>
      </c>
      <c r="H365" s="13">
        <f>E365*F365</f>
        <v>183.66559485530547</v>
      </c>
      <c r="I365">
        <f>(E365^2)*G365</f>
        <v>1001.5348194845208</v>
      </c>
      <c r="M365" s="2">
        <f>'rockfish harvests'!O373</f>
        <v>16359.985999299963</v>
      </c>
      <c r="N365">
        <f>'rockfish harvests'!P373</f>
        <v>28189042.115738388</v>
      </c>
      <c r="O365">
        <v>4.2168674698795178E-2</v>
      </c>
      <c r="P365">
        <v>8.1268566545155674E-5</v>
      </c>
      <c r="Q365" s="13">
        <f>M365*O365</f>
        <v>689.87892768132372</v>
      </c>
      <c r="R365" s="14">
        <f>(M365^2)*P365+(O365^2)*N365-(P365*N365)</f>
        <v>69586.252724756487</v>
      </c>
      <c r="S365">
        <f>SQRT(R365)</f>
        <v>263.79206342260659</v>
      </c>
      <c r="T365" s="6">
        <f>(1.96*S365)</f>
        <v>517.03244430830887</v>
      </c>
      <c r="V365" s="13">
        <f>Q365+H365</f>
        <v>873.54452253662919</v>
      </c>
      <c r="W365">
        <f>R365+I365</f>
        <v>70587.787544241</v>
      </c>
      <c r="X365">
        <f>SQRT(W365)</f>
        <v>265.68362302603634</v>
      </c>
      <c r="Y365" s="6">
        <f>(1.96*X365)</f>
        <v>520.73990113103127</v>
      </c>
      <c r="Z365" s="14">
        <f>X365/V365</f>
        <v>0.30414434086832226</v>
      </c>
    </row>
    <row r="366" spans="1:26" x14ac:dyDescent="0.25">
      <c r="A366" t="str">
        <f>'rockfish harvests'!A374</f>
        <v>SE</v>
      </c>
      <c r="B366">
        <f>'rockfish harvests'!B374</f>
        <v>2020</v>
      </c>
      <c r="C366" t="str">
        <f>'rockfish harvests'!C374</f>
        <v>SSEO</v>
      </c>
      <c r="D366">
        <f>'rockfish harvests'!D374</f>
        <v>12619</v>
      </c>
      <c r="E366">
        <f>'YE harvest'!E375</f>
        <v>170</v>
      </c>
      <c r="F366" s="26" t="str">
        <f>F241</f>
        <v>0.992647058823529</v>
      </c>
      <c r="G366" s="26" t="str">
        <f>G241</f>
        <v>2.28446805399873e-06</v>
      </c>
      <c r="H366" s="13">
        <f t="shared" ref="H366:H367" si="207">E366*F366</f>
        <v>168.74999999999994</v>
      </c>
      <c r="I366">
        <f t="shared" ref="I366:I367" si="208">(E366^2)*G366</f>
        <v>6.6021126760563306E-2</v>
      </c>
      <c r="J366">
        <f t="shared" ref="J366" si="209">SQRT(I366)</f>
        <v>0.25694576618532422</v>
      </c>
      <c r="K366" s="6">
        <f t="shared" ref="K366" si="210">(1.96*J366)</f>
        <v>0.5036137017232355</v>
      </c>
      <c r="M366" s="2">
        <f>'rockfish harvests'!O374</f>
        <v>2769.6225355790575</v>
      </c>
      <c r="N366">
        <f>'rockfish harvests'!P374</f>
        <v>1279455.8924929332</v>
      </c>
      <c r="O366">
        <v>1.5151515151515152E-2</v>
      </c>
      <c r="P366">
        <v>7.574592253872365E-5</v>
      </c>
      <c r="Q366" s="13">
        <f t="shared" ref="Q366:Q367" si="211">M366*O366</f>
        <v>41.9639778118039</v>
      </c>
      <c r="R366" s="14">
        <f t="shared" ref="R366:R367" si="212">(M366^2)*P366+(O366^2)*N366-(P366*N366)</f>
        <v>777.8415932889651</v>
      </c>
      <c r="S366">
        <f t="shared" ref="S366:S367" si="213">SQRT(R366)</f>
        <v>27.889811639539001</v>
      </c>
      <c r="T366" s="6">
        <f t="shared" ref="T366:T367" si="214">(1.96*S366)</f>
        <v>54.664030813496439</v>
      </c>
      <c r="V366" s="13">
        <f t="shared" ref="V366:V367" si="215">Q366+H366</f>
        <v>210.71397781180383</v>
      </c>
      <c r="W366">
        <f t="shared" ref="W366:W367" si="216">R366+I366</f>
        <v>777.90761441572567</v>
      </c>
      <c r="X366">
        <f t="shared" ref="X366:X367" si="217">SQRT(W366)</f>
        <v>27.890995220962012</v>
      </c>
      <c r="Y366" s="6">
        <f t="shared" ref="Y366:Y367" si="218">(1.96*X366)</f>
        <v>54.666350633085543</v>
      </c>
      <c r="Z366" s="14">
        <f>X366/V366</f>
        <v>0.13236423853130644</v>
      </c>
    </row>
    <row r="367" spans="1:26" x14ac:dyDescent="0.25">
      <c r="A367" t="str">
        <f>'rockfish harvests'!A375</f>
        <v>SE</v>
      </c>
      <c r="B367">
        <f>'rockfish harvests'!B375</f>
        <v>2021</v>
      </c>
      <c r="C367" t="str">
        <f>'rockfish harvests'!C375</f>
        <v>SSEO</v>
      </c>
      <c r="D367">
        <f>'rockfish harvests'!D375</f>
        <v>29399</v>
      </c>
      <c r="E367">
        <f>'YE harvest'!E376</f>
        <v>361</v>
      </c>
      <c r="F367" t="s">
        <v>324</v>
      </c>
      <c r="G367" t="s">
        <v>325</v>
      </c>
      <c r="H367" s="13">
        <f t="shared" si="207"/>
        <v>355.76811594202911</v>
      </c>
      <c r="I367">
        <f t="shared" si="208"/>
        <v>0.53687266632001074</v>
      </c>
      <c r="M367" s="2">
        <f>'rockfish harvests'!O375</f>
        <v>1670.0870000715477</v>
      </c>
      <c r="N367">
        <f>'rockfish harvests'!P375</f>
        <v>492653.23167840909</v>
      </c>
      <c r="O367" t="s">
        <v>274</v>
      </c>
      <c r="P367" t="s">
        <v>275</v>
      </c>
      <c r="Q367" s="13">
        <f t="shared" si="211"/>
        <v>58.599543862159543</v>
      </c>
      <c r="R367" s="14">
        <f t="shared" si="212"/>
        <v>1063.898949388175</v>
      </c>
      <c r="S367">
        <f t="shared" si="213"/>
        <v>32.617463871186779</v>
      </c>
      <c r="T367" s="6">
        <f t="shared" si="214"/>
        <v>63.930229187526088</v>
      </c>
      <c r="V367" s="13">
        <f t="shared" si="215"/>
        <v>414.36765980418863</v>
      </c>
      <c r="W367">
        <f t="shared" si="216"/>
        <v>1064.435822054495</v>
      </c>
      <c r="X367">
        <f t="shared" si="217"/>
        <v>32.625692667811592</v>
      </c>
      <c r="Y367" s="6">
        <f t="shared" si="218"/>
        <v>63.946357628910718</v>
      </c>
      <c r="Z367" s="14">
        <f t="shared" ref="Z367" si="219">X367/V367</f>
        <v>7.8736097993817894E-2</v>
      </c>
    </row>
    <row r="368" spans="1:26" x14ac:dyDescent="0.25">
      <c r="A368" t="str">
        <f>'rockfish harvests'!A376</f>
        <v>SE</v>
      </c>
      <c r="B368">
        <f>'rockfish harvests'!B376</f>
        <v>2022</v>
      </c>
      <c r="C368" t="str">
        <f>'rockfish harvests'!C376</f>
        <v>SSEO</v>
      </c>
      <c r="D368">
        <f>'rockfish harvests'!D376</f>
        <v>38456</v>
      </c>
      <c r="E368">
        <f>'YE harvest'!E377</f>
        <v>918</v>
      </c>
      <c r="F368" t="s">
        <v>272</v>
      </c>
      <c r="G368" t="s">
        <v>273</v>
      </c>
      <c r="H368" s="13">
        <f t="shared" ref="H368" si="220">E368*F368</f>
        <v>918</v>
      </c>
      <c r="I368">
        <f t="shared" ref="I368" si="221">(E368^2)*G368</f>
        <v>0</v>
      </c>
      <c r="M368" s="2">
        <f>'rockfish harvests'!O376</f>
        <v>6059.5121025154294</v>
      </c>
      <c r="N368">
        <f>'rockfish harvests'!P376</f>
        <v>7024339.3858510992</v>
      </c>
      <c r="O368" t="s">
        <v>276</v>
      </c>
      <c r="P368" t="s">
        <v>277</v>
      </c>
      <c r="Q368" s="13">
        <f t="shared" ref="Q368" si="222">M368*O368</f>
        <v>447.74719969325861</v>
      </c>
      <c r="R368" s="14">
        <f t="shared" ref="R368" si="223">(M368^2)*P368+(O368^2)*N368-(P368*N368)</f>
        <v>48411.930722469086</v>
      </c>
      <c r="S368">
        <f t="shared" ref="S368" si="224">SQRT(R368)</f>
        <v>220.02711360754856</v>
      </c>
      <c r="V368" s="13">
        <f t="shared" ref="V368" si="225">Q368+H368</f>
        <v>1365.7471996932586</v>
      </c>
      <c r="W368">
        <f t="shared" ref="W368" si="226">R368+I368</f>
        <v>48411.930722469086</v>
      </c>
      <c r="X368">
        <f t="shared" ref="X368" si="227">SQRT(W368)</f>
        <v>220.02711360754856</v>
      </c>
      <c r="Y368" s="6">
        <f t="shared" ref="Y368" si="228">(1.96*X368)</f>
        <v>431.25314267079517</v>
      </c>
      <c r="Z368" s="14">
        <f t="shared" ref="Z368" si="229">X368/V368</f>
        <v>0.1611038365350233</v>
      </c>
    </row>
  </sheetData>
  <autoFilter ref="A2:AD368" xr:uid="{7C3C3BBC-85DF-4000-BA52-EEB09BE819B8}">
    <filterColumn colId="0">
      <filters>
        <filter val="SE"/>
      </filters>
    </filterColumn>
    <filterColumn colId="2">
      <filters>
        <filter val="SSEO"/>
      </filters>
    </filterColumn>
  </autoFilter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rockfish harvests</vt:lpstr>
      <vt:lpstr>rf harv figs</vt:lpstr>
      <vt:lpstr>BRF harvest</vt:lpstr>
      <vt:lpstr>brf harv figs</vt:lpstr>
      <vt:lpstr>YE harvest</vt:lpstr>
      <vt:lpstr>ye harv figs</vt:lpstr>
      <vt:lpstr>DSR harvest</vt:lpstr>
      <vt:lpstr>Slope harvest</vt:lpstr>
      <vt:lpstr>RF harv Kodiak</vt:lpstr>
      <vt:lpstr>RF harv Central</vt:lpstr>
      <vt:lpstr>RF harv SEAK</vt:lpstr>
      <vt:lpstr>SEAK est vs SWHS</vt:lpstr>
      <vt:lpstr>logbook v guiSWHS</vt:lpstr>
      <vt:lpstr>log vs totalSWHS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Howard</dc:creator>
  <cp:lastModifiedBy>Joy, Philip J (DFG)</cp:lastModifiedBy>
  <dcterms:created xsi:type="dcterms:W3CDTF">2019-11-04T20:52:41Z</dcterms:created>
  <dcterms:modified xsi:type="dcterms:W3CDTF">2024-09-23T17:11:03Z</dcterms:modified>
</cp:coreProperties>
</file>