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SRI\SF harvest reconstruction\BBs_last_go_from_fbiv_folder\SpeciesComp\"/>
    </mc:Choice>
  </mc:AlternateContent>
  <xr:revisionPtr revIDLastSave="0" documentId="13_ncr:1_{0E0A4471-F637-4E16-8E2C-10C09B4E053A}" xr6:coauthVersionLast="47" xr6:coauthVersionMax="47" xr10:uidLastSave="{00000000-0000-0000-0000-000000000000}"/>
  <bookViews>
    <workbookView xWindow="-28125" yWindow="2370" windowWidth="26550" windowHeight="14640" activeTab="1" xr2:uid="{35BF10F1-A325-4766-B5B6-AEF8777C57D6}"/>
  </bookViews>
  <sheets>
    <sheet name="raw samples" sheetId="1" r:id="rId1"/>
    <sheet name="species_comp_Region2_forR" sheetId="4" r:id="rId2"/>
    <sheet name="CFMU samples by port" sheetId="3" r:id="rId3"/>
    <sheet name="R2 guide wt multiport" sheetId="5" r:id="rId4"/>
    <sheet name="R2 unguide wt multiport" sheetId="6" r:id="rId5"/>
  </sheets>
  <definedNames>
    <definedName name="_xlnm._FilterDatabase" localSheetId="1" hidden="1">species_comp_Region2_forR!$A$1:$AK$481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21" i="4" l="1"/>
  <c r="AD421" i="4"/>
  <c r="AB421" i="4"/>
  <c r="W421" i="4"/>
  <c r="V421" i="4"/>
  <c r="S421" i="4"/>
  <c r="R421" i="4"/>
  <c r="O421" i="4"/>
  <c r="N421" i="4"/>
  <c r="K421" i="4"/>
  <c r="J421" i="4"/>
  <c r="AE361" i="4"/>
  <c r="AD361" i="4"/>
  <c r="AA361" i="4"/>
  <c r="Z361" i="4"/>
  <c r="W361" i="4"/>
  <c r="V361" i="4"/>
  <c r="S361" i="4"/>
  <c r="R361" i="4"/>
  <c r="O361" i="4"/>
  <c r="N361" i="4"/>
  <c r="K361" i="4"/>
  <c r="J361" i="4"/>
  <c r="AE241" i="4"/>
  <c r="AD241" i="4"/>
  <c r="AA241" i="4"/>
  <c r="Z241" i="4"/>
  <c r="W241" i="4"/>
  <c r="V241" i="4"/>
  <c r="S241" i="4"/>
  <c r="R241" i="4"/>
  <c r="O241" i="4"/>
  <c r="N241" i="4"/>
  <c r="K241" i="4"/>
  <c r="AP57" i="6"/>
  <c r="AQ57" i="6"/>
  <c r="AR57" i="6"/>
  <c r="AS57" i="6"/>
  <c r="AT57" i="6"/>
  <c r="AU57" i="6"/>
  <c r="J241" i="4"/>
  <c r="Q57" i="6" l="1"/>
  <c r="R57" i="6" s="1"/>
  <c r="U57" i="6"/>
  <c r="Y57" i="6" s="1"/>
  <c r="Q115" i="6"/>
  <c r="R115" i="6"/>
  <c r="S115" i="6"/>
  <c r="AA115" i="6" s="1"/>
  <c r="U115" i="6"/>
  <c r="V115" i="6"/>
  <c r="W115" i="6"/>
  <c r="Q86" i="6"/>
  <c r="Y86" i="6" s="1"/>
  <c r="R86" i="6"/>
  <c r="S86" i="6"/>
  <c r="U86" i="6"/>
  <c r="V86" i="6"/>
  <c r="W86" i="6"/>
  <c r="Z86" i="6"/>
  <c r="AG86" i="6" s="1"/>
  <c r="AE211" i="4"/>
  <c r="AE391" i="4"/>
  <c r="AA391" i="4"/>
  <c r="W391" i="4"/>
  <c r="O391" i="4"/>
  <c r="S391" i="4"/>
  <c r="K391" i="4"/>
  <c r="AD391" i="4"/>
  <c r="Z391" i="4"/>
  <c r="V391" i="4"/>
  <c r="R391" i="4"/>
  <c r="N391" i="4"/>
  <c r="J391" i="4"/>
  <c r="AE331" i="4"/>
  <c r="AA331" i="4"/>
  <c r="S331" i="4"/>
  <c r="O331" i="4"/>
  <c r="K331" i="4"/>
  <c r="AD331" i="4"/>
  <c r="Z331" i="4"/>
  <c r="V331" i="4"/>
  <c r="R331" i="4"/>
  <c r="N331" i="4"/>
  <c r="J331" i="4"/>
  <c r="AA211" i="4"/>
  <c r="W211" i="4"/>
  <c r="S211" i="4"/>
  <c r="O211" i="4"/>
  <c r="K211" i="4"/>
  <c r="AD211" i="4"/>
  <c r="Z211" i="4"/>
  <c r="V211" i="4"/>
  <c r="R211" i="4"/>
  <c r="N211" i="4"/>
  <c r="J211" i="4"/>
  <c r="G27" i="6"/>
  <c r="I27" i="6"/>
  <c r="AC86" i="6" l="1"/>
  <c r="AD86" i="6"/>
  <c r="AF86" i="6"/>
  <c r="AE86" i="6"/>
  <c r="AA86" i="6"/>
  <c r="Y115" i="6"/>
  <c r="AD57" i="6"/>
  <c r="AC57" i="6"/>
  <c r="AE57" i="6"/>
  <c r="AF57" i="6"/>
  <c r="V57" i="6"/>
  <c r="Z57" i="6" s="1"/>
  <c r="AK115" i="6"/>
  <c r="AL115" i="6"/>
  <c r="AM115" i="6"/>
  <c r="AN115" i="6"/>
  <c r="AC115" i="6"/>
  <c r="AD115" i="6"/>
  <c r="AE115" i="6"/>
  <c r="AF115" i="6"/>
  <c r="AG115" i="6"/>
  <c r="AH115" i="6"/>
  <c r="AI115" i="6"/>
  <c r="AJ115" i="6"/>
  <c r="AK86" i="6"/>
  <c r="AL86" i="6"/>
  <c r="AM86" i="6"/>
  <c r="AN86" i="6"/>
  <c r="AJ86" i="6"/>
  <c r="AI86" i="6"/>
  <c r="AH86" i="6"/>
  <c r="AP86" i="6" s="1"/>
  <c r="Q56" i="6"/>
  <c r="U87" i="5"/>
  <c r="AC87" i="5" s="1"/>
  <c r="V87" i="5"/>
  <c r="AD87" i="5" s="1"/>
  <c r="W87" i="5"/>
  <c r="AE87" i="5" s="1"/>
  <c r="Y87" i="5"/>
  <c r="Z87" i="5"/>
  <c r="AA87" i="5"/>
  <c r="U58" i="5"/>
  <c r="AC58" i="5" s="1"/>
  <c r="AH58" i="5" s="1"/>
  <c r="V58" i="5"/>
  <c r="AD58" i="5" s="1"/>
  <c r="W58" i="5"/>
  <c r="AE58" i="5" s="1"/>
  <c r="Y58" i="5"/>
  <c r="Z58" i="5"/>
  <c r="AA58" i="5"/>
  <c r="Y29" i="5"/>
  <c r="Z29" i="5" s="1"/>
  <c r="U29" i="5"/>
  <c r="AC29" i="5" s="1"/>
  <c r="M87" i="5"/>
  <c r="L87" i="5"/>
  <c r="I87" i="5"/>
  <c r="H87" i="5"/>
  <c r="E87" i="5"/>
  <c r="D87" i="5"/>
  <c r="E58" i="5"/>
  <c r="D58" i="5"/>
  <c r="I29" i="5"/>
  <c r="H29" i="5"/>
  <c r="E29" i="5"/>
  <c r="D29" i="5"/>
  <c r="AR86" i="6" l="1"/>
  <c r="AS86" i="6"/>
  <c r="AG57" i="6"/>
  <c r="AI57" i="6"/>
  <c r="AH57" i="6"/>
  <c r="AJ57" i="6"/>
  <c r="AS115" i="6"/>
  <c r="AQ115" i="6"/>
  <c r="AP115" i="6"/>
  <c r="AU115" i="6"/>
  <c r="AR115" i="6"/>
  <c r="AT115" i="6"/>
  <c r="AQ86" i="6"/>
  <c r="AT86" i="6"/>
  <c r="AU86" i="6"/>
  <c r="AO87" i="5"/>
  <c r="AQ87" i="5"/>
  <c r="AP87" i="5"/>
  <c r="AR87" i="5"/>
  <c r="AM87" i="5"/>
  <c r="AK87" i="5"/>
  <c r="AL87" i="5"/>
  <c r="AN87" i="5"/>
  <c r="AG87" i="5"/>
  <c r="AH87" i="5"/>
  <c r="AJ87" i="5"/>
  <c r="AI87" i="5"/>
  <c r="AO58" i="5"/>
  <c r="AR58" i="5"/>
  <c r="AQ58" i="5"/>
  <c r="AP58" i="5"/>
  <c r="AK58" i="5"/>
  <c r="AM58" i="5"/>
  <c r="AL58" i="5"/>
  <c r="AN58" i="5"/>
  <c r="AG58" i="5"/>
  <c r="AJ58" i="5"/>
  <c r="AI58" i="5"/>
  <c r="AH29" i="5"/>
  <c r="AG29" i="5"/>
  <c r="AI29" i="5"/>
  <c r="AJ29" i="5"/>
  <c r="V29" i="5"/>
  <c r="AD29" i="5" s="1"/>
  <c r="AE420" i="4"/>
  <c r="AB419" i="4"/>
  <c r="AB420" i="4"/>
  <c r="AB417" i="4"/>
  <c r="AB416" i="4"/>
  <c r="AB418" i="4"/>
  <c r="AE390" i="4"/>
  <c r="AA390" i="4"/>
  <c r="AE360" i="4"/>
  <c r="AA360" i="4"/>
  <c r="AE330" i="4"/>
  <c r="AA330" i="4"/>
  <c r="AE240" i="4"/>
  <c r="AA240" i="4"/>
  <c r="AE210" i="4"/>
  <c r="AA210" i="4"/>
  <c r="Y57" i="5"/>
  <c r="Z57" i="5"/>
  <c r="AA57" i="5"/>
  <c r="U86" i="5"/>
  <c r="V86" i="5"/>
  <c r="W86" i="5"/>
  <c r="U57" i="5"/>
  <c r="V57" i="5"/>
  <c r="W57" i="5"/>
  <c r="AE57" i="5" s="1"/>
  <c r="U28" i="5"/>
  <c r="V28" i="5" s="1"/>
  <c r="Q114" i="6"/>
  <c r="Y114" i="6" s="1"/>
  <c r="AC114" i="6" s="1"/>
  <c r="R114" i="6"/>
  <c r="Z114" i="6" s="1"/>
  <c r="AH114" i="6" s="1"/>
  <c r="S114" i="6"/>
  <c r="AA114" i="6" s="1"/>
  <c r="S85" i="6"/>
  <c r="AA85" i="6" s="1"/>
  <c r="R85" i="6"/>
  <c r="Z85" i="6" s="1"/>
  <c r="Q85" i="6"/>
  <c r="Y85" i="6" s="1"/>
  <c r="Z56" i="6"/>
  <c r="AI56" i="6" s="1"/>
  <c r="Y56" i="6"/>
  <c r="AC56" i="6" s="1"/>
  <c r="R56" i="6"/>
  <c r="Q55" i="6"/>
  <c r="Y27" i="5"/>
  <c r="U27" i="5"/>
  <c r="U114" i="6"/>
  <c r="V114" i="6"/>
  <c r="W114" i="6"/>
  <c r="U85" i="6"/>
  <c r="V85" i="6"/>
  <c r="W85" i="6"/>
  <c r="U56" i="6"/>
  <c r="V56" i="6" s="1"/>
  <c r="Y86" i="5"/>
  <c r="Z86" i="5"/>
  <c r="AD86" i="5" s="1"/>
  <c r="AN86" i="5" s="1"/>
  <c r="AA86" i="5"/>
  <c r="Y28" i="5"/>
  <c r="Z28" i="5" s="1"/>
  <c r="AY87" i="5" l="1"/>
  <c r="AW87" i="5"/>
  <c r="AV87" i="5"/>
  <c r="AX87" i="5"/>
  <c r="AU87" i="5"/>
  <c r="AT87" i="5"/>
  <c r="AY58" i="5"/>
  <c r="AW58" i="5"/>
  <c r="AU58" i="5"/>
  <c r="AT58" i="5"/>
  <c r="AX58" i="5"/>
  <c r="AV58" i="5"/>
  <c r="AN29" i="5"/>
  <c r="AV29" i="5" s="1"/>
  <c r="AK29" i="5"/>
  <c r="AL29" i="5"/>
  <c r="AU29" i="5" s="1"/>
  <c r="AM29" i="5"/>
  <c r="AY29" i="5" s="1"/>
  <c r="AW29" i="5"/>
  <c r="AT29" i="5"/>
  <c r="AK114" i="6"/>
  <c r="AL114" i="6"/>
  <c r="AM114" i="6"/>
  <c r="AN114" i="6"/>
  <c r="AE85" i="6"/>
  <c r="AF85" i="6"/>
  <c r="AC85" i="6"/>
  <c r="AD85" i="6"/>
  <c r="AL85" i="6"/>
  <c r="AM85" i="6"/>
  <c r="AN85" i="6"/>
  <c r="AK85" i="6"/>
  <c r="AJ85" i="6"/>
  <c r="AH85" i="6"/>
  <c r="AI85" i="6"/>
  <c r="AG85" i="6"/>
  <c r="AJ56" i="6"/>
  <c r="AH56" i="6"/>
  <c r="AG56" i="6"/>
  <c r="AF56" i="6"/>
  <c r="AE56" i="6"/>
  <c r="AD56" i="6"/>
  <c r="AQ56" i="6" s="1"/>
  <c r="AG114" i="6"/>
  <c r="AJ114" i="6"/>
  <c r="AI114" i="6"/>
  <c r="AE86" i="5"/>
  <c r="AC86" i="5"/>
  <c r="AC27" i="5"/>
  <c r="AD28" i="5"/>
  <c r="AM28" i="5" s="1"/>
  <c r="AQ57" i="5"/>
  <c r="AR57" i="5"/>
  <c r="V27" i="5"/>
  <c r="AM86" i="5"/>
  <c r="AL86" i="5"/>
  <c r="AK86" i="5"/>
  <c r="AD57" i="5"/>
  <c r="AC57" i="5"/>
  <c r="AI57" i="5"/>
  <c r="AJ57" i="5"/>
  <c r="AG57" i="5"/>
  <c r="AH57" i="5"/>
  <c r="AK57" i="5"/>
  <c r="AN57" i="5"/>
  <c r="AL57" i="5"/>
  <c r="AM57" i="5"/>
  <c r="AP57" i="5"/>
  <c r="AO57" i="5"/>
  <c r="AR86" i="5"/>
  <c r="AP86" i="5"/>
  <c r="AO86" i="5"/>
  <c r="AQ86" i="5"/>
  <c r="AH86" i="5"/>
  <c r="AI86" i="5"/>
  <c r="AJ86" i="5"/>
  <c r="AG86" i="5"/>
  <c r="AK28" i="5"/>
  <c r="AL28" i="5"/>
  <c r="AC28" i="5"/>
  <c r="AF114" i="6"/>
  <c r="AE114" i="6"/>
  <c r="AD114" i="6"/>
  <c r="AP114" i="6" s="1"/>
  <c r="AD300" i="4"/>
  <c r="AE300" i="4" s="1"/>
  <c r="AD270" i="4"/>
  <c r="AE270" i="4" s="1"/>
  <c r="AD120" i="4"/>
  <c r="AE120" i="4" s="1"/>
  <c r="AD90" i="4"/>
  <c r="AE90" i="4" s="1"/>
  <c r="AD30" i="4"/>
  <c r="AE30" i="4" s="1"/>
  <c r="D30" i="4"/>
  <c r="J30" i="4" s="1"/>
  <c r="K30" i="4" s="1"/>
  <c r="I480" i="4"/>
  <c r="D480" i="4"/>
  <c r="I450" i="4"/>
  <c r="D450" i="4"/>
  <c r="I420" i="4"/>
  <c r="D420" i="4"/>
  <c r="I390" i="4"/>
  <c r="D390" i="4"/>
  <c r="O390" i="4" s="1"/>
  <c r="I360" i="4"/>
  <c r="D360" i="4"/>
  <c r="I330" i="4"/>
  <c r="D330" i="4"/>
  <c r="I300" i="4"/>
  <c r="D300" i="4"/>
  <c r="J300" i="4" s="1"/>
  <c r="K300" i="4" s="1"/>
  <c r="I270" i="4"/>
  <c r="D270" i="4"/>
  <c r="R270" i="4" s="1"/>
  <c r="S270" i="4" s="1"/>
  <c r="I240" i="4"/>
  <c r="D240" i="4"/>
  <c r="I210" i="4"/>
  <c r="D210" i="4"/>
  <c r="I180" i="4"/>
  <c r="D180" i="4"/>
  <c r="I150" i="4"/>
  <c r="D150" i="4"/>
  <c r="I120" i="4"/>
  <c r="D120" i="4"/>
  <c r="J120" i="4" s="1"/>
  <c r="K120" i="4" s="1"/>
  <c r="I90" i="4"/>
  <c r="D90" i="4"/>
  <c r="V90" i="4" s="1"/>
  <c r="W90" i="4" s="1"/>
  <c r="I60" i="4"/>
  <c r="D60" i="4"/>
  <c r="I30" i="4"/>
  <c r="D465" i="1"/>
  <c r="I465" i="1"/>
  <c r="I436" i="1"/>
  <c r="D436" i="1"/>
  <c r="I407" i="1"/>
  <c r="D407" i="1"/>
  <c r="I378" i="1"/>
  <c r="D378" i="1"/>
  <c r="I349" i="1"/>
  <c r="D349" i="1"/>
  <c r="I320" i="1"/>
  <c r="D320" i="1"/>
  <c r="I291" i="1"/>
  <c r="D291" i="1"/>
  <c r="I262" i="1"/>
  <c r="D262" i="1"/>
  <c r="I233" i="1"/>
  <c r="D233" i="1"/>
  <c r="I204" i="1"/>
  <c r="D204" i="1"/>
  <c r="D175" i="1"/>
  <c r="I175" i="1"/>
  <c r="I146" i="1"/>
  <c r="D146" i="1"/>
  <c r="I117" i="1"/>
  <c r="D117" i="1"/>
  <c r="I88" i="1"/>
  <c r="D88" i="1"/>
  <c r="D59" i="1"/>
  <c r="I59" i="1"/>
  <c r="I30" i="1"/>
  <c r="D30" i="1"/>
  <c r="AE419" i="4"/>
  <c r="AE359" i="4"/>
  <c r="AA359" i="4"/>
  <c r="AD299" i="4"/>
  <c r="AE299" i="4" s="1"/>
  <c r="AE239" i="4"/>
  <c r="AA239" i="4"/>
  <c r="AA238" i="4"/>
  <c r="I119" i="4"/>
  <c r="D119" i="4"/>
  <c r="J119" i="4" s="1"/>
  <c r="Q113" i="6"/>
  <c r="R113" i="6"/>
  <c r="S113" i="6"/>
  <c r="U113" i="6"/>
  <c r="V113" i="6"/>
  <c r="W113" i="6"/>
  <c r="Q84" i="6"/>
  <c r="R84" i="6"/>
  <c r="S84" i="6"/>
  <c r="U84" i="6"/>
  <c r="V84" i="6"/>
  <c r="W84" i="6"/>
  <c r="U55" i="6"/>
  <c r="V55" i="6" s="1"/>
  <c r="AS56" i="6" l="1"/>
  <c r="AR56" i="6"/>
  <c r="AP56" i="6"/>
  <c r="V120" i="4"/>
  <c r="W120" i="4" s="1"/>
  <c r="R120" i="4"/>
  <c r="S120" i="4" s="1"/>
  <c r="AX29" i="5"/>
  <c r="AA84" i="6"/>
  <c r="Y84" i="6"/>
  <c r="AE84" i="6" s="1"/>
  <c r="AT56" i="6"/>
  <c r="Y113" i="6"/>
  <c r="AT85" i="6"/>
  <c r="AU85" i="6"/>
  <c r="AQ85" i="6"/>
  <c r="AP85" i="6"/>
  <c r="AR85" i="6"/>
  <c r="AS85" i="6"/>
  <c r="AU56" i="6"/>
  <c r="Y55" i="6"/>
  <c r="AC55" i="6" s="1"/>
  <c r="AQ114" i="6"/>
  <c r="AU86" i="5"/>
  <c r="AN28" i="5"/>
  <c r="AT86" i="5"/>
  <c r="AW86" i="5"/>
  <c r="AY57" i="5"/>
  <c r="N30" i="4"/>
  <c r="O30" i="4" s="1"/>
  <c r="R30" i="4"/>
  <c r="S30" i="4" s="1"/>
  <c r="J90" i="4"/>
  <c r="K90" i="4" s="1"/>
  <c r="N90" i="4"/>
  <c r="O90" i="4" s="1"/>
  <c r="N120" i="4"/>
  <c r="O120" i="4" s="1"/>
  <c r="V30" i="4"/>
  <c r="W30" i="4" s="1"/>
  <c r="R90" i="4"/>
  <c r="S90" i="4" s="1"/>
  <c r="O360" i="4"/>
  <c r="K360" i="4"/>
  <c r="S360" i="4"/>
  <c r="W360" i="4"/>
  <c r="S330" i="4"/>
  <c r="K330" i="4"/>
  <c r="O330" i="4"/>
  <c r="R300" i="4"/>
  <c r="S300" i="4" s="1"/>
  <c r="K240" i="4"/>
  <c r="O240" i="4"/>
  <c r="W240" i="4"/>
  <c r="S240" i="4"/>
  <c r="N300" i="4"/>
  <c r="O300" i="4" s="1"/>
  <c r="W390" i="4"/>
  <c r="K390" i="4"/>
  <c r="S390" i="4"/>
  <c r="V300" i="4"/>
  <c r="W300" i="4" s="1"/>
  <c r="S210" i="4"/>
  <c r="W210" i="4"/>
  <c r="O210" i="4"/>
  <c r="K210" i="4"/>
  <c r="W420" i="4"/>
  <c r="K420" i="4"/>
  <c r="S420" i="4"/>
  <c r="O420" i="4"/>
  <c r="J270" i="4"/>
  <c r="K270" i="4" s="1"/>
  <c r="V270" i="4"/>
  <c r="W270" i="4" s="1"/>
  <c r="N270" i="4"/>
  <c r="O270" i="4" s="1"/>
  <c r="AU57" i="5"/>
  <c r="AT57" i="5"/>
  <c r="AV57" i="5"/>
  <c r="AX57" i="5"/>
  <c r="AW57" i="5"/>
  <c r="AX86" i="5"/>
  <c r="AV86" i="5"/>
  <c r="AY86" i="5"/>
  <c r="AH28" i="5"/>
  <c r="AU28" i="5" s="1"/>
  <c r="AI28" i="5"/>
  <c r="AY28" i="5" s="1"/>
  <c r="AJ28" i="5"/>
  <c r="AG28" i="5"/>
  <c r="AS114" i="6"/>
  <c r="AR114" i="6"/>
  <c r="AT114" i="6"/>
  <c r="AU114" i="6"/>
  <c r="Z113" i="6"/>
  <c r="AG113" i="6" s="1"/>
  <c r="AA113" i="6"/>
  <c r="Z84" i="6"/>
  <c r="AI84" i="6" s="1"/>
  <c r="AH113" i="6"/>
  <c r="AC113" i="6"/>
  <c r="AD113" i="6"/>
  <c r="AE113" i="6"/>
  <c r="AF113" i="6"/>
  <c r="AM113" i="6"/>
  <c r="AL113" i="6"/>
  <c r="AN113" i="6"/>
  <c r="AK113" i="6"/>
  <c r="AM84" i="6"/>
  <c r="AN84" i="6"/>
  <c r="AK84" i="6"/>
  <c r="AL84" i="6"/>
  <c r="AG84" i="6"/>
  <c r="AD84" i="6"/>
  <c r="AC84" i="6"/>
  <c r="AF84" i="6"/>
  <c r="R55" i="6"/>
  <c r="Z55" i="6" s="1"/>
  <c r="AE389" i="4"/>
  <c r="AA389" i="4"/>
  <c r="AE329" i="4"/>
  <c r="AA329" i="4"/>
  <c r="AD269" i="4"/>
  <c r="AE269" i="4" s="1"/>
  <c r="AE209" i="4"/>
  <c r="AA209" i="4"/>
  <c r="AD119" i="4"/>
  <c r="AE119" i="4" s="1"/>
  <c r="V119" i="4"/>
  <c r="W119" i="4" s="1"/>
  <c r="R119" i="4"/>
  <c r="S119" i="4" s="1"/>
  <c r="N119" i="4"/>
  <c r="O119" i="4" s="1"/>
  <c r="K119" i="4"/>
  <c r="AD89" i="4"/>
  <c r="AE89" i="4" s="1"/>
  <c r="X208" i="4"/>
  <c r="AD88" i="4"/>
  <c r="I419" i="4"/>
  <c r="D419" i="4"/>
  <c r="I389" i="4"/>
  <c r="D389" i="4"/>
  <c r="K389" i="4" s="1"/>
  <c r="I359" i="4"/>
  <c r="D359" i="4"/>
  <c r="I329" i="4"/>
  <c r="D329" i="4"/>
  <c r="K329" i="4" s="1"/>
  <c r="I299" i="4"/>
  <c r="D299" i="4"/>
  <c r="I269" i="4"/>
  <c r="D269" i="4"/>
  <c r="V269" i="4" s="1"/>
  <c r="W269" i="4" s="1"/>
  <c r="I239" i="4"/>
  <c r="D239" i="4"/>
  <c r="I209" i="4"/>
  <c r="D209" i="4"/>
  <c r="I179" i="4"/>
  <c r="D179" i="4"/>
  <c r="I149" i="4"/>
  <c r="D149" i="4"/>
  <c r="I89" i="4"/>
  <c r="D89" i="4"/>
  <c r="V89" i="4" s="1"/>
  <c r="W89" i="4" s="1"/>
  <c r="I59" i="4"/>
  <c r="D59" i="4"/>
  <c r="I29" i="4"/>
  <c r="D29" i="4"/>
  <c r="Y55" i="5"/>
  <c r="U55" i="5"/>
  <c r="U85" i="5"/>
  <c r="V85" i="5"/>
  <c r="W85" i="5"/>
  <c r="Y85" i="5"/>
  <c r="Z85" i="5"/>
  <c r="AA85" i="5"/>
  <c r="U56" i="5"/>
  <c r="V56" i="5"/>
  <c r="W56" i="5"/>
  <c r="Y56" i="5"/>
  <c r="Z56" i="5"/>
  <c r="AA56" i="5"/>
  <c r="Z27" i="5"/>
  <c r="AI224" i="3"/>
  <c r="AJ224" i="3" s="1"/>
  <c r="AI192" i="3"/>
  <c r="AJ192" i="3" s="1"/>
  <c r="AI160" i="3"/>
  <c r="AJ160" i="3" s="1"/>
  <c r="AI128" i="3"/>
  <c r="AJ128" i="3" s="1"/>
  <c r="AC55" i="5" l="1"/>
  <c r="AV28" i="5"/>
  <c r="W209" i="4"/>
  <c r="K209" i="4"/>
  <c r="AX28" i="5"/>
  <c r="AT28" i="5"/>
  <c r="AW28" i="5"/>
  <c r="AI113" i="6"/>
  <c r="AS113" i="6" s="1"/>
  <c r="AJ113" i="6"/>
  <c r="AR113" i="6" s="1"/>
  <c r="AH84" i="6"/>
  <c r="AS84" i="6" s="1"/>
  <c r="AD55" i="6"/>
  <c r="AJ84" i="6"/>
  <c r="AR84" i="6" s="1"/>
  <c r="AF55" i="6"/>
  <c r="AE55" i="6"/>
  <c r="J89" i="4"/>
  <c r="K89" i="4" s="1"/>
  <c r="N89" i="4"/>
  <c r="O89" i="4" s="1"/>
  <c r="O389" i="4"/>
  <c r="S389" i="4"/>
  <c r="J269" i="4"/>
  <c r="K269" i="4" s="1"/>
  <c r="N269" i="4"/>
  <c r="O269" i="4" s="1"/>
  <c r="W419" i="4"/>
  <c r="S419" i="4"/>
  <c r="K419" i="4"/>
  <c r="O419" i="4"/>
  <c r="R269" i="4"/>
  <c r="S269" i="4" s="1"/>
  <c r="O329" i="4"/>
  <c r="W389" i="4"/>
  <c r="R89" i="4"/>
  <c r="S89" i="4" s="1"/>
  <c r="O209" i="4"/>
  <c r="S329" i="4"/>
  <c r="S209" i="4"/>
  <c r="W329" i="4"/>
  <c r="V299" i="4"/>
  <c r="W299" i="4" s="1"/>
  <c r="R299" i="4"/>
  <c r="S299" i="4" s="1"/>
  <c r="J299" i="4"/>
  <c r="K299" i="4" s="1"/>
  <c r="N299" i="4"/>
  <c r="O299" i="4" s="1"/>
  <c r="W239" i="4"/>
  <c r="S239" i="4"/>
  <c r="O239" i="4"/>
  <c r="K239" i="4"/>
  <c r="O359" i="4"/>
  <c r="K359" i="4"/>
  <c r="W359" i="4"/>
  <c r="S359" i="4"/>
  <c r="AU113" i="6"/>
  <c r="AQ113" i="6"/>
  <c r="AP113" i="6"/>
  <c r="AU84" i="6"/>
  <c r="AH55" i="6"/>
  <c r="AI55" i="6"/>
  <c r="AJ55" i="6"/>
  <c r="AG55" i="6"/>
  <c r="AP55" i="6" s="1"/>
  <c r="AD56" i="5"/>
  <c r="AM56" i="5" s="1"/>
  <c r="AE85" i="5"/>
  <c r="AP85" i="5" s="1"/>
  <c r="AD85" i="5"/>
  <c r="AN85" i="5" s="1"/>
  <c r="AE56" i="5"/>
  <c r="AO56" i="5" s="1"/>
  <c r="AC85" i="5"/>
  <c r="AG85" i="5" s="1"/>
  <c r="AC56" i="5"/>
  <c r="AI27" i="5"/>
  <c r="AD27" i="5"/>
  <c r="AK224" i="3"/>
  <c r="AL224" i="3"/>
  <c r="AK192" i="3"/>
  <c r="AL192" i="3"/>
  <c r="AK160" i="3"/>
  <c r="AL160" i="3"/>
  <c r="AK128" i="3"/>
  <c r="AL128" i="3"/>
  <c r="AT113" i="6" l="1"/>
  <c r="AQ84" i="6"/>
  <c r="AP84" i="6"/>
  <c r="AQ55" i="6"/>
  <c r="AT84" i="6"/>
  <c r="AU55" i="6"/>
  <c r="AL56" i="5"/>
  <c r="AR56" i="5"/>
  <c r="AN56" i="5"/>
  <c r="AK56" i="5"/>
  <c r="AR55" i="6"/>
  <c r="AS55" i="6"/>
  <c r="AT55" i="6"/>
  <c r="AQ85" i="5"/>
  <c r="AK85" i="5"/>
  <c r="AR85" i="5"/>
  <c r="AM85" i="5"/>
  <c r="AL85" i="5"/>
  <c r="AO85" i="5"/>
  <c r="AQ56" i="5"/>
  <c r="AP56" i="5"/>
  <c r="AI85" i="5"/>
  <c r="AJ85" i="5"/>
  <c r="AH85" i="5"/>
  <c r="AG56" i="5"/>
  <c r="AH56" i="5"/>
  <c r="AI56" i="5"/>
  <c r="AJ56" i="5"/>
  <c r="AH27" i="5"/>
  <c r="AJ27" i="5"/>
  <c r="AG27" i="5"/>
  <c r="AK27" i="5"/>
  <c r="AN27" i="5"/>
  <c r="AL27" i="5"/>
  <c r="AM27" i="5"/>
  <c r="AU85" i="5" l="1"/>
  <c r="AX85" i="5"/>
  <c r="AY85" i="5"/>
  <c r="AW85" i="5"/>
  <c r="AT85" i="5"/>
  <c r="AV85" i="5"/>
  <c r="AY56" i="5"/>
  <c r="AT56" i="5"/>
  <c r="AX56" i="5"/>
  <c r="AV56" i="5"/>
  <c r="AW56" i="5"/>
  <c r="AU56" i="5"/>
  <c r="AT27" i="5"/>
  <c r="AX27" i="5"/>
  <c r="AU27" i="5"/>
  <c r="AY27" i="5"/>
  <c r="AW27" i="5"/>
  <c r="AV27" i="5"/>
  <c r="AI96" i="3"/>
  <c r="AJ96" i="3" s="1"/>
  <c r="AI64" i="3"/>
  <c r="AJ64" i="3" s="1"/>
  <c r="AI32" i="3"/>
  <c r="AJ32" i="3"/>
  <c r="AK32" i="3"/>
  <c r="AL32" i="3"/>
  <c r="AD220" i="3"/>
  <c r="AD256" i="3"/>
  <c r="AE256" i="3"/>
  <c r="AD224" i="3"/>
  <c r="AE224" i="3"/>
  <c r="AD192" i="3"/>
  <c r="AE192" i="3"/>
  <c r="AD160" i="3"/>
  <c r="AE160" i="3"/>
  <c r="AD128" i="3"/>
  <c r="AE128" i="3"/>
  <c r="AD96" i="3"/>
  <c r="AE96" i="3"/>
  <c r="AD64" i="3"/>
  <c r="AE64" i="3"/>
  <c r="AD32" i="3"/>
  <c r="AE32" i="3"/>
  <c r="AE31" i="3"/>
  <c r="E129" i="3"/>
  <c r="E130" i="3" s="1"/>
  <c r="H129" i="3"/>
  <c r="I97" i="3"/>
  <c r="M65" i="3"/>
  <c r="H65" i="3"/>
  <c r="M33" i="3"/>
  <c r="I33" i="3"/>
  <c r="H33" i="3"/>
  <c r="M32" i="3"/>
  <c r="AD31" i="3"/>
  <c r="AB256" i="3"/>
  <c r="AB224" i="3"/>
  <c r="Z225" i="3"/>
  <c r="AA225" i="3"/>
  <c r="Y225" i="3"/>
  <c r="Z224" i="3"/>
  <c r="Y224" i="3"/>
  <c r="AB192" i="3"/>
  <c r="Z193" i="3"/>
  <c r="AA193" i="3"/>
  <c r="Y193" i="3"/>
  <c r="AA192" i="3"/>
  <c r="Z192" i="3"/>
  <c r="AB160" i="3"/>
  <c r="X161" i="3"/>
  <c r="X160" i="3"/>
  <c r="AB128" i="3"/>
  <c r="AB129" i="3" s="1"/>
  <c r="Y129" i="3"/>
  <c r="W129" i="3"/>
  <c r="Y128" i="3"/>
  <c r="W128" i="3"/>
  <c r="AB96" i="3"/>
  <c r="X97" i="3"/>
  <c r="AB65" i="3"/>
  <c r="AB64" i="3"/>
  <c r="X65" i="3"/>
  <c r="Y65" i="3"/>
  <c r="Z65" i="3"/>
  <c r="AA65" i="3"/>
  <c r="W65" i="3"/>
  <c r="W64" i="3"/>
  <c r="X33" i="3"/>
  <c r="Y33" i="3"/>
  <c r="Z33" i="3"/>
  <c r="AA33" i="3"/>
  <c r="AB33" i="3"/>
  <c r="W33" i="3"/>
  <c r="AB32" i="3"/>
  <c r="F257" i="3"/>
  <c r="G257" i="3"/>
  <c r="H257" i="3"/>
  <c r="I257" i="3"/>
  <c r="J257" i="3"/>
  <c r="K257" i="3"/>
  <c r="L257" i="3"/>
  <c r="M257" i="3"/>
  <c r="E257" i="3"/>
  <c r="M256" i="3"/>
  <c r="F225" i="3"/>
  <c r="G225" i="3"/>
  <c r="H225" i="3"/>
  <c r="I225" i="3"/>
  <c r="J225" i="3"/>
  <c r="K225" i="3"/>
  <c r="L225" i="3"/>
  <c r="M225" i="3"/>
  <c r="E225" i="3"/>
  <c r="F193" i="3"/>
  <c r="G193" i="3"/>
  <c r="H193" i="3"/>
  <c r="I193" i="3"/>
  <c r="J193" i="3"/>
  <c r="K193" i="3"/>
  <c r="L193" i="3"/>
  <c r="M193" i="3"/>
  <c r="E193" i="3"/>
  <c r="F161" i="3"/>
  <c r="G161" i="3"/>
  <c r="H161" i="3"/>
  <c r="I161" i="3"/>
  <c r="J161" i="3"/>
  <c r="K161" i="3"/>
  <c r="L161" i="3"/>
  <c r="M161" i="3"/>
  <c r="E161" i="3"/>
  <c r="X129" i="3"/>
  <c r="Z129" i="3"/>
  <c r="AA129" i="3"/>
  <c r="F129" i="3"/>
  <c r="G129" i="3"/>
  <c r="I129" i="3"/>
  <c r="J129" i="3"/>
  <c r="K129" i="3"/>
  <c r="L129" i="3"/>
  <c r="M129" i="3"/>
  <c r="M224" i="3"/>
  <c r="L224" i="3"/>
  <c r="K224" i="3"/>
  <c r="J224" i="3"/>
  <c r="M192" i="3"/>
  <c r="L192" i="3"/>
  <c r="K192" i="3"/>
  <c r="J192" i="3"/>
  <c r="M160" i="3"/>
  <c r="I160" i="3"/>
  <c r="M128" i="3"/>
  <c r="M96" i="3"/>
  <c r="M64" i="3"/>
  <c r="J128" i="3"/>
  <c r="H128" i="3"/>
  <c r="H64" i="3"/>
  <c r="D479" i="4"/>
  <c r="I479" i="4"/>
  <c r="D449" i="4"/>
  <c r="I449" i="4"/>
  <c r="AK96" i="3" l="1"/>
  <c r="AL96" i="3"/>
  <c r="AK64" i="3"/>
  <c r="AL64" i="3"/>
  <c r="I406" i="1"/>
  <c r="I377" i="1"/>
  <c r="I348" i="1"/>
  <c r="I319" i="1"/>
  <c r="I290" i="1"/>
  <c r="I261" i="1"/>
  <c r="I232" i="1"/>
  <c r="I203" i="1"/>
  <c r="I174" i="1"/>
  <c r="I145" i="1"/>
  <c r="I116" i="1"/>
  <c r="I28" i="1"/>
  <c r="I29" i="1"/>
  <c r="I58" i="1"/>
  <c r="I87" i="1"/>
  <c r="D464" i="1"/>
  <c r="I464" i="1"/>
  <c r="D435" i="1"/>
  <c r="I435" i="1"/>
  <c r="D406" i="1"/>
  <c r="D377" i="1"/>
  <c r="D348" i="1"/>
  <c r="D319" i="1"/>
  <c r="D290" i="1"/>
  <c r="D261" i="1"/>
  <c r="D232" i="1"/>
  <c r="D203" i="1"/>
  <c r="D174" i="1"/>
  <c r="D145" i="1"/>
  <c r="D116" i="1"/>
  <c r="D87" i="1"/>
  <c r="D58" i="1"/>
  <c r="D29" i="1"/>
  <c r="AI223" i="3"/>
  <c r="AJ223" i="3" s="1"/>
  <c r="AI191" i="3"/>
  <c r="AJ191" i="3" s="1"/>
  <c r="AL191" i="3" s="1"/>
  <c r="Z191" i="3"/>
  <c r="L191" i="3"/>
  <c r="AI159" i="3"/>
  <c r="AJ159" i="3" s="1"/>
  <c r="AK159" i="3" s="1"/>
  <c r="AI127" i="3"/>
  <c r="AJ127" i="3" s="1"/>
  <c r="H127" i="3"/>
  <c r="AI95" i="3"/>
  <c r="AJ95" i="3" s="1"/>
  <c r="AI63" i="3"/>
  <c r="AJ63" i="3" s="1"/>
  <c r="AI31" i="3"/>
  <c r="AJ31" i="3" s="1"/>
  <c r="AK223" i="3" l="1"/>
  <c r="AL223" i="3"/>
  <c r="AK191" i="3"/>
  <c r="AL159" i="3"/>
  <c r="AK127" i="3"/>
  <c r="AL127" i="3"/>
  <c r="AK95" i="3"/>
  <c r="AL95" i="3"/>
  <c r="AK63" i="3"/>
  <c r="AL63" i="3"/>
  <c r="AK31" i="3"/>
  <c r="AL31" i="3"/>
  <c r="AD268" i="4"/>
  <c r="AE268" i="4" s="1"/>
  <c r="AF397" i="4" l="1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8" i="4"/>
  <c r="AF417" i="4"/>
  <c r="AE418" i="4"/>
  <c r="AB397" i="4"/>
  <c r="AB398" i="4"/>
  <c r="AB399" i="4"/>
  <c r="AB400" i="4"/>
  <c r="AB401" i="4"/>
  <c r="AB402" i="4"/>
  <c r="AB403" i="4"/>
  <c r="AB404" i="4"/>
  <c r="AB405" i="4"/>
  <c r="AB406" i="4"/>
  <c r="AB407" i="4"/>
  <c r="AB408" i="4"/>
  <c r="AB409" i="4"/>
  <c r="AB410" i="4"/>
  <c r="AB411" i="4"/>
  <c r="AB412" i="4"/>
  <c r="AB413" i="4"/>
  <c r="AB414" i="4"/>
  <c r="AB415" i="4"/>
  <c r="AA418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8" i="4"/>
  <c r="X417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8" i="4"/>
  <c r="T417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8" i="4"/>
  <c r="P417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8" i="4"/>
  <c r="L417" i="4"/>
  <c r="AE358" i="4"/>
  <c r="AA358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8" i="4"/>
  <c r="AF237" i="4"/>
  <c r="AE238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8" i="4"/>
  <c r="AB237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8" i="4"/>
  <c r="X237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8" i="4"/>
  <c r="T237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8" i="4"/>
  <c r="P237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8" i="4"/>
  <c r="L237" i="4"/>
  <c r="Q112" i="6"/>
  <c r="R112" i="6"/>
  <c r="S112" i="6"/>
  <c r="U112" i="6"/>
  <c r="V112" i="6"/>
  <c r="W112" i="6"/>
  <c r="AG112" i="6"/>
  <c r="AH112" i="6"/>
  <c r="AI112" i="6"/>
  <c r="AJ112" i="6"/>
  <c r="Q83" i="6"/>
  <c r="R83" i="6"/>
  <c r="S83" i="6"/>
  <c r="U83" i="6"/>
  <c r="V83" i="6"/>
  <c r="W83" i="6"/>
  <c r="Q54" i="6"/>
  <c r="R54" i="6" s="1"/>
  <c r="U54" i="6"/>
  <c r="V54" i="6" s="1"/>
  <c r="AA83" i="6" l="1"/>
  <c r="AM83" i="6" s="1"/>
  <c r="Z83" i="6"/>
  <c r="AJ83" i="6" s="1"/>
  <c r="AA112" i="6"/>
  <c r="AK112" i="6" s="1"/>
  <c r="Y112" i="6"/>
  <c r="AC112" i="6" s="1"/>
  <c r="AE83" i="6"/>
  <c r="AC83" i="6"/>
  <c r="Y54" i="6"/>
  <c r="AC54" i="6" s="1"/>
  <c r="Z54" i="6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8" i="4"/>
  <c r="AF387" i="4"/>
  <c r="AE388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8" i="4"/>
  <c r="AB387" i="4"/>
  <c r="AA388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8" i="4"/>
  <c r="X387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8" i="4"/>
  <c r="T387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8" i="4"/>
  <c r="P387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8" i="4"/>
  <c r="L387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8" i="4"/>
  <c r="AF207" i="4"/>
  <c r="AE208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8" i="4"/>
  <c r="AB207" i="4"/>
  <c r="AA208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8" i="4"/>
  <c r="T207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8" i="4"/>
  <c r="P207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8" i="4"/>
  <c r="L207" i="4"/>
  <c r="AN83" i="6" l="1"/>
  <c r="AL83" i="6"/>
  <c r="AK83" i="6"/>
  <c r="AI83" i="6"/>
  <c r="AH83" i="6"/>
  <c r="AG83" i="6"/>
  <c r="AL112" i="6"/>
  <c r="AM112" i="6"/>
  <c r="AN112" i="6"/>
  <c r="AF112" i="6"/>
  <c r="AE112" i="6"/>
  <c r="AD112" i="6"/>
  <c r="AD83" i="6"/>
  <c r="AF83" i="6"/>
  <c r="AU83" i="6"/>
  <c r="AE54" i="6"/>
  <c r="AF54" i="6"/>
  <c r="AD54" i="6"/>
  <c r="AG54" i="6"/>
  <c r="AH54" i="6"/>
  <c r="AJ54" i="6"/>
  <c r="AI54" i="6"/>
  <c r="U84" i="5"/>
  <c r="V84" i="5"/>
  <c r="W84" i="5"/>
  <c r="Y84" i="5"/>
  <c r="Z84" i="5"/>
  <c r="AA84" i="5"/>
  <c r="V55" i="5"/>
  <c r="W55" i="5"/>
  <c r="Z55" i="5"/>
  <c r="AA55" i="5"/>
  <c r="Y26" i="5"/>
  <c r="Z26" i="5" s="1"/>
  <c r="U26" i="5"/>
  <c r="V26" i="5" s="1"/>
  <c r="AP83" i="6" l="1"/>
  <c r="AP54" i="6"/>
  <c r="AU112" i="6"/>
  <c r="AQ112" i="6"/>
  <c r="AD55" i="5"/>
  <c r="AL55" i="5" s="1"/>
  <c r="AG55" i="5"/>
  <c r="AP112" i="6"/>
  <c r="AE55" i="5"/>
  <c r="AQ55" i="5" s="1"/>
  <c r="AR83" i="6"/>
  <c r="AQ83" i="6"/>
  <c r="AS83" i="6"/>
  <c r="AT112" i="6"/>
  <c r="AR112" i="6"/>
  <c r="AS112" i="6"/>
  <c r="AT83" i="6"/>
  <c r="AS54" i="6"/>
  <c r="AU54" i="6"/>
  <c r="AQ54" i="6"/>
  <c r="AR54" i="6"/>
  <c r="AT54" i="6"/>
  <c r="AE84" i="5"/>
  <c r="AP84" i="5" s="1"/>
  <c r="AD26" i="5"/>
  <c r="AN26" i="5" s="1"/>
  <c r="AD84" i="5"/>
  <c r="AL84" i="5" s="1"/>
  <c r="AC84" i="5"/>
  <c r="AG84" i="5" s="1"/>
  <c r="AC26" i="5"/>
  <c r="AB255" i="3"/>
  <c r="M255" i="3"/>
  <c r="AB223" i="3"/>
  <c r="M223" i="3"/>
  <c r="M191" i="3"/>
  <c r="AB191" i="3"/>
  <c r="M159" i="3"/>
  <c r="AB159" i="3"/>
  <c r="M127" i="3"/>
  <c r="AB127" i="3"/>
  <c r="M95" i="3"/>
  <c r="AB95" i="3"/>
  <c r="AB63" i="3"/>
  <c r="M63" i="3"/>
  <c r="AB31" i="3"/>
  <c r="M31" i="3"/>
  <c r="AD298" i="4"/>
  <c r="AE298" i="4" s="1"/>
  <c r="AD118" i="4"/>
  <c r="AE118" i="4" s="1"/>
  <c r="AE88" i="4"/>
  <c r="AK55" i="5" l="1"/>
  <c r="AR55" i="5"/>
  <c r="AO55" i="5"/>
  <c r="AP55" i="5"/>
  <c r="AN55" i="5"/>
  <c r="AM55" i="5"/>
  <c r="AH55" i="5"/>
  <c r="AJ55" i="5"/>
  <c r="AI55" i="5"/>
  <c r="AE159" i="3"/>
  <c r="AD255" i="3"/>
  <c r="AE255" i="3"/>
  <c r="AD95" i="3"/>
  <c r="AD223" i="3"/>
  <c r="AE223" i="3"/>
  <c r="AD159" i="3"/>
  <c r="AE127" i="3"/>
  <c r="AD127" i="3"/>
  <c r="AE95" i="3"/>
  <c r="AD63" i="3"/>
  <c r="AE63" i="3"/>
  <c r="AM26" i="5"/>
  <c r="AK26" i="5"/>
  <c r="AO84" i="5"/>
  <c r="AR84" i="5"/>
  <c r="AQ84" i="5"/>
  <c r="AL26" i="5"/>
  <c r="AK84" i="5"/>
  <c r="AN84" i="5"/>
  <c r="AM84" i="5"/>
  <c r="AI84" i="5"/>
  <c r="AJ84" i="5"/>
  <c r="AH84" i="5"/>
  <c r="AH26" i="5"/>
  <c r="AJ26" i="5"/>
  <c r="AG26" i="5"/>
  <c r="AI26" i="5"/>
  <c r="AD191" i="3"/>
  <c r="AE191" i="3"/>
  <c r="AT55" i="5" l="1"/>
  <c r="R328" i="4" s="1"/>
  <c r="AV55" i="5"/>
  <c r="J328" i="4" s="1"/>
  <c r="AY55" i="5"/>
  <c r="AD328" i="4" s="1"/>
  <c r="AE328" i="4" s="1"/>
  <c r="AW55" i="5"/>
  <c r="N328" i="4" s="1"/>
  <c r="AU55" i="5"/>
  <c r="V328" i="4" s="1"/>
  <c r="AX55" i="5"/>
  <c r="Z328" i="4" s="1"/>
  <c r="AA328" i="4" s="1"/>
  <c r="AT84" i="5"/>
  <c r="AW84" i="5"/>
  <c r="AT26" i="5"/>
  <c r="AU84" i="5"/>
  <c r="AX84" i="5"/>
  <c r="AY84" i="5"/>
  <c r="AV84" i="5"/>
  <c r="AV26" i="5"/>
  <c r="AX26" i="5"/>
  <c r="AU26" i="5"/>
  <c r="AY26" i="5"/>
  <c r="AW26" i="5"/>
  <c r="I478" i="4"/>
  <c r="D478" i="4"/>
  <c r="I477" i="4"/>
  <c r="D477" i="4"/>
  <c r="I476" i="4"/>
  <c r="D476" i="4"/>
  <c r="I475" i="4"/>
  <c r="D475" i="4"/>
  <c r="I474" i="4"/>
  <c r="D474" i="4"/>
  <c r="I473" i="4"/>
  <c r="D473" i="4"/>
  <c r="I472" i="4"/>
  <c r="D472" i="4"/>
  <c r="I471" i="4"/>
  <c r="D471" i="4"/>
  <c r="I470" i="4"/>
  <c r="D470" i="4"/>
  <c r="I469" i="4"/>
  <c r="D469" i="4"/>
  <c r="I468" i="4"/>
  <c r="D468" i="4"/>
  <c r="I467" i="4"/>
  <c r="D467" i="4"/>
  <c r="I466" i="4"/>
  <c r="D466" i="4"/>
  <c r="I465" i="4"/>
  <c r="D465" i="4"/>
  <c r="I464" i="4"/>
  <c r="D464" i="4"/>
  <c r="I463" i="4"/>
  <c r="D463" i="4"/>
  <c r="I462" i="4"/>
  <c r="D462" i="4"/>
  <c r="I461" i="4"/>
  <c r="D461" i="4"/>
  <c r="I460" i="4"/>
  <c r="D460" i="4"/>
  <c r="I459" i="4"/>
  <c r="D459" i="4"/>
  <c r="I458" i="4"/>
  <c r="D458" i="4"/>
  <c r="I457" i="4"/>
  <c r="D457" i="4"/>
  <c r="I456" i="4"/>
  <c r="D456" i="4"/>
  <c r="I455" i="4"/>
  <c r="D455" i="4"/>
  <c r="I454" i="4"/>
  <c r="D454" i="4"/>
  <c r="I453" i="4"/>
  <c r="D453" i="4"/>
  <c r="I452" i="4"/>
  <c r="D452" i="4"/>
  <c r="D448" i="4"/>
  <c r="I447" i="4"/>
  <c r="D447" i="4"/>
  <c r="I446" i="4"/>
  <c r="D446" i="4"/>
  <c r="I445" i="4"/>
  <c r="D445" i="4"/>
  <c r="I444" i="4"/>
  <c r="D444" i="4"/>
  <c r="I443" i="4"/>
  <c r="D443" i="4"/>
  <c r="I442" i="4"/>
  <c r="D442" i="4"/>
  <c r="I441" i="4"/>
  <c r="D441" i="4"/>
  <c r="I440" i="4"/>
  <c r="D440" i="4"/>
  <c r="I439" i="4"/>
  <c r="D439" i="4"/>
  <c r="I438" i="4"/>
  <c r="D438" i="4"/>
  <c r="I437" i="4"/>
  <c r="D437" i="4"/>
  <c r="I436" i="4"/>
  <c r="D436" i="4"/>
  <c r="I435" i="4"/>
  <c r="D435" i="4"/>
  <c r="I434" i="4"/>
  <c r="D434" i="4"/>
  <c r="I433" i="4"/>
  <c r="D433" i="4"/>
  <c r="I432" i="4"/>
  <c r="D432" i="4"/>
  <c r="I431" i="4"/>
  <c r="D431" i="4"/>
  <c r="I430" i="4"/>
  <c r="D430" i="4"/>
  <c r="I429" i="4"/>
  <c r="D429" i="4"/>
  <c r="I428" i="4"/>
  <c r="D428" i="4"/>
  <c r="I427" i="4"/>
  <c r="D427" i="4"/>
  <c r="I426" i="4"/>
  <c r="D426" i="4"/>
  <c r="I425" i="4"/>
  <c r="D425" i="4"/>
  <c r="I424" i="4"/>
  <c r="D424" i="4"/>
  <c r="I423" i="4"/>
  <c r="D423" i="4"/>
  <c r="I422" i="4"/>
  <c r="D422" i="4"/>
  <c r="I418" i="4"/>
  <c r="D418" i="4"/>
  <c r="I417" i="4"/>
  <c r="D417" i="4"/>
  <c r="W417" i="4" s="1"/>
  <c r="I416" i="4"/>
  <c r="D416" i="4"/>
  <c r="W416" i="4" s="1"/>
  <c r="I415" i="4"/>
  <c r="D415" i="4"/>
  <c r="W415" i="4" s="1"/>
  <c r="I414" i="4"/>
  <c r="D414" i="4"/>
  <c r="W414" i="4" s="1"/>
  <c r="I413" i="4"/>
  <c r="D413" i="4"/>
  <c r="W413" i="4" s="1"/>
  <c r="I412" i="4"/>
  <c r="D412" i="4"/>
  <c r="W412" i="4" s="1"/>
  <c r="I411" i="4"/>
  <c r="D411" i="4"/>
  <c r="W411" i="4" s="1"/>
  <c r="I410" i="4"/>
  <c r="D410" i="4"/>
  <c r="W410" i="4" s="1"/>
  <c r="I409" i="4"/>
  <c r="D409" i="4"/>
  <c r="W409" i="4" s="1"/>
  <c r="I408" i="4"/>
  <c r="D408" i="4"/>
  <c r="W408" i="4" s="1"/>
  <c r="I407" i="4"/>
  <c r="D407" i="4"/>
  <c r="I406" i="4"/>
  <c r="D406" i="4"/>
  <c r="I405" i="4"/>
  <c r="D405" i="4"/>
  <c r="I404" i="4"/>
  <c r="D404" i="4"/>
  <c r="W404" i="4" s="1"/>
  <c r="I403" i="4"/>
  <c r="D403" i="4"/>
  <c r="W403" i="4" s="1"/>
  <c r="I402" i="4"/>
  <c r="D402" i="4"/>
  <c r="W402" i="4" s="1"/>
  <c r="I401" i="4"/>
  <c r="D401" i="4"/>
  <c r="I400" i="4"/>
  <c r="D400" i="4"/>
  <c r="W400" i="4" s="1"/>
  <c r="I399" i="4"/>
  <c r="D399" i="4"/>
  <c r="I398" i="4"/>
  <c r="D398" i="4"/>
  <c r="I397" i="4"/>
  <c r="D397" i="4"/>
  <c r="I396" i="4"/>
  <c r="D396" i="4"/>
  <c r="I395" i="4"/>
  <c r="D395" i="4"/>
  <c r="I394" i="4"/>
  <c r="D394" i="4"/>
  <c r="I393" i="4"/>
  <c r="D393" i="4"/>
  <c r="I392" i="4"/>
  <c r="D392" i="4"/>
  <c r="I388" i="4"/>
  <c r="D388" i="4"/>
  <c r="I387" i="4"/>
  <c r="D387" i="4"/>
  <c r="W387" i="4" s="1"/>
  <c r="I386" i="4"/>
  <c r="D386" i="4"/>
  <c r="W386" i="4" s="1"/>
  <c r="I385" i="4"/>
  <c r="D385" i="4"/>
  <c r="W385" i="4" s="1"/>
  <c r="I384" i="4"/>
  <c r="D384" i="4"/>
  <c r="W384" i="4" s="1"/>
  <c r="I383" i="4"/>
  <c r="D383" i="4"/>
  <c r="W383" i="4" s="1"/>
  <c r="I382" i="4"/>
  <c r="D382" i="4"/>
  <c r="W382" i="4" s="1"/>
  <c r="I381" i="4"/>
  <c r="D381" i="4"/>
  <c r="W381" i="4" s="1"/>
  <c r="I380" i="4"/>
  <c r="D380" i="4"/>
  <c r="W380" i="4" s="1"/>
  <c r="I379" i="4"/>
  <c r="D379" i="4"/>
  <c r="W379" i="4" s="1"/>
  <c r="I378" i="4"/>
  <c r="D378" i="4"/>
  <c r="W378" i="4" s="1"/>
  <c r="I377" i="4"/>
  <c r="D377" i="4"/>
  <c r="W377" i="4" s="1"/>
  <c r="I376" i="4"/>
  <c r="D376" i="4"/>
  <c r="W376" i="4" s="1"/>
  <c r="I375" i="4"/>
  <c r="D375" i="4"/>
  <c r="W375" i="4" s="1"/>
  <c r="I374" i="4"/>
  <c r="D374" i="4"/>
  <c r="W374" i="4" s="1"/>
  <c r="I373" i="4"/>
  <c r="D373" i="4"/>
  <c r="W373" i="4" s="1"/>
  <c r="I372" i="4"/>
  <c r="D372" i="4"/>
  <c r="W372" i="4" s="1"/>
  <c r="I371" i="4"/>
  <c r="D371" i="4"/>
  <c r="W371" i="4" s="1"/>
  <c r="I370" i="4"/>
  <c r="D370" i="4"/>
  <c r="W370" i="4" s="1"/>
  <c r="I369" i="4"/>
  <c r="D369" i="4"/>
  <c r="W369" i="4" s="1"/>
  <c r="I368" i="4"/>
  <c r="D368" i="4"/>
  <c r="W368" i="4" s="1"/>
  <c r="I367" i="4"/>
  <c r="D367" i="4"/>
  <c r="W367" i="4" s="1"/>
  <c r="I366" i="4"/>
  <c r="D366" i="4"/>
  <c r="I365" i="4"/>
  <c r="D365" i="4"/>
  <c r="I364" i="4"/>
  <c r="D364" i="4"/>
  <c r="I363" i="4"/>
  <c r="D363" i="4"/>
  <c r="I362" i="4"/>
  <c r="D362" i="4"/>
  <c r="I358" i="4"/>
  <c r="D358" i="4"/>
  <c r="I357" i="4"/>
  <c r="D357" i="4"/>
  <c r="I356" i="4"/>
  <c r="D356" i="4"/>
  <c r="I355" i="4"/>
  <c r="D355" i="4"/>
  <c r="I354" i="4"/>
  <c r="D354" i="4"/>
  <c r="I353" i="4"/>
  <c r="D353" i="4"/>
  <c r="I352" i="4"/>
  <c r="D352" i="4"/>
  <c r="I351" i="4"/>
  <c r="D351" i="4"/>
  <c r="I350" i="4"/>
  <c r="D350" i="4"/>
  <c r="I349" i="4"/>
  <c r="D349" i="4"/>
  <c r="I348" i="4"/>
  <c r="D348" i="4"/>
  <c r="I347" i="4"/>
  <c r="D347" i="4"/>
  <c r="I346" i="4"/>
  <c r="D346" i="4"/>
  <c r="I345" i="4"/>
  <c r="D345" i="4"/>
  <c r="I344" i="4"/>
  <c r="D344" i="4"/>
  <c r="I343" i="4"/>
  <c r="D343" i="4"/>
  <c r="I342" i="4"/>
  <c r="D342" i="4"/>
  <c r="I341" i="4"/>
  <c r="D341" i="4"/>
  <c r="I340" i="4"/>
  <c r="D340" i="4"/>
  <c r="I339" i="4"/>
  <c r="D339" i="4"/>
  <c r="I338" i="4"/>
  <c r="D338" i="4"/>
  <c r="I337" i="4"/>
  <c r="D337" i="4"/>
  <c r="I336" i="4"/>
  <c r="D336" i="4"/>
  <c r="I335" i="4"/>
  <c r="D335" i="4"/>
  <c r="I334" i="4"/>
  <c r="D334" i="4"/>
  <c r="I333" i="4"/>
  <c r="D333" i="4"/>
  <c r="I332" i="4"/>
  <c r="D332" i="4"/>
  <c r="I328" i="4"/>
  <c r="D328" i="4"/>
  <c r="I327" i="4"/>
  <c r="D327" i="4"/>
  <c r="I326" i="4"/>
  <c r="D326" i="4"/>
  <c r="I325" i="4"/>
  <c r="D325" i="4"/>
  <c r="I324" i="4"/>
  <c r="D324" i="4"/>
  <c r="I323" i="4"/>
  <c r="D323" i="4"/>
  <c r="I322" i="4"/>
  <c r="D322" i="4"/>
  <c r="I321" i="4"/>
  <c r="D321" i="4"/>
  <c r="I320" i="4"/>
  <c r="D320" i="4"/>
  <c r="I319" i="4"/>
  <c r="D319" i="4"/>
  <c r="I318" i="4"/>
  <c r="D318" i="4"/>
  <c r="I317" i="4"/>
  <c r="D317" i="4"/>
  <c r="I316" i="4"/>
  <c r="D316" i="4"/>
  <c r="I315" i="4"/>
  <c r="D315" i="4"/>
  <c r="I314" i="4"/>
  <c r="D314" i="4"/>
  <c r="I313" i="4"/>
  <c r="D313" i="4"/>
  <c r="I312" i="4"/>
  <c r="D312" i="4"/>
  <c r="I311" i="4"/>
  <c r="D311" i="4"/>
  <c r="I310" i="4"/>
  <c r="D310" i="4"/>
  <c r="I309" i="4"/>
  <c r="D309" i="4"/>
  <c r="I308" i="4"/>
  <c r="D308" i="4"/>
  <c r="I307" i="4"/>
  <c r="D307" i="4"/>
  <c r="I306" i="4"/>
  <c r="D306" i="4"/>
  <c r="I305" i="4"/>
  <c r="D305" i="4"/>
  <c r="I304" i="4"/>
  <c r="D304" i="4"/>
  <c r="I303" i="4"/>
  <c r="D303" i="4"/>
  <c r="I302" i="4"/>
  <c r="D302" i="4"/>
  <c r="I298" i="4"/>
  <c r="D298" i="4"/>
  <c r="I297" i="4"/>
  <c r="D297" i="4"/>
  <c r="I296" i="4"/>
  <c r="D296" i="4"/>
  <c r="I295" i="4"/>
  <c r="D295" i="4"/>
  <c r="I294" i="4"/>
  <c r="D294" i="4"/>
  <c r="I293" i="4"/>
  <c r="D293" i="4"/>
  <c r="I292" i="4"/>
  <c r="D292" i="4"/>
  <c r="I291" i="4"/>
  <c r="D291" i="4"/>
  <c r="I290" i="4"/>
  <c r="D290" i="4"/>
  <c r="I289" i="4"/>
  <c r="D289" i="4"/>
  <c r="I288" i="4"/>
  <c r="D288" i="4"/>
  <c r="I287" i="4"/>
  <c r="D287" i="4"/>
  <c r="I286" i="4"/>
  <c r="D286" i="4"/>
  <c r="I285" i="4"/>
  <c r="D285" i="4"/>
  <c r="I284" i="4"/>
  <c r="D284" i="4"/>
  <c r="I283" i="4"/>
  <c r="D283" i="4"/>
  <c r="I282" i="4"/>
  <c r="D282" i="4"/>
  <c r="I281" i="4"/>
  <c r="D281" i="4"/>
  <c r="I280" i="4"/>
  <c r="D280" i="4"/>
  <c r="I279" i="4"/>
  <c r="D279" i="4"/>
  <c r="I278" i="4"/>
  <c r="D278" i="4"/>
  <c r="I277" i="4"/>
  <c r="D277" i="4"/>
  <c r="I276" i="4"/>
  <c r="D276" i="4"/>
  <c r="I275" i="4"/>
  <c r="D275" i="4"/>
  <c r="I274" i="4"/>
  <c r="D274" i="4"/>
  <c r="I273" i="4"/>
  <c r="D273" i="4"/>
  <c r="I272" i="4"/>
  <c r="D272" i="4"/>
  <c r="I268" i="4"/>
  <c r="D268" i="4"/>
  <c r="I267" i="4"/>
  <c r="D267" i="4"/>
  <c r="I266" i="4"/>
  <c r="D266" i="4"/>
  <c r="I265" i="4"/>
  <c r="D265" i="4"/>
  <c r="I264" i="4"/>
  <c r="D264" i="4"/>
  <c r="I263" i="4"/>
  <c r="D263" i="4"/>
  <c r="I262" i="4"/>
  <c r="D262" i="4"/>
  <c r="I261" i="4"/>
  <c r="D261" i="4"/>
  <c r="I260" i="4"/>
  <c r="D260" i="4"/>
  <c r="I259" i="4"/>
  <c r="D259" i="4"/>
  <c r="I258" i="4"/>
  <c r="D258" i="4"/>
  <c r="I257" i="4"/>
  <c r="D257" i="4"/>
  <c r="I256" i="4"/>
  <c r="D256" i="4"/>
  <c r="I255" i="4"/>
  <c r="D255" i="4"/>
  <c r="I254" i="4"/>
  <c r="D254" i="4"/>
  <c r="I253" i="4"/>
  <c r="D253" i="4"/>
  <c r="I252" i="4"/>
  <c r="D252" i="4"/>
  <c r="I251" i="4"/>
  <c r="D251" i="4"/>
  <c r="I250" i="4"/>
  <c r="D250" i="4"/>
  <c r="I249" i="4"/>
  <c r="D249" i="4"/>
  <c r="I248" i="4"/>
  <c r="D248" i="4"/>
  <c r="I247" i="4"/>
  <c r="D247" i="4"/>
  <c r="I246" i="4"/>
  <c r="D246" i="4"/>
  <c r="I245" i="4"/>
  <c r="D245" i="4"/>
  <c r="I244" i="4"/>
  <c r="D244" i="4"/>
  <c r="I243" i="4"/>
  <c r="D243" i="4"/>
  <c r="I242" i="4"/>
  <c r="D242" i="4"/>
  <c r="I238" i="4"/>
  <c r="D238" i="4"/>
  <c r="I237" i="4"/>
  <c r="D237" i="4"/>
  <c r="W237" i="4" s="1"/>
  <c r="I236" i="4"/>
  <c r="D236" i="4"/>
  <c r="W236" i="4" s="1"/>
  <c r="I235" i="4"/>
  <c r="D235" i="4"/>
  <c r="W235" i="4" s="1"/>
  <c r="I234" i="4"/>
  <c r="D234" i="4"/>
  <c r="W234" i="4" s="1"/>
  <c r="I233" i="4"/>
  <c r="D233" i="4"/>
  <c r="W233" i="4" s="1"/>
  <c r="I232" i="4"/>
  <c r="D232" i="4"/>
  <c r="W232" i="4" s="1"/>
  <c r="I231" i="4"/>
  <c r="D231" i="4"/>
  <c r="W231" i="4" s="1"/>
  <c r="I230" i="4"/>
  <c r="D230" i="4"/>
  <c r="W230" i="4" s="1"/>
  <c r="I229" i="4"/>
  <c r="D229" i="4"/>
  <c r="W229" i="4" s="1"/>
  <c r="I228" i="4"/>
  <c r="D228" i="4"/>
  <c r="W228" i="4" s="1"/>
  <c r="I227" i="4"/>
  <c r="D227" i="4"/>
  <c r="W227" i="4" s="1"/>
  <c r="I226" i="4"/>
  <c r="D226" i="4"/>
  <c r="W226" i="4" s="1"/>
  <c r="I225" i="4"/>
  <c r="D225" i="4"/>
  <c r="W225" i="4" s="1"/>
  <c r="I224" i="4"/>
  <c r="D224" i="4"/>
  <c r="W224" i="4" s="1"/>
  <c r="I223" i="4"/>
  <c r="D223" i="4"/>
  <c r="W223" i="4" s="1"/>
  <c r="I222" i="4"/>
  <c r="D222" i="4"/>
  <c r="W222" i="4" s="1"/>
  <c r="I221" i="4"/>
  <c r="D221" i="4"/>
  <c r="I220" i="4"/>
  <c r="D220" i="4"/>
  <c r="W220" i="4" s="1"/>
  <c r="I219" i="4"/>
  <c r="D219" i="4"/>
  <c r="W219" i="4" s="1"/>
  <c r="I218" i="4"/>
  <c r="D218" i="4"/>
  <c r="W218" i="4" s="1"/>
  <c r="I217" i="4"/>
  <c r="D217" i="4"/>
  <c r="W217" i="4" s="1"/>
  <c r="I216" i="4"/>
  <c r="D216" i="4"/>
  <c r="I215" i="4"/>
  <c r="D215" i="4"/>
  <c r="I214" i="4"/>
  <c r="D214" i="4"/>
  <c r="I213" i="4"/>
  <c r="D213" i="4"/>
  <c r="I212" i="4"/>
  <c r="D212" i="4"/>
  <c r="I208" i="4"/>
  <c r="D208" i="4"/>
  <c r="I207" i="4"/>
  <c r="D207" i="4"/>
  <c r="I206" i="4"/>
  <c r="D206" i="4"/>
  <c r="W206" i="4" s="1"/>
  <c r="I205" i="4"/>
  <c r="D205" i="4"/>
  <c r="W205" i="4" s="1"/>
  <c r="I204" i="4"/>
  <c r="D204" i="4"/>
  <c r="W204" i="4" s="1"/>
  <c r="I203" i="4"/>
  <c r="D203" i="4"/>
  <c r="W203" i="4" s="1"/>
  <c r="I202" i="4"/>
  <c r="D202" i="4"/>
  <c r="W202" i="4" s="1"/>
  <c r="I201" i="4"/>
  <c r="D201" i="4"/>
  <c r="W201" i="4" s="1"/>
  <c r="I200" i="4"/>
  <c r="D200" i="4"/>
  <c r="W200" i="4" s="1"/>
  <c r="I199" i="4"/>
  <c r="D199" i="4"/>
  <c r="W199" i="4" s="1"/>
  <c r="I198" i="4"/>
  <c r="D198" i="4"/>
  <c r="W198" i="4" s="1"/>
  <c r="I197" i="4"/>
  <c r="D197" i="4"/>
  <c r="W197" i="4" s="1"/>
  <c r="I196" i="4"/>
  <c r="D196" i="4"/>
  <c r="W196" i="4" s="1"/>
  <c r="I195" i="4"/>
  <c r="D195" i="4"/>
  <c r="W195" i="4" s="1"/>
  <c r="I194" i="4"/>
  <c r="D194" i="4"/>
  <c r="W194" i="4" s="1"/>
  <c r="I193" i="4"/>
  <c r="D193" i="4"/>
  <c r="W193" i="4" s="1"/>
  <c r="I192" i="4"/>
  <c r="D192" i="4"/>
  <c r="W192" i="4" s="1"/>
  <c r="I191" i="4"/>
  <c r="D191" i="4"/>
  <c r="W191" i="4" s="1"/>
  <c r="I190" i="4"/>
  <c r="D190" i="4"/>
  <c r="W190" i="4" s="1"/>
  <c r="I189" i="4"/>
  <c r="D189" i="4"/>
  <c r="W189" i="4" s="1"/>
  <c r="I188" i="4"/>
  <c r="D188" i="4"/>
  <c r="W188" i="4" s="1"/>
  <c r="I187" i="4"/>
  <c r="D187" i="4"/>
  <c r="W187" i="4" s="1"/>
  <c r="I186" i="4"/>
  <c r="D186" i="4"/>
  <c r="I185" i="4"/>
  <c r="D185" i="4"/>
  <c r="I184" i="4"/>
  <c r="D184" i="4"/>
  <c r="I183" i="4"/>
  <c r="D183" i="4"/>
  <c r="I182" i="4"/>
  <c r="D182" i="4"/>
  <c r="I178" i="4"/>
  <c r="D178" i="4"/>
  <c r="I177" i="4"/>
  <c r="D177" i="4"/>
  <c r="I176" i="4"/>
  <c r="D176" i="4"/>
  <c r="I175" i="4"/>
  <c r="D175" i="4"/>
  <c r="I174" i="4"/>
  <c r="D174" i="4"/>
  <c r="I173" i="4"/>
  <c r="D173" i="4"/>
  <c r="I172" i="4"/>
  <c r="D172" i="4"/>
  <c r="I171" i="4"/>
  <c r="D171" i="4"/>
  <c r="I170" i="4"/>
  <c r="D170" i="4"/>
  <c r="I169" i="4"/>
  <c r="D169" i="4"/>
  <c r="I168" i="4"/>
  <c r="D168" i="4"/>
  <c r="I167" i="4"/>
  <c r="D167" i="4"/>
  <c r="I166" i="4"/>
  <c r="D166" i="4"/>
  <c r="I165" i="4"/>
  <c r="D165" i="4"/>
  <c r="I164" i="4"/>
  <c r="D164" i="4"/>
  <c r="I163" i="4"/>
  <c r="D163" i="4"/>
  <c r="I162" i="4"/>
  <c r="D162" i="4"/>
  <c r="I161" i="4"/>
  <c r="D161" i="4"/>
  <c r="I160" i="4"/>
  <c r="D160" i="4"/>
  <c r="I159" i="4"/>
  <c r="D159" i="4"/>
  <c r="I158" i="4"/>
  <c r="D158" i="4"/>
  <c r="I157" i="4"/>
  <c r="D157" i="4"/>
  <c r="I156" i="4"/>
  <c r="D156" i="4"/>
  <c r="I155" i="4"/>
  <c r="D155" i="4"/>
  <c r="I154" i="4"/>
  <c r="D154" i="4"/>
  <c r="I153" i="4"/>
  <c r="D153" i="4"/>
  <c r="I152" i="4"/>
  <c r="D152" i="4"/>
  <c r="I148" i="4"/>
  <c r="D148" i="4"/>
  <c r="I147" i="4"/>
  <c r="D147" i="4"/>
  <c r="I146" i="4"/>
  <c r="D146" i="4"/>
  <c r="N146" i="4" s="1"/>
  <c r="I145" i="4"/>
  <c r="D145" i="4"/>
  <c r="I144" i="4"/>
  <c r="D144" i="4"/>
  <c r="I143" i="4"/>
  <c r="D143" i="4"/>
  <c r="I142" i="4"/>
  <c r="D142" i="4"/>
  <c r="I141" i="4"/>
  <c r="D141" i="4"/>
  <c r="I140" i="4"/>
  <c r="D140" i="4"/>
  <c r="I139" i="4"/>
  <c r="D139" i="4"/>
  <c r="I138" i="4"/>
  <c r="D138" i="4"/>
  <c r="I137" i="4"/>
  <c r="D137" i="4"/>
  <c r="I136" i="4"/>
  <c r="D136" i="4"/>
  <c r="I135" i="4"/>
  <c r="D135" i="4"/>
  <c r="I134" i="4"/>
  <c r="D134" i="4"/>
  <c r="I133" i="4"/>
  <c r="D133" i="4"/>
  <c r="I132" i="4"/>
  <c r="D132" i="4"/>
  <c r="I131" i="4"/>
  <c r="D131" i="4"/>
  <c r="I130" i="4"/>
  <c r="D130" i="4"/>
  <c r="I129" i="4"/>
  <c r="D129" i="4"/>
  <c r="I128" i="4"/>
  <c r="D128" i="4"/>
  <c r="I127" i="4"/>
  <c r="D127" i="4"/>
  <c r="I126" i="4"/>
  <c r="D126" i="4"/>
  <c r="I125" i="4"/>
  <c r="D125" i="4"/>
  <c r="I124" i="4"/>
  <c r="D124" i="4"/>
  <c r="I123" i="4"/>
  <c r="D123" i="4"/>
  <c r="I122" i="4"/>
  <c r="D122" i="4"/>
  <c r="I118" i="4"/>
  <c r="D118" i="4"/>
  <c r="I117" i="4"/>
  <c r="D117" i="4"/>
  <c r="I116" i="4"/>
  <c r="D116" i="4"/>
  <c r="I115" i="4"/>
  <c r="D115" i="4"/>
  <c r="I114" i="4"/>
  <c r="D114" i="4"/>
  <c r="I113" i="4"/>
  <c r="D113" i="4"/>
  <c r="I112" i="4"/>
  <c r="D112" i="4"/>
  <c r="I111" i="4"/>
  <c r="D111" i="4"/>
  <c r="I110" i="4"/>
  <c r="D110" i="4"/>
  <c r="I109" i="4"/>
  <c r="D109" i="4"/>
  <c r="I108" i="4"/>
  <c r="D108" i="4"/>
  <c r="I107" i="4"/>
  <c r="D107" i="4"/>
  <c r="I106" i="4"/>
  <c r="D106" i="4"/>
  <c r="I105" i="4"/>
  <c r="D105" i="4"/>
  <c r="I104" i="4"/>
  <c r="D104" i="4"/>
  <c r="I103" i="4"/>
  <c r="D103" i="4"/>
  <c r="I102" i="4"/>
  <c r="D102" i="4"/>
  <c r="I101" i="4"/>
  <c r="D101" i="4"/>
  <c r="I100" i="4"/>
  <c r="D100" i="4"/>
  <c r="I99" i="4"/>
  <c r="D99" i="4"/>
  <c r="I98" i="4"/>
  <c r="D98" i="4"/>
  <c r="I97" i="4"/>
  <c r="D97" i="4"/>
  <c r="I96" i="4"/>
  <c r="D96" i="4"/>
  <c r="I95" i="4"/>
  <c r="D95" i="4"/>
  <c r="I94" i="4"/>
  <c r="D94" i="4"/>
  <c r="I93" i="4"/>
  <c r="D93" i="4"/>
  <c r="I92" i="4"/>
  <c r="D92" i="4"/>
  <c r="I88" i="4"/>
  <c r="D88" i="4"/>
  <c r="I87" i="4"/>
  <c r="D87" i="4"/>
  <c r="I86" i="4"/>
  <c r="D86" i="4"/>
  <c r="I85" i="4"/>
  <c r="D85" i="4"/>
  <c r="I84" i="4"/>
  <c r="D84" i="4"/>
  <c r="I83" i="4"/>
  <c r="D83" i="4"/>
  <c r="I82" i="4"/>
  <c r="D82" i="4"/>
  <c r="I81" i="4"/>
  <c r="D81" i="4"/>
  <c r="I80" i="4"/>
  <c r="D80" i="4"/>
  <c r="I79" i="4"/>
  <c r="D79" i="4"/>
  <c r="I78" i="4"/>
  <c r="D78" i="4"/>
  <c r="I77" i="4"/>
  <c r="D77" i="4"/>
  <c r="I76" i="4"/>
  <c r="D76" i="4"/>
  <c r="I75" i="4"/>
  <c r="D75" i="4"/>
  <c r="I74" i="4"/>
  <c r="D74" i="4"/>
  <c r="I73" i="4"/>
  <c r="D73" i="4"/>
  <c r="I72" i="4"/>
  <c r="D72" i="4"/>
  <c r="I71" i="4"/>
  <c r="D71" i="4"/>
  <c r="I70" i="4"/>
  <c r="D70" i="4"/>
  <c r="I69" i="4"/>
  <c r="D69" i="4"/>
  <c r="I68" i="4"/>
  <c r="D68" i="4"/>
  <c r="I67" i="4"/>
  <c r="D67" i="4"/>
  <c r="I66" i="4"/>
  <c r="D66" i="4"/>
  <c r="I65" i="4"/>
  <c r="D65" i="4"/>
  <c r="I64" i="4"/>
  <c r="D64" i="4"/>
  <c r="I63" i="4"/>
  <c r="D63" i="4"/>
  <c r="H62" i="4"/>
  <c r="I62" i="4" s="1"/>
  <c r="G62" i="4"/>
  <c r="I58" i="4"/>
  <c r="D58" i="4"/>
  <c r="I57" i="4"/>
  <c r="D57" i="4"/>
  <c r="I56" i="4"/>
  <c r="D56" i="4"/>
  <c r="I55" i="4"/>
  <c r="D55" i="4"/>
  <c r="I54" i="4"/>
  <c r="D54" i="4"/>
  <c r="I53" i="4"/>
  <c r="D53" i="4"/>
  <c r="I52" i="4"/>
  <c r="D52" i="4"/>
  <c r="I51" i="4"/>
  <c r="D51" i="4"/>
  <c r="I50" i="4"/>
  <c r="D50" i="4"/>
  <c r="I49" i="4"/>
  <c r="D49" i="4"/>
  <c r="I48" i="4"/>
  <c r="D48" i="4"/>
  <c r="I47" i="4"/>
  <c r="D47" i="4"/>
  <c r="I46" i="4"/>
  <c r="D46" i="4"/>
  <c r="I45" i="4"/>
  <c r="D45" i="4"/>
  <c r="I44" i="4"/>
  <c r="D44" i="4"/>
  <c r="I43" i="4"/>
  <c r="D43" i="4"/>
  <c r="I42" i="4"/>
  <c r="D42" i="4"/>
  <c r="I41" i="4"/>
  <c r="D41" i="4"/>
  <c r="I40" i="4"/>
  <c r="D40" i="4"/>
  <c r="H39" i="4"/>
  <c r="I39" i="4" s="1"/>
  <c r="G39" i="4"/>
  <c r="I38" i="4"/>
  <c r="D38" i="4"/>
  <c r="I37" i="4"/>
  <c r="D37" i="4"/>
  <c r="I36" i="4"/>
  <c r="D36" i="4"/>
  <c r="I35" i="4"/>
  <c r="D35" i="4"/>
  <c r="I34" i="4"/>
  <c r="D34" i="4"/>
  <c r="I33" i="4"/>
  <c r="D33" i="4"/>
  <c r="I32" i="4"/>
  <c r="D32" i="4"/>
  <c r="I28" i="4"/>
  <c r="D28" i="4"/>
  <c r="H27" i="4"/>
  <c r="I27" i="4" s="1"/>
  <c r="G27" i="4"/>
  <c r="H26" i="4"/>
  <c r="I26" i="4" s="1"/>
  <c r="G26" i="4"/>
  <c r="I25" i="4"/>
  <c r="D25" i="4"/>
  <c r="H24" i="4"/>
  <c r="I24" i="4" s="1"/>
  <c r="G24" i="4"/>
  <c r="H23" i="4"/>
  <c r="I23" i="4" s="1"/>
  <c r="G23" i="4"/>
  <c r="I22" i="4"/>
  <c r="D22" i="4"/>
  <c r="I21" i="4"/>
  <c r="D21" i="4"/>
  <c r="I20" i="4"/>
  <c r="D20" i="4"/>
  <c r="I19" i="4"/>
  <c r="D19" i="4"/>
  <c r="I18" i="4"/>
  <c r="D18" i="4"/>
  <c r="I17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G2" i="4"/>
  <c r="D2" i="4" s="1"/>
  <c r="I463" i="1"/>
  <c r="I405" i="1"/>
  <c r="I347" i="1"/>
  <c r="I289" i="1"/>
  <c r="I231" i="1"/>
  <c r="I173" i="1"/>
  <c r="I115" i="1"/>
  <c r="I376" i="1"/>
  <c r="I318" i="1"/>
  <c r="I260" i="1"/>
  <c r="I202" i="1"/>
  <c r="I144" i="1"/>
  <c r="I86" i="1"/>
  <c r="D463" i="1"/>
  <c r="D434" i="1"/>
  <c r="D405" i="1"/>
  <c r="D376" i="1"/>
  <c r="D347" i="1"/>
  <c r="D318" i="1"/>
  <c r="D289" i="1"/>
  <c r="D260" i="1"/>
  <c r="D231" i="1"/>
  <c r="D202" i="1"/>
  <c r="D173" i="1"/>
  <c r="D144" i="1"/>
  <c r="D115" i="1"/>
  <c r="D8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122" i="1"/>
  <c r="I123" i="1"/>
  <c r="I124" i="1"/>
  <c r="I125" i="1"/>
  <c r="I126" i="1"/>
  <c r="I120" i="1"/>
  <c r="I121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8" i="1"/>
  <c r="I119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9" i="1"/>
  <c r="I32" i="1"/>
  <c r="I33" i="1"/>
  <c r="I34" i="1"/>
  <c r="I35" i="1"/>
  <c r="I36" i="1"/>
  <c r="I3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61" i="1"/>
  <c r="I62" i="1"/>
  <c r="I63" i="1"/>
  <c r="I64" i="1"/>
  <c r="I65" i="1"/>
  <c r="I66" i="1"/>
  <c r="I6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5" i="1"/>
  <c r="I31" i="1"/>
  <c r="I2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156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7" i="1"/>
  <c r="D148" i="1"/>
  <c r="D149" i="1"/>
  <c r="D150" i="1"/>
  <c r="D151" i="1"/>
  <c r="D152" i="1"/>
  <c r="D153" i="1"/>
  <c r="D154" i="1"/>
  <c r="D155" i="1"/>
  <c r="D57" i="1"/>
  <c r="D61" i="1"/>
  <c r="D62" i="1"/>
  <c r="D63" i="1"/>
  <c r="D64" i="1"/>
  <c r="D65" i="1"/>
  <c r="D66" i="1"/>
  <c r="D67" i="1"/>
  <c r="D68" i="1"/>
  <c r="D53" i="1"/>
  <c r="D54" i="1"/>
  <c r="D55" i="1"/>
  <c r="D56" i="1"/>
  <c r="D49" i="1"/>
  <c r="D50" i="1"/>
  <c r="D51" i="1"/>
  <c r="D52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16" i="1"/>
  <c r="D17" i="1"/>
  <c r="D18" i="1"/>
  <c r="D19" i="1"/>
  <c r="D20" i="1"/>
  <c r="D21" i="1"/>
  <c r="D22" i="1"/>
  <c r="D25" i="1"/>
  <c r="D28" i="1"/>
  <c r="D31" i="1"/>
  <c r="D32" i="1"/>
  <c r="D33" i="1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O328" i="4" l="1"/>
  <c r="AD27" i="4"/>
  <c r="V88" i="4"/>
  <c r="W88" i="4" s="1"/>
  <c r="R88" i="4"/>
  <c r="S88" i="4" s="1"/>
  <c r="J88" i="4"/>
  <c r="K88" i="4" s="1"/>
  <c r="N88" i="4"/>
  <c r="O88" i="4" s="1"/>
  <c r="K208" i="4"/>
  <c r="W208" i="4"/>
  <c r="D27" i="4"/>
  <c r="D26" i="4"/>
  <c r="D39" i="4"/>
  <c r="O208" i="4"/>
  <c r="S208" i="4"/>
  <c r="D23" i="4"/>
  <c r="D62" i="4"/>
  <c r="K328" i="4"/>
  <c r="W418" i="4"/>
  <c r="K418" i="4"/>
  <c r="S418" i="4"/>
  <c r="O418" i="4"/>
  <c r="W221" i="4"/>
  <c r="S221" i="4"/>
  <c r="R268" i="4"/>
  <c r="S268" i="4" s="1"/>
  <c r="N268" i="4"/>
  <c r="O268" i="4" s="1"/>
  <c r="V268" i="4"/>
  <c r="W268" i="4" s="1"/>
  <c r="J268" i="4"/>
  <c r="K268" i="4" s="1"/>
  <c r="W388" i="4"/>
  <c r="S388" i="4"/>
  <c r="K388" i="4"/>
  <c r="O388" i="4"/>
  <c r="S328" i="4"/>
  <c r="D24" i="4"/>
  <c r="R24" i="4" s="1"/>
  <c r="W328" i="4"/>
  <c r="J298" i="4"/>
  <c r="K298" i="4" s="1"/>
  <c r="R298" i="4"/>
  <c r="S298" i="4" s="1"/>
  <c r="N298" i="4"/>
  <c r="O298" i="4" s="1"/>
  <c r="V298" i="4"/>
  <c r="W298" i="4" s="1"/>
  <c r="R118" i="4"/>
  <c r="S118" i="4" s="1"/>
  <c r="N118" i="4"/>
  <c r="O118" i="4" s="1"/>
  <c r="V118" i="4"/>
  <c r="W118" i="4" s="1"/>
  <c r="J118" i="4"/>
  <c r="K118" i="4" s="1"/>
  <c r="W207" i="4"/>
  <c r="K207" i="4"/>
  <c r="W238" i="4"/>
  <c r="K238" i="4"/>
  <c r="S238" i="4"/>
  <c r="O238" i="4"/>
  <c r="W358" i="4"/>
  <c r="K358" i="4"/>
  <c r="O358" i="4"/>
  <c r="S358" i="4"/>
  <c r="U33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92" i="6"/>
  <c r="Q62" i="6"/>
  <c r="N27" i="4" l="1"/>
  <c r="J27" i="4"/>
  <c r="R27" i="4"/>
  <c r="T29" i="4"/>
  <c r="Y33" i="6"/>
  <c r="T8" i="4"/>
  <c r="S24" i="4"/>
  <c r="T28" i="4"/>
  <c r="K27" i="4"/>
  <c r="V27" i="4"/>
  <c r="W27" i="4" s="1"/>
  <c r="Y68" i="5"/>
  <c r="W67" i="5"/>
  <c r="U67" i="5"/>
  <c r="U66" i="5"/>
  <c r="AA34" i="5"/>
  <c r="Z34" i="5"/>
  <c r="Y34" i="5"/>
  <c r="Y5" i="5"/>
  <c r="U5" i="5"/>
  <c r="U39" i="5"/>
  <c r="AC5" i="5" l="1"/>
  <c r="V5" i="5"/>
  <c r="AG5" i="5" l="1"/>
  <c r="AH5" i="5"/>
  <c r="J24" i="4"/>
  <c r="L29" i="4" s="1"/>
  <c r="L27" i="4" l="1"/>
  <c r="L28" i="4"/>
  <c r="L21" i="4"/>
  <c r="L7" i="4"/>
  <c r="AE27" i="4"/>
  <c r="AD242" i="4" l="1"/>
  <c r="AD297" i="4" l="1"/>
  <c r="AD296" i="4"/>
  <c r="AD295" i="4"/>
  <c r="AD294" i="4"/>
  <c r="AD293" i="4"/>
  <c r="AD292" i="4"/>
  <c r="AD291" i="4"/>
  <c r="AD290" i="4"/>
  <c r="AD288" i="4"/>
  <c r="AD287" i="4"/>
  <c r="AD286" i="4"/>
  <c r="AD285" i="4"/>
  <c r="AD284" i="4"/>
  <c r="AD283" i="4"/>
  <c r="AD282" i="4"/>
  <c r="AD281" i="4"/>
  <c r="AD280" i="4"/>
  <c r="AD279" i="4"/>
  <c r="AD278" i="4"/>
  <c r="AD277" i="4"/>
  <c r="AD275" i="4"/>
  <c r="AD274" i="4"/>
  <c r="AD273" i="4"/>
  <c r="AD272" i="4"/>
  <c r="AD267" i="4"/>
  <c r="AD266" i="4"/>
  <c r="AD265" i="4"/>
  <c r="AD264" i="4"/>
  <c r="AD263" i="4"/>
  <c r="AD262" i="4"/>
  <c r="AD261" i="4"/>
  <c r="AD260" i="4"/>
  <c r="AD259" i="4"/>
  <c r="AD258" i="4"/>
  <c r="AD257" i="4"/>
  <c r="AD256" i="4"/>
  <c r="AD255" i="4"/>
  <c r="AD254" i="4"/>
  <c r="AD253" i="4"/>
  <c r="AD252" i="4"/>
  <c r="AD251" i="4"/>
  <c r="AD250" i="4"/>
  <c r="AD249" i="4"/>
  <c r="AD248" i="4"/>
  <c r="AD247" i="4"/>
  <c r="AD245" i="4"/>
  <c r="AD244" i="4"/>
  <c r="AD243" i="4"/>
  <c r="V297" i="4"/>
  <c r="W297" i="4" s="1"/>
  <c r="V296" i="4"/>
  <c r="W296" i="4" s="1"/>
  <c r="V295" i="4"/>
  <c r="W295" i="4" s="1"/>
  <c r="V294" i="4"/>
  <c r="W294" i="4" s="1"/>
  <c r="V293" i="4"/>
  <c r="W293" i="4" s="1"/>
  <c r="V292" i="4"/>
  <c r="W292" i="4" s="1"/>
  <c r="V291" i="4"/>
  <c r="W291" i="4" s="1"/>
  <c r="V290" i="4"/>
  <c r="W290" i="4" s="1"/>
  <c r="V288" i="4"/>
  <c r="W288" i="4" s="1"/>
  <c r="V287" i="4"/>
  <c r="W287" i="4" s="1"/>
  <c r="V286" i="4"/>
  <c r="W286" i="4" s="1"/>
  <c r="V285" i="4"/>
  <c r="W285" i="4" s="1"/>
  <c r="V284" i="4"/>
  <c r="W284" i="4" s="1"/>
  <c r="V283" i="4"/>
  <c r="W283" i="4" s="1"/>
  <c r="V282" i="4"/>
  <c r="W282" i="4" s="1"/>
  <c r="V281" i="4"/>
  <c r="W281" i="4" s="1"/>
  <c r="V280" i="4"/>
  <c r="W280" i="4" s="1"/>
  <c r="V279" i="4"/>
  <c r="W279" i="4" s="1"/>
  <c r="V278" i="4"/>
  <c r="W278" i="4" s="1"/>
  <c r="V277" i="4"/>
  <c r="V275" i="4"/>
  <c r="W275" i="4" s="1"/>
  <c r="V274" i="4"/>
  <c r="W274" i="4" s="1"/>
  <c r="V273" i="4"/>
  <c r="W273" i="4" s="1"/>
  <c r="V272" i="4"/>
  <c r="W272" i="4" s="1"/>
  <c r="V267" i="4"/>
  <c r="W267" i="4" s="1"/>
  <c r="V266" i="4"/>
  <c r="W266" i="4" s="1"/>
  <c r="V265" i="4"/>
  <c r="W265" i="4" s="1"/>
  <c r="V264" i="4"/>
  <c r="W264" i="4" s="1"/>
  <c r="V263" i="4"/>
  <c r="W263" i="4" s="1"/>
  <c r="V262" i="4"/>
  <c r="W262" i="4" s="1"/>
  <c r="V261" i="4"/>
  <c r="W261" i="4" s="1"/>
  <c r="V260" i="4"/>
  <c r="W260" i="4" s="1"/>
  <c r="V259" i="4"/>
  <c r="W259" i="4" s="1"/>
  <c r="V258" i="4"/>
  <c r="W258" i="4" s="1"/>
  <c r="V257" i="4"/>
  <c r="W257" i="4" s="1"/>
  <c r="V256" i="4"/>
  <c r="W256" i="4" s="1"/>
  <c r="V255" i="4"/>
  <c r="W255" i="4" s="1"/>
  <c r="V254" i="4"/>
  <c r="W254" i="4" s="1"/>
  <c r="V253" i="4"/>
  <c r="W253" i="4" s="1"/>
  <c r="V252" i="4"/>
  <c r="W252" i="4" s="1"/>
  <c r="V251" i="4"/>
  <c r="W251" i="4" s="1"/>
  <c r="V250" i="4"/>
  <c r="W250" i="4" s="1"/>
  <c r="V249" i="4"/>
  <c r="W249" i="4" s="1"/>
  <c r="V248" i="4"/>
  <c r="W248" i="4" s="1"/>
  <c r="V247" i="4"/>
  <c r="V245" i="4"/>
  <c r="W245" i="4" s="1"/>
  <c r="V244" i="4"/>
  <c r="W244" i="4" s="1"/>
  <c r="V243" i="4"/>
  <c r="W243" i="4" s="1"/>
  <c r="V242" i="4"/>
  <c r="W242" i="4" s="1"/>
  <c r="V146" i="4"/>
  <c r="W146" i="4" s="1"/>
  <c r="V145" i="4"/>
  <c r="W145" i="4" s="1"/>
  <c r="V138" i="4"/>
  <c r="V117" i="4"/>
  <c r="W117" i="4" s="1"/>
  <c r="V116" i="4"/>
  <c r="W116" i="4" s="1"/>
  <c r="V115" i="4"/>
  <c r="W115" i="4" s="1"/>
  <c r="V114" i="4"/>
  <c r="W114" i="4" s="1"/>
  <c r="V113" i="4"/>
  <c r="W113" i="4" s="1"/>
  <c r="V112" i="4"/>
  <c r="W112" i="4" s="1"/>
  <c r="V111" i="4"/>
  <c r="W111" i="4" s="1"/>
  <c r="V110" i="4"/>
  <c r="W110" i="4" s="1"/>
  <c r="V109" i="4"/>
  <c r="W109" i="4" s="1"/>
  <c r="V108" i="4"/>
  <c r="W108" i="4" s="1"/>
  <c r="V100" i="4"/>
  <c r="W100" i="4" s="1"/>
  <c r="V98" i="4"/>
  <c r="V87" i="4"/>
  <c r="W87" i="4" s="1"/>
  <c r="V86" i="4"/>
  <c r="W86" i="4" s="1"/>
  <c r="V85" i="4"/>
  <c r="W85" i="4" s="1"/>
  <c r="V84" i="4"/>
  <c r="W84" i="4" s="1"/>
  <c r="V83" i="4"/>
  <c r="W83" i="4" s="1"/>
  <c r="V82" i="4"/>
  <c r="W82" i="4" s="1"/>
  <c r="V81" i="4"/>
  <c r="W81" i="4" s="1"/>
  <c r="V80" i="4"/>
  <c r="W80" i="4" s="1"/>
  <c r="V79" i="4"/>
  <c r="W79" i="4" s="1"/>
  <c r="V78" i="4"/>
  <c r="W78" i="4" s="1"/>
  <c r="V74" i="4"/>
  <c r="W74" i="4" s="1"/>
  <c r="V72" i="4"/>
  <c r="V24" i="4"/>
  <c r="X29" i="4" s="1"/>
  <c r="S410" i="4"/>
  <c r="S402" i="4"/>
  <c r="S382" i="4"/>
  <c r="S374" i="4"/>
  <c r="R297" i="4"/>
  <c r="S297" i="4" s="1"/>
  <c r="R296" i="4"/>
  <c r="S296" i="4" s="1"/>
  <c r="R295" i="4"/>
  <c r="S295" i="4" s="1"/>
  <c r="R294" i="4"/>
  <c r="S294" i="4" s="1"/>
  <c r="R293" i="4"/>
  <c r="S293" i="4" s="1"/>
  <c r="R292" i="4"/>
  <c r="S292" i="4" s="1"/>
  <c r="R291" i="4"/>
  <c r="S291" i="4" s="1"/>
  <c r="R290" i="4"/>
  <c r="S290" i="4" s="1"/>
  <c r="R288" i="4"/>
  <c r="S288" i="4" s="1"/>
  <c r="R287" i="4"/>
  <c r="S287" i="4" s="1"/>
  <c r="R286" i="4"/>
  <c r="S286" i="4" s="1"/>
  <c r="R285" i="4"/>
  <c r="S285" i="4" s="1"/>
  <c r="R284" i="4"/>
  <c r="S284" i="4" s="1"/>
  <c r="R283" i="4"/>
  <c r="S283" i="4" s="1"/>
  <c r="R282" i="4"/>
  <c r="S282" i="4" s="1"/>
  <c r="R281" i="4"/>
  <c r="S281" i="4" s="1"/>
  <c r="R280" i="4"/>
  <c r="S280" i="4" s="1"/>
  <c r="R279" i="4"/>
  <c r="S279" i="4" s="1"/>
  <c r="R278" i="4"/>
  <c r="S278" i="4" s="1"/>
  <c r="R277" i="4"/>
  <c r="R275" i="4"/>
  <c r="S275" i="4" s="1"/>
  <c r="R274" i="4"/>
  <c r="S274" i="4" s="1"/>
  <c r="R273" i="4"/>
  <c r="S273" i="4" s="1"/>
  <c r="R272" i="4"/>
  <c r="S272" i="4" s="1"/>
  <c r="R267" i="4"/>
  <c r="S267" i="4" s="1"/>
  <c r="R266" i="4"/>
  <c r="S266" i="4" s="1"/>
  <c r="R265" i="4"/>
  <c r="S265" i="4" s="1"/>
  <c r="R264" i="4"/>
  <c r="S264" i="4" s="1"/>
  <c r="R263" i="4"/>
  <c r="S263" i="4" s="1"/>
  <c r="R262" i="4"/>
  <c r="S262" i="4" s="1"/>
  <c r="R261" i="4"/>
  <c r="S261" i="4" s="1"/>
  <c r="R260" i="4"/>
  <c r="S260" i="4" s="1"/>
  <c r="R259" i="4"/>
  <c r="S259" i="4" s="1"/>
  <c r="R258" i="4"/>
  <c r="S258" i="4" s="1"/>
  <c r="R257" i="4"/>
  <c r="R256" i="4"/>
  <c r="S256" i="4" s="1"/>
  <c r="R255" i="4"/>
  <c r="S255" i="4" s="1"/>
  <c r="R254" i="4"/>
  <c r="S254" i="4" s="1"/>
  <c r="R253" i="4"/>
  <c r="S253" i="4" s="1"/>
  <c r="R252" i="4"/>
  <c r="S252" i="4" s="1"/>
  <c r="R251" i="4"/>
  <c r="S251" i="4" s="1"/>
  <c r="R250" i="4"/>
  <c r="S250" i="4" s="1"/>
  <c r="R249" i="4"/>
  <c r="S249" i="4" s="1"/>
  <c r="R248" i="4"/>
  <c r="S248" i="4" s="1"/>
  <c r="R247" i="4"/>
  <c r="R245" i="4"/>
  <c r="S245" i="4" s="1"/>
  <c r="R244" i="4"/>
  <c r="S244" i="4" s="1"/>
  <c r="R243" i="4"/>
  <c r="S243" i="4" s="1"/>
  <c r="R242" i="4"/>
  <c r="S242" i="4" s="1"/>
  <c r="S234" i="4"/>
  <c r="S226" i="4"/>
  <c r="S218" i="4"/>
  <c r="S206" i="4"/>
  <c r="S198" i="4"/>
  <c r="S190" i="4"/>
  <c r="R146" i="4"/>
  <c r="S146" i="4" s="1"/>
  <c r="R145" i="4"/>
  <c r="S145" i="4" s="1"/>
  <c r="R138" i="4"/>
  <c r="R117" i="4"/>
  <c r="S117" i="4" s="1"/>
  <c r="R116" i="4"/>
  <c r="S116" i="4" s="1"/>
  <c r="R115" i="4"/>
  <c r="S115" i="4" s="1"/>
  <c r="R114" i="4"/>
  <c r="S114" i="4" s="1"/>
  <c r="R113" i="4"/>
  <c r="S113" i="4" s="1"/>
  <c r="R112" i="4"/>
  <c r="S112" i="4" s="1"/>
  <c r="R111" i="4"/>
  <c r="S111" i="4" s="1"/>
  <c r="R110" i="4"/>
  <c r="S110" i="4" s="1"/>
  <c r="R109" i="4"/>
  <c r="R108" i="4"/>
  <c r="S108" i="4" s="1"/>
  <c r="R100" i="4"/>
  <c r="S100" i="4" s="1"/>
  <c r="R98" i="4"/>
  <c r="R87" i="4"/>
  <c r="S87" i="4" s="1"/>
  <c r="R86" i="4"/>
  <c r="S86" i="4" s="1"/>
  <c r="R85" i="4"/>
  <c r="S85" i="4" s="1"/>
  <c r="R84" i="4"/>
  <c r="S84" i="4" s="1"/>
  <c r="R83" i="4"/>
  <c r="S83" i="4" s="1"/>
  <c r="R82" i="4"/>
  <c r="S82" i="4" s="1"/>
  <c r="R81" i="4"/>
  <c r="S81" i="4" s="1"/>
  <c r="R80" i="4"/>
  <c r="S80" i="4" s="1"/>
  <c r="R79" i="4"/>
  <c r="S79" i="4" s="1"/>
  <c r="R78" i="4"/>
  <c r="S78" i="4" s="1"/>
  <c r="R74" i="4"/>
  <c r="S74" i="4" s="1"/>
  <c r="R72" i="4"/>
  <c r="S27" i="4"/>
  <c r="O411" i="4"/>
  <c r="O403" i="4"/>
  <c r="O383" i="4"/>
  <c r="O375" i="4"/>
  <c r="O367" i="4"/>
  <c r="N297" i="4"/>
  <c r="O297" i="4" s="1"/>
  <c r="N296" i="4"/>
  <c r="O296" i="4" s="1"/>
  <c r="N295" i="4"/>
  <c r="O295" i="4" s="1"/>
  <c r="N294" i="4"/>
  <c r="O294" i="4" s="1"/>
  <c r="N293" i="4"/>
  <c r="O293" i="4" s="1"/>
  <c r="N292" i="4"/>
  <c r="O292" i="4" s="1"/>
  <c r="N291" i="4"/>
  <c r="O291" i="4" s="1"/>
  <c r="N290" i="4"/>
  <c r="O290" i="4" s="1"/>
  <c r="N288" i="4"/>
  <c r="O288" i="4" s="1"/>
  <c r="N287" i="4"/>
  <c r="O287" i="4" s="1"/>
  <c r="N286" i="4"/>
  <c r="O286" i="4" s="1"/>
  <c r="N285" i="4"/>
  <c r="O285" i="4" s="1"/>
  <c r="N284" i="4"/>
  <c r="O284" i="4" s="1"/>
  <c r="N283" i="4"/>
  <c r="O283" i="4" s="1"/>
  <c r="N282" i="4"/>
  <c r="O282" i="4" s="1"/>
  <c r="N281" i="4"/>
  <c r="O281" i="4" s="1"/>
  <c r="N280" i="4"/>
  <c r="O280" i="4" s="1"/>
  <c r="N279" i="4"/>
  <c r="O279" i="4" s="1"/>
  <c r="N278" i="4"/>
  <c r="O278" i="4" s="1"/>
  <c r="N277" i="4"/>
  <c r="N275" i="4"/>
  <c r="O275" i="4" s="1"/>
  <c r="N274" i="4"/>
  <c r="O274" i="4" s="1"/>
  <c r="N273" i="4"/>
  <c r="O273" i="4" s="1"/>
  <c r="N272" i="4"/>
  <c r="O272" i="4" s="1"/>
  <c r="N267" i="4"/>
  <c r="O267" i="4" s="1"/>
  <c r="N266" i="4"/>
  <c r="O266" i="4" s="1"/>
  <c r="N265" i="4"/>
  <c r="O265" i="4" s="1"/>
  <c r="N264" i="4"/>
  <c r="O264" i="4" s="1"/>
  <c r="N263" i="4"/>
  <c r="O263" i="4" s="1"/>
  <c r="N262" i="4"/>
  <c r="O262" i="4" s="1"/>
  <c r="N261" i="4"/>
  <c r="O261" i="4" s="1"/>
  <c r="N260" i="4"/>
  <c r="O260" i="4" s="1"/>
  <c r="N259" i="4"/>
  <c r="O259" i="4" s="1"/>
  <c r="N258" i="4"/>
  <c r="O258" i="4" s="1"/>
  <c r="N257" i="4"/>
  <c r="O257" i="4" s="1"/>
  <c r="N256" i="4"/>
  <c r="O256" i="4" s="1"/>
  <c r="N255" i="4"/>
  <c r="O255" i="4" s="1"/>
  <c r="N254" i="4"/>
  <c r="O254" i="4" s="1"/>
  <c r="N253" i="4"/>
  <c r="O253" i="4" s="1"/>
  <c r="N252" i="4"/>
  <c r="O252" i="4" s="1"/>
  <c r="N251" i="4"/>
  <c r="O251" i="4" s="1"/>
  <c r="N250" i="4"/>
  <c r="O250" i="4" s="1"/>
  <c r="N249" i="4"/>
  <c r="O249" i="4" s="1"/>
  <c r="N248" i="4"/>
  <c r="O248" i="4" s="1"/>
  <c r="N247" i="4"/>
  <c r="N245" i="4"/>
  <c r="O245" i="4" s="1"/>
  <c r="N244" i="4"/>
  <c r="O244" i="4" s="1"/>
  <c r="N243" i="4"/>
  <c r="O243" i="4" s="1"/>
  <c r="N242" i="4"/>
  <c r="O242" i="4" s="1"/>
  <c r="O235" i="4"/>
  <c r="O227" i="4"/>
  <c r="O219" i="4"/>
  <c r="O207" i="4"/>
  <c r="O199" i="4"/>
  <c r="O191" i="4"/>
  <c r="N145" i="4"/>
  <c r="O145" i="4" s="1"/>
  <c r="N138" i="4"/>
  <c r="N117" i="4"/>
  <c r="O117" i="4" s="1"/>
  <c r="N116" i="4"/>
  <c r="O116" i="4" s="1"/>
  <c r="N115" i="4"/>
  <c r="O115" i="4" s="1"/>
  <c r="N114" i="4"/>
  <c r="O114" i="4" s="1"/>
  <c r="N113" i="4"/>
  <c r="O113" i="4" s="1"/>
  <c r="N112" i="4"/>
  <c r="O112" i="4" s="1"/>
  <c r="N111" i="4"/>
  <c r="O111" i="4" s="1"/>
  <c r="N110" i="4"/>
  <c r="O110" i="4" s="1"/>
  <c r="N109" i="4"/>
  <c r="O109" i="4" s="1"/>
  <c r="N108" i="4"/>
  <c r="O108" i="4" s="1"/>
  <c r="N100" i="4"/>
  <c r="O100" i="4" s="1"/>
  <c r="N98" i="4"/>
  <c r="N87" i="4"/>
  <c r="O87" i="4" s="1"/>
  <c r="N86" i="4"/>
  <c r="O86" i="4" s="1"/>
  <c r="N85" i="4"/>
  <c r="O85" i="4" s="1"/>
  <c r="N84" i="4"/>
  <c r="O84" i="4" s="1"/>
  <c r="N83" i="4"/>
  <c r="O83" i="4" s="1"/>
  <c r="N82" i="4"/>
  <c r="O82" i="4" s="1"/>
  <c r="N81" i="4"/>
  <c r="O81" i="4" s="1"/>
  <c r="N80" i="4"/>
  <c r="O80" i="4" s="1"/>
  <c r="N79" i="4"/>
  <c r="O79" i="4" s="1"/>
  <c r="N78" i="4"/>
  <c r="O78" i="4" s="1"/>
  <c r="N74" i="4"/>
  <c r="O74" i="4" s="1"/>
  <c r="N72" i="4"/>
  <c r="O72" i="4" s="1"/>
  <c r="O27" i="4"/>
  <c r="N24" i="4"/>
  <c r="P29" i="4" s="1"/>
  <c r="K411" i="4"/>
  <c r="K410" i="4"/>
  <c r="K403" i="4"/>
  <c r="K402" i="4"/>
  <c r="K383" i="4"/>
  <c r="K382" i="4"/>
  <c r="K375" i="4"/>
  <c r="K374" i="4"/>
  <c r="K367" i="4"/>
  <c r="J297" i="4"/>
  <c r="K297" i="4" s="1"/>
  <c r="J296" i="4"/>
  <c r="K296" i="4" s="1"/>
  <c r="J295" i="4"/>
  <c r="K295" i="4" s="1"/>
  <c r="J294" i="4"/>
  <c r="K294" i="4" s="1"/>
  <c r="J293" i="4"/>
  <c r="K293" i="4" s="1"/>
  <c r="J292" i="4"/>
  <c r="K292" i="4" s="1"/>
  <c r="J291" i="4"/>
  <c r="K291" i="4" s="1"/>
  <c r="J290" i="4"/>
  <c r="K290" i="4" s="1"/>
  <c r="J288" i="4"/>
  <c r="K288" i="4" s="1"/>
  <c r="J287" i="4"/>
  <c r="K287" i="4" s="1"/>
  <c r="J286" i="4"/>
  <c r="K286" i="4" s="1"/>
  <c r="J285" i="4"/>
  <c r="K285" i="4" s="1"/>
  <c r="J284" i="4"/>
  <c r="K284" i="4" s="1"/>
  <c r="J283" i="4"/>
  <c r="K283" i="4" s="1"/>
  <c r="J282" i="4"/>
  <c r="K282" i="4" s="1"/>
  <c r="J281" i="4"/>
  <c r="K281" i="4" s="1"/>
  <c r="J280" i="4"/>
  <c r="K280" i="4" s="1"/>
  <c r="J279" i="4"/>
  <c r="K279" i="4" s="1"/>
  <c r="J278" i="4"/>
  <c r="K278" i="4" s="1"/>
  <c r="J277" i="4"/>
  <c r="K277" i="4" s="1"/>
  <c r="J275" i="4"/>
  <c r="K275" i="4" s="1"/>
  <c r="J274" i="4"/>
  <c r="K274" i="4" s="1"/>
  <c r="J273" i="4"/>
  <c r="K273" i="4" s="1"/>
  <c r="J272" i="4"/>
  <c r="K272" i="4" s="1"/>
  <c r="J267" i="4"/>
  <c r="K267" i="4" s="1"/>
  <c r="J266" i="4"/>
  <c r="K266" i="4" s="1"/>
  <c r="J265" i="4"/>
  <c r="K265" i="4" s="1"/>
  <c r="J264" i="4"/>
  <c r="K264" i="4" s="1"/>
  <c r="J263" i="4"/>
  <c r="K263" i="4" s="1"/>
  <c r="J262" i="4"/>
  <c r="K262" i="4" s="1"/>
  <c r="J261" i="4"/>
  <c r="K261" i="4" s="1"/>
  <c r="J260" i="4"/>
  <c r="K260" i="4" s="1"/>
  <c r="J259" i="4"/>
  <c r="K259" i="4" s="1"/>
  <c r="J258" i="4"/>
  <c r="K258" i="4" s="1"/>
  <c r="J257" i="4"/>
  <c r="K257" i="4" s="1"/>
  <c r="J256" i="4"/>
  <c r="K256" i="4" s="1"/>
  <c r="J255" i="4"/>
  <c r="K255" i="4" s="1"/>
  <c r="J254" i="4"/>
  <c r="K254" i="4" s="1"/>
  <c r="J253" i="4"/>
  <c r="K253" i="4" s="1"/>
  <c r="J252" i="4"/>
  <c r="K252" i="4" s="1"/>
  <c r="J251" i="4"/>
  <c r="K251" i="4" s="1"/>
  <c r="J250" i="4"/>
  <c r="K250" i="4" s="1"/>
  <c r="J249" i="4"/>
  <c r="K249" i="4" s="1"/>
  <c r="J248" i="4"/>
  <c r="K248" i="4" s="1"/>
  <c r="J247" i="4"/>
  <c r="J245" i="4"/>
  <c r="K245" i="4" s="1"/>
  <c r="J244" i="4"/>
  <c r="K244" i="4" s="1"/>
  <c r="J243" i="4"/>
  <c r="K243" i="4" s="1"/>
  <c r="J242" i="4"/>
  <c r="K235" i="4"/>
  <c r="K234" i="4"/>
  <c r="K227" i="4"/>
  <c r="K226" i="4"/>
  <c r="K219" i="4"/>
  <c r="K218" i="4"/>
  <c r="K206" i="4"/>
  <c r="K199" i="4"/>
  <c r="K198" i="4"/>
  <c r="K191" i="4"/>
  <c r="K190" i="4"/>
  <c r="J146" i="4"/>
  <c r="K146" i="4" s="1"/>
  <c r="J145" i="4"/>
  <c r="K145" i="4" s="1"/>
  <c r="J138" i="4"/>
  <c r="J117" i="4"/>
  <c r="K117" i="4" s="1"/>
  <c r="J116" i="4"/>
  <c r="K116" i="4" s="1"/>
  <c r="J115" i="4"/>
  <c r="K115" i="4" s="1"/>
  <c r="J114" i="4"/>
  <c r="K114" i="4" s="1"/>
  <c r="J113" i="4"/>
  <c r="K113" i="4" s="1"/>
  <c r="J112" i="4"/>
  <c r="K112" i="4" s="1"/>
  <c r="J111" i="4"/>
  <c r="K111" i="4" s="1"/>
  <c r="J110" i="4"/>
  <c r="K110" i="4" s="1"/>
  <c r="J109" i="4"/>
  <c r="K109" i="4" s="1"/>
  <c r="J108" i="4"/>
  <c r="K108" i="4" s="1"/>
  <c r="J100" i="4"/>
  <c r="K100" i="4" s="1"/>
  <c r="J98" i="4"/>
  <c r="J87" i="4"/>
  <c r="K87" i="4" s="1"/>
  <c r="J86" i="4"/>
  <c r="K86" i="4" s="1"/>
  <c r="J85" i="4"/>
  <c r="K85" i="4" s="1"/>
  <c r="J84" i="4"/>
  <c r="K84" i="4" s="1"/>
  <c r="J83" i="4"/>
  <c r="K83" i="4" s="1"/>
  <c r="J82" i="4"/>
  <c r="K82" i="4" s="1"/>
  <c r="J81" i="4"/>
  <c r="K81" i="4" s="1"/>
  <c r="J80" i="4"/>
  <c r="K80" i="4" s="1"/>
  <c r="J79" i="4"/>
  <c r="K79" i="4" s="1"/>
  <c r="J78" i="4"/>
  <c r="K78" i="4" s="1"/>
  <c r="J74" i="4"/>
  <c r="K74" i="4" s="1"/>
  <c r="J72" i="4"/>
  <c r="S414" i="4"/>
  <c r="S417" i="4"/>
  <c r="S416" i="4"/>
  <c r="S415" i="4"/>
  <c r="S413" i="4"/>
  <c r="S412" i="4"/>
  <c r="S411" i="4"/>
  <c r="S409" i="4"/>
  <c r="S408" i="4"/>
  <c r="S404" i="4"/>
  <c r="S403" i="4"/>
  <c r="S400" i="4"/>
  <c r="S387" i="4"/>
  <c r="S386" i="4"/>
  <c r="S385" i="4"/>
  <c r="S384" i="4"/>
  <c r="S383" i="4"/>
  <c r="S381" i="4"/>
  <c r="S380" i="4"/>
  <c r="S379" i="4"/>
  <c r="S378" i="4"/>
  <c r="S377" i="4"/>
  <c r="S376" i="4"/>
  <c r="S375" i="4"/>
  <c r="S373" i="4"/>
  <c r="S372" i="4"/>
  <c r="S371" i="4"/>
  <c r="S370" i="4"/>
  <c r="S369" i="4"/>
  <c r="S368" i="4"/>
  <c r="S367" i="4"/>
  <c r="S257" i="4"/>
  <c r="S237" i="4"/>
  <c r="S236" i="4"/>
  <c r="S235" i="4"/>
  <c r="S233" i="4"/>
  <c r="S232" i="4"/>
  <c r="S231" i="4"/>
  <c r="S230" i="4"/>
  <c r="S229" i="4"/>
  <c r="S228" i="4"/>
  <c r="S227" i="4"/>
  <c r="S225" i="4"/>
  <c r="S224" i="4"/>
  <c r="S223" i="4"/>
  <c r="S222" i="4"/>
  <c r="S220" i="4"/>
  <c r="S219" i="4"/>
  <c r="S217" i="4"/>
  <c r="S207" i="4"/>
  <c r="S205" i="4"/>
  <c r="S204" i="4"/>
  <c r="S203" i="4"/>
  <c r="S202" i="4"/>
  <c r="S201" i="4"/>
  <c r="S200" i="4"/>
  <c r="S199" i="4"/>
  <c r="S197" i="4"/>
  <c r="S196" i="4"/>
  <c r="S195" i="4"/>
  <c r="S194" i="4"/>
  <c r="S193" i="4"/>
  <c r="S192" i="4"/>
  <c r="S191" i="4"/>
  <c r="S189" i="4"/>
  <c r="S188" i="4"/>
  <c r="S187" i="4"/>
  <c r="S109" i="4"/>
  <c r="O417" i="4"/>
  <c r="O416" i="4"/>
  <c r="O415" i="4"/>
  <c r="O414" i="4"/>
  <c r="O413" i="4"/>
  <c r="O412" i="4"/>
  <c r="O410" i="4"/>
  <c r="O409" i="4"/>
  <c r="O408" i="4"/>
  <c r="O404" i="4"/>
  <c r="O402" i="4"/>
  <c r="O400" i="4"/>
  <c r="O387" i="4"/>
  <c r="O386" i="4"/>
  <c r="O385" i="4"/>
  <c r="O384" i="4"/>
  <c r="O382" i="4"/>
  <c r="O381" i="4"/>
  <c r="O380" i="4"/>
  <c r="O379" i="4"/>
  <c r="O378" i="4"/>
  <c r="O377" i="4"/>
  <c r="O376" i="4"/>
  <c r="O374" i="4"/>
  <c r="O373" i="4"/>
  <c r="O372" i="4"/>
  <c r="O371" i="4"/>
  <c r="O370" i="4"/>
  <c r="O369" i="4"/>
  <c r="O368" i="4"/>
  <c r="O237" i="4"/>
  <c r="O236" i="4"/>
  <c r="O234" i="4"/>
  <c r="O233" i="4"/>
  <c r="O232" i="4"/>
  <c r="O231" i="4"/>
  <c r="O230" i="4"/>
  <c r="O229" i="4"/>
  <c r="O228" i="4"/>
  <c r="O226" i="4"/>
  <c r="O225" i="4"/>
  <c r="O224" i="4"/>
  <c r="O223" i="4"/>
  <c r="O222" i="4"/>
  <c r="O221" i="4"/>
  <c r="O220" i="4"/>
  <c r="O218" i="4"/>
  <c r="O217" i="4"/>
  <c r="O206" i="4"/>
  <c r="O205" i="4"/>
  <c r="O204" i="4"/>
  <c r="O203" i="4"/>
  <c r="O202" i="4"/>
  <c r="O201" i="4"/>
  <c r="O200" i="4"/>
  <c r="O198" i="4"/>
  <c r="O197" i="4"/>
  <c r="O196" i="4"/>
  <c r="O195" i="4"/>
  <c r="O194" i="4"/>
  <c r="O193" i="4"/>
  <c r="O192" i="4"/>
  <c r="O190" i="4"/>
  <c r="O189" i="4"/>
  <c r="O188" i="4"/>
  <c r="O187" i="4"/>
  <c r="O146" i="4"/>
  <c r="K417" i="4"/>
  <c r="K416" i="4"/>
  <c r="K415" i="4"/>
  <c r="K414" i="4"/>
  <c r="K413" i="4"/>
  <c r="K412" i="4"/>
  <c r="K409" i="4"/>
  <c r="K408" i="4"/>
  <c r="K404" i="4"/>
  <c r="K400" i="4"/>
  <c r="K387" i="4"/>
  <c r="K386" i="4"/>
  <c r="K385" i="4"/>
  <c r="K384" i="4"/>
  <c r="K381" i="4"/>
  <c r="K380" i="4"/>
  <c r="K379" i="4"/>
  <c r="K378" i="4"/>
  <c r="K377" i="4"/>
  <c r="K376" i="4"/>
  <c r="K373" i="4"/>
  <c r="K372" i="4"/>
  <c r="K371" i="4"/>
  <c r="K370" i="4"/>
  <c r="K369" i="4"/>
  <c r="K368" i="4"/>
  <c r="K237" i="4"/>
  <c r="K236" i="4"/>
  <c r="K233" i="4"/>
  <c r="K232" i="4"/>
  <c r="K231" i="4"/>
  <c r="K230" i="4"/>
  <c r="K229" i="4"/>
  <c r="K228" i="4"/>
  <c r="K225" i="4"/>
  <c r="K224" i="4"/>
  <c r="K223" i="4"/>
  <c r="K222" i="4"/>
  <c r="K221" i="4"/>
  <c r="K220" i="4"/>
  <c r="K217" i="4"/>
  <c r="K205" i="4"/>
  <c r="K204" i="4"/>
  <c r="K203" i="4"/>
  <c r="K202" i="4"/>
  <c r="K201" i="4"/>
  <c r="K200" i="4"/>
  <c r="K197" i="4"/>
  <c r="K196" i="4"/>
  <c r="K195" i="4"/>
  <c r="K194" i="4"/>
  <c r="K193" i="4"/>
  <c r="K192" i="4"/>
  <c r="K189" i="4"/>
  <c r="K188" i="4"/>
  <c r="K187" i="4"/>
  <c r="K24" i="4"/>
  <c r="T150" i="4" l="1"/>
  <c r="X150" i="4"/>
  <c r="P150" i="4"/>
  <c r="K98" i="4"/>
  <c r="L118" i="4"/>
  <c r="L149" i="4"/>
  <c r="L150" i="4"/>
  <c r="P149" i="4"/>
  <c r="L148" i="4"/>
  <c r="X149" i="4"/>
  <c r="T149" i="4"/>
  <c r="T148" i="4"/>
  <c r="P148" i="4"/>
  <c r="O98" i="4"/>
  <c r="P98" i="4"/>
  <c r="P106" i="4"/>
  <c r="P114" i="4"/>
  <c r="P102" i="4"/>
  <c r="P111" i="4"/>
  <c r="P99" i="4"/>
  <c r="P107" i="4"/>
  <c r="P115" i="4"/>
  <c r="P117" i="4"/>
  <c r="P103" i="4"/>
  <c r="P100" i="4"/>
  <c r="P108" i="4"/>
  <c r="P116" i="4"/>
  <c r="P101" i="4"/>
  <c r="P109" i="4"/>
  <c r="P118" i="4"/>
  <c r="P110" i="4"/>
  <c r="P104" i="4"/>
  <c r="P112" i="4"/>
  <c r="P97" i="4"/>
  <c r="P105" i="4"/>
  <c r="P113" i="4"/>
  <c r="L117" i="4"/>
  <c r="L100" i="4"/>
  <c r="L108" i="4"/>
  <c r="L116" i="4"/>
  <c r="L101" i="4"/>
  <c r="L109" i="4"/>
  <c r="L102" i="4"/>
  <c r="L110" i="4"/>
  <c r="L103" i="4"/>
  <c r="L111" i="4"/>
  <c r="L97" i="4"/>
  <c r="L98" i="4"/>
  <c r="L106" i="4"/>
  <c r="L114" i="4"/>
  <c r="L112" i="4"/>
  <c r="L113" i="4"/>
  <c r="L99" i="4"/>
  <c r="L107" i="4"/>
  <c r="L115" i="4"/>
  <c r="L104" i="4"/>
  <c r="L105" i="4"/>
  <c r="W98" i="4"/>
  <c r="X102" i="4"/>
  <c r="X110" i="4"/>
  <c r="X117" i="4"/>
  <c r="X106" i="4"/>
  <c r="X115" i="4"/>
  <c r="X103" i="4"/>
  <c r="X111" i="4"/>
  <c r="X114" i="4"/>
  <c r="X99" i="4"/>
  <c r="X104" i="4"/>
  <c r="X112" i="4"/>
  <c r="X97" i="4"/>
  <c r="X105" i="4"/>
  <c r="X113" i="4"/>
  <c r="X107" i="4"/>
  <c r="X100" i="4"/>
  <c r="X108" i="4"/>
  <c r="X116" i="4"/>
  <c r="X98" i="4"/>
  <c r="X101" i="4"/>
  <c r="X109" i="4"/>
  <c r="X118" i="4"/>
  <c r="S98" i="4"/>
  <c r="T104" i="4"/>
  <c r="T112" i="4"/>
  <c r="T97" i="4"/>
  <c r="T105" i="4"/>
  <c r="T113" i="4"/>
  <c r="T98" i="4"/>
  <c r="T106" i="4"/>
  <c r="T114" i="4"/>
  <c r="T116" i="4"/>
  <c r="T109" i="4"/>
  <c r="T99" i="4"/>
  <c r="T107" i="4"/>
  <c r="T115" i="4"/>
  <c r="T102" i="4"/>
  <c r="T110" i="4"/>
  <c r="T117" i="4"/>
  <c r="T108" i="4"/>
  <c r="T118" i="4"/>
  <c r="T103" i="4"/>
  <c r="T111" i="4"/>
  <c r="T100" i="4"/>
  <c r="T101" i="4"/>
  <c r="W247" i="4"/>
  <c r="X252" i="4"/>
  <c r="X260" i="4"/>
  <c r="X267" i="4"/>
  <c r="X248" i="4"/>
  <c r="X253" i="4"/>
  <c r="X261" i="4"/>
  <c r="X254" i="4"/>
  <c r="X262" i="4"/>
  <c r="X264" i="4"/>
  <c r="X247" i="4"/>
  <c r="X255" i="4"/>
  <c r="X263" i="4"/>
  <c r="X257" i="4"/>
  <c r="X250" i="4"/>
  <c r="X258" i="4"/>
  <c r="X266" i="4"/>
  <c r="X265" i="4"/>
  <c r="X251" i="4"/>
  <c r="X259" i="4"/>
  <c r="X268" i="4"/>
  <c r="X256" i="4"/>
  <c r="X249" i="4"/>
  <c r="AF266" i="4"/>
  <c r="AF267" i="4"/>
  <c r="AF268" i="4"/>
  <c r="AF258" i="4"/>
  <c r="AF265" i="4"/>
  <c r="AF264" i="4"/>
  <c r="L67" i="4"/>
  <c r="L71" i="4"/>
  <c r="L79" i="4"/>
  <c r="L87" i="4"/>
  <c r="L72" i="4"/>
  <c r="L80" i="4"/>
  <c r="L73" i="4"/>
  <c r="L81" i="4"/>
  <c r="L88" i="4"/>
  <c r="L76" i="4"/>
  <c r="L74" i="4"/>
  <c r="L82" i="4"/>
  <c r="L83" i="4"/>
  <c r="L68" i="4"/>
  <c r="L69" i="4"/>
  <c r="L77" i="4"/>
  <c r="L85" i="4"/>
  <c r="L75" i="4"/>
  <c r="L84" i="4"/>
  <c r="L70" i="4"/>
  <c r="L78" i="4"/>
  <c r="L86" i="4"/>
  <c r="P7" i="4"/>
  <c r="P28" i="4"/>
  <c r="W72" i="4"/>
  <c r="X68" i="4"/>
  <c r="X76" i="4"/>
  <c r="X84" i="4"/>
  <c r="X80" i="4"/>
  <c r="X69" i="4"/>
  <c r="X77" i="4"/>
  <c r="X85" i="4"/>
  <c r="X70" i="4"/>
  <c r="X78" i="4"/>
  <c r="X86" i="4"/>
  <c r="X71" i="4"/>
  <c r="X79" i="4"/>
  <c r="X88" i="4"/>
  <c r="X72" i="4"/>
  <c r="X74" i="4"/>
  <c r="X82" i="4"/>
  <c r="X87" i="4"/>
  <c r="X81" i="4"/>
  <c r="X67" i="4"/>
  <c r="X75" i="4"/>
  <c r="X83" i="4"/>
  <c r="X73" i="4"/>
  <c r="W138" i="4"/>
  <c r="X148" i="4"/>
  <c r="W277" i="4"/>
  <c r="X281" i="4"/>
  <c r="X289" i="4"/>
  <c r="X298" i="4"/>
  <c r="X282" i="4"/>
  <c r="X290" i="4"/>
  <c r="X297" i="4"/>
  <c r="X293" i="4"/>
  <c r="X286" i="4"/>
  <c r="X283" i="4"/>
  <c r="X291" i="4"/>
  <c r="X285" i="4"/>
  <c r="X294" i="4"/>
  <c r="X284" i="4"/>
  <c r="X292" i="4"/>
  <c r="X279" i="4"/>
  <c r="X287" i="4"/>
  <c r="X295" i="4"/>
  <c r="X280" i="4"/>
  <c r="X288" i="4"/>
  <c r="X296" i="4"/>
  <c r="X277" i="4"/>
  <c r="X278" i="4"/>
  <c r="AF280" i="4"/>
  <c r="AF288" i="4"/>
  <c r="AF296" i="4"/>
  <c r="AF292" i="4"/>
  <c r="AF285" i="4"/>
  <c r="AF281" i="4"/>
  <c r="AF289" i="4"/>
  <c r="AF298" i="4"/>
  <c r="AF282" i="4"/>
  <c r="AF290" i="4"/>
  <c r="AF297" i="4"/>
  <c r="AF277" i="4"/>
  <c r="AF293" i="4"/>
  <c r="AF283" i="4"/>
  <c r="AF291" i="4"/>
  <c r="AF278" i="4"/>
  <c r="AF286" i="4"/>
  <c r="AF294" i="4"/>
  <c r="AF284" i="4"/>
  <c r="AF279" i="4"/>
  <c r="AF287" i="4"/>
  <c r="AF295" i="4"/>
  <c r="T253" i="4"/>
  <c r="T261" i="4"/>
  <c r="T266" i="4"/>
  <c r="T254" i="4"/>
  <c r="T262" i="4"/>
  <c r="T265" i="4"/>
  <c r="T250" i="4"/>
  <c r="T247" i="4"/>
  <c r="T255" i="4"/>
  <c r="T263" i="4"/>
  <c r="T258" i="4"/>
  <c r="T248" i="4"/>
  <c r="T256" i="4"/>
  <c r="T264" i="4"/>
  <c r="T257" i="4"/>
  <c r="T251" i="4"/>
  <c r="T259" i="4"/>
  <c r="T268" i="4"/>
  <c r="T249" i="4"/>
  <c r="T252" i="4"/>
  <c r="T260" i="4"/>
  <c r="T267" i="4"/>
  <c r="P282" i="4"/>
  <c r="P290" i="4"/>
  <c r="P297" i="4"/>
  <c r="P286" i="4"/>
  <c r="P283" i="4"/>
  <c r="P291" i="4"/>
  <c r="P295" i="4"/>
  <c r="P284" i="4"/>
  <c r="P292" i="4"/>
  <c r="P294" i="4"/>
  <c r="P279" i="4"/>
  <c r="P277" i="4"/>
  <c r="P285" i="4"/>
  <c r="P293" i="4"/>
  <c r="P278" i="4"/>
  <c r="P280" i="4"/>
  <c r="P288" i="4"/>
  <c r="P296" i="4"/>
  <c r="P281" i="4"/>
  <c r="P289" i="4"/>
  <c r="P298" i="4"/>
  <c r="P287" i="4"/>
  <c r="T69" i="4"/>
  <c r="T77" i="4"/>
  <c r="T85" i="4"/>
  <c r="T82" i="4"/>
  <c r="T70" i="4"/>
  <c r="T78" i="4"/>
  <c r="T86" i="4"/>
  <c r="T71" i="4"/>
  <c r="T79" i="4"/>
  <c r="T88" i="4"/>
  <c r="T73" i="4"/>
  <c r="T74" i="4"/>
  <c r="T72" i="4"/>
  <c r="T80" i="4"/>
  <c r="T87" i="4"/>
  <c r="T67" i="4"/>
  <c r="T75" i="4"/>
  <c r="T83" i="4"/>
  <c r="T68" i="4"/>
  <c r="T76" i="4"/>
  <c r="T84" i="4"/>
  <c r="T81" i="4"/>
  <c r="P253" i="4"/>
  <c r="P261" i="4"/>
  <c r="P249" i="4"/>
  <c r="P254" i="4"/>
  <c r="P262" i="4"/>
  <c r="P247" i="4"/>
  <c r="P255" i="4"/>
  <c r="P263" i="4"/>
  <c r="P266" i="4"/>
  <c r="P248" i="4"/>
  <c r="P256" i="4"/>
  <c r="P264" i="4"/>
  <c r="P251" i="4"/>
  <c r="P259" i="4"/>
  <c r="P268" i="4"/>
  <c r="P265" i="4"/>
  <c r="P258" i="4"/>
  <c r="P252" i="4"/>
  <c r="P260" i="4"/>
  <c r="P267" i="4"/>
  <c r="P257" i="4"/>
  <c r="P250" i="4"/>
  <c r="W24" i="4"/>
  <c r="X28" i="4"/>
  <c r="L253" i="4"/>
  <c r="L261" i="4"/>
  <c r="L265" i="4"/>
  <c r="L266" i="4"/>
  <c r="L254" i="4"/>
  <c r="L262" i="4"/>
  <c r="L257" i="4"/>
  <c r="L250" i="4"/>
  <c r="L268" i="4"/>
  <c r="L247" i="4"/>
  <c r="L255" i="4"/>
  <c r="L263" i="4"/>
  <c r="L249" i="4"/>
  <c r="L248" i="4"/>
  <c r="L256" i="4"/>
  <c r="L264" i="4"/>
  <c r="L258" i="4"/>
  <c r="L251" i="4"/>
  <c r="L259" i="4"/>
  <c r="L267" i="4"/>
  <c r="L252" i="4"/>
  <c r="L260" i="4"/>
  <c r="P70" i="4"/>
  <c r="P78" i="4"/>
  <c r="P86" i="4"/>
  <c r="P71" i="4"/>
  <c r="P79" i="4"/>
  <c r="P88" i="4"/>
  <c r="P74" i="4"/>
  <c r="P67" i="4"/>
  <c r="P72" i="4"/>
  <c r="P80" i="4"/>
  <c r="P87" i="4"/>
  <c r="P73" i="4"/>
  <c r="P81" i="4"/>
  <c r="P68" i="4"/>
  <c r="P76" i="4"/>
  <c r="P84" i="4"/>
  <c r="P75" i="4"/>
  <c r="P69" i="4"/>
  <c r="P77" i="4"/>
  <c r="P85" i="4"/>
  <c r="P82" i="4"/>
  <c r="P83" i="4"/>
  <c r="T282" i="4"/>
  <c r="T290" i="4"/>
  <c r="T297" i="4"/>
  <c r="T278" i="4"/>
  <c r="T295" i="4"/>
  <c r="T283" i="4"/>
  <c r="T291" i="4"/>
  <c r="T284" i="4"/>
  <c r="T292" i="4"/>
  <c r="T277" i="4"/>
  <c r="T285" i="4"/>
  <c r="T293" i="4"/>
  <c r="T287" i="4"/>
  <c r="T280" i="4"/>
  <c r="T288" i="4"/>
  <c r="T296" i="4"/>
  <c r="T286" i="4"/>
  <c r="T279" i="4"/>
  <c r="T281" i="4"/>
  <c r="T289" i="4"/>
  <c r="T298" i="4"/>
  <c r="T294" i="4"/>
  <c r="L283" i="4"/>
  <c r="L291" i="4"/>
  <c r="L296" i="4"/>
  <c r="L284" i="4"/>
  <c r="L292" i="4"/>
  <c r="L295" i="4"/>
  <c r="L277" i="4"/>
  <c r="L285" i="4"/>
  <c r="L293" i="4"/>
  <c r="L288" i="4"/>
  <c r="L278" i="4"/>
  <c r="L286" i="4"/>
  <c r="L294" i="4"/>
  <c r="L281" i="4"/>
  <c r="L289" i="4"/>
  <c r="L298" i="4"/>
  <c r="L287" i="4"/>
  <c r="L280" i="4"/>
  <c r="L282" i="4"/>
  <c r="L290" i="4"/>
  <c r="L297" i="4"/>
  <c r="L279" i="4"/>
  <c r="O247" i="4"/>
  <c r="O277" i="4"/>
  <c r="S247" i="4"/>
  <c r="S277" i="4"/>
  <c r="AF249" i="4"/>
  <c r="AF257" i="4"/>
  <c r="AF250" i="4"/>
  <c r="AF261" i="4"/>
  <c r="AF251" i="4"/>
  <c r="AF259" i="4"/>
  <c r="AF253" i="4"/>
  <c r="AF254" i="4"/>
  <c r="AF252" i="4"/>
  <c r="AF260" i="4"/>
  <c r="AF247" i="4"/>
  <c r="AF255" i="4"/>
  <c r="AF263" i="4"/>
  <c r="AF248" i="4"/>
  <c r="AF256" i="4"/>
  <c r="AF262" i="4"/>
  <c r="K247" i="4"/>
  <c r="L136" i="4"/>
  <c r="P26" i="4"/>
  <c r="O24" i="4"/>
  <c r="K242" i="4"/>
  <c r="T27" i="4"/>
  <c r="K72" i="4"/>
  <c r="P129" i="4"/>
  <c r="P137" i="4"/>
  <c r="P145" i="4"/>
  <c r="P130" i="4"/>
  <c r="P138" i="4"/>
  <c r="P146" i="4"/>
  <c r="P131" i="4"/>
  <c r="P139" i="4"/>
  <c r="P147" i="4"/>
  <c r="P132" i="4"/>
  <c r="P140" i="4"/>
  <c r="P133" i="4"/>
  <c r="P141" i="4"/>
  <c r="P134" i="4"/>
  <c r="P142" i="4"/>
  <c r="P127" i="4"/>
  <c r="P135" i="4"/>
  <c r="P143" i="4"/>
  <c r="P136" i="4"/>
  <c r="P144" i="4"/>
  <c r="P128" i="4"/>
  <c r="S138" i="4"/>
  <c r="T132" i="4"/>
  <c r="T140" i="4"/>
  <c r="T133" i="4"/>
  <c r="T141" i="4"/>
  <c r="T134" i="4"/>
  <c r="T142" i="4"/>
  <c r="T127" i="4"/>
  <c r="T135" i="4"/>
  <c r="T143" i="4"/>
  <c r="T128" i="4"/>
  <c r="T136" i="4"/>
  <c r="T144" i="4"/>
  <c r="T129" i="4"/>
  <c r="T137" i="4"/>
  <c r="T145" i="4"/>
  <c r="T130" i="4"/>
  <c r="T138" i="4"/>
  <c r="T146" i="4"/>
  <c r="T131" i="4"/>
  <c r="T139" i="4"/>
  <c r="T147" i="4"/>
  <c r="L127" i="4"/>
  <c r="L135" i="4"/>
  <c r="L143" i="4"/>
  <c r="L128" i="4"/>
  <c r="L144" i="4"/>
  <c r="L129" i="4"/>
  <c r="L137" i="4"/>
  <c r="L145" i="4"/>
  <c r="L130" i="4"/>
  <c r="L138" i="4"/>
  <c r="L146" i="4"/>
  <c r="L131" i="4"/>
  <c r="L139" i="4"/>
  <c r="L147" i="4"/>
  <c r="L132" i="4"/>
  <c r="L140" i="4"/>
  <c r="L133" i="4"/>
  <c r="L141" i="4"/>
  <c r="L134" i="4"/>
  <c r="L142" i="4"/>
  <c r="O138" i="4"/>
  <c r="P10" i="4"/>
  <c r="P18" i="4"/>
  <c r="P17" i="4"/>
  <c r="P11" i="4"/>
  <c r="P19" i="4"/>
  <c r="P27" i="4"/>
  <c r="P20" i="4"/>
  <c r="P23" i="4"/>
  <c r="P12" i="4"/>
  <c r="P15" i="4"/>
  <c r="P24" i="4"/>
  <c r="P13" i="4"/>
  <c r="P21" i="4"/>
  <c r="P8" i="4"/>
  <c r="P9" i="4"/>
  <c r="P14" i="4"/>
  <c r="P22" i="4"/>
  <c r="P16" i="4"/>
  <c r="P25" i="4"/>
  <c r="K138" i="4"/>
  <c r="S72" i="4"/>
  <c r="L15" i="4"/>
  <c r="L23" i="4"/>
  <c r="L20" i="4"/>
  <c r="L8" i="4"/>
  <c r="L16" i="4"/>
  <c r="L24" i="4"/>
  <c r="L9" i="4"/>
  <c r="L25" i="4"/>
  <c r="L18" i="4"/>
  <c r="L13" i="4"/>
  <c r="L22" i="4"/>
  <c r="L17" i="4"/>
  <c r="L12" i="4"/>
  <c r="L14" i="4"/>
  <c r="L10" i="4"/>
  <c r="L26" i="4"/>
  <c r="L11" i="4"/>
  <c r="L19" i="4"/>
  <c r="X134" i="4"/>
  <c r="X142" i="4"/>
  <c r="X127" i="4"/>
  <c r="X135" i="4"/>
  <c r="X143" i="4"/>
  <c r="X128" i="4"/>
  <c r="X136" i="4"/>
  <c r="X144" i="4"/>
  <c r="X129" i="4"/>
  <c r="X137" i="4"/>
  <c r="X145" i="4"/>
  <c r="X130" i="4"/>
  <c r="X138" i="4"/>
  <c r="X146" i="4"/>
  <c r="X131" i="4"/>
  <c r="X139" i="4"/>
  <c r="X147" i="4"/>
  <c r="X132" i="4"/>
  <c r="X140" i="4"/>
  <c r="X133" i="4"/>
  <c r="X141" i="4"/>
  <c r="X10" i="4"/>
  <c r="X14" i="4"/>
  <c r="X18" i="4"/>
  <c r="X22" i="4"/>
  <c r="X26" i="4"/>
  <c r="X20" i="4"/>
  <c r="X17" i="4"/>
  <c r="X25" i="4"/>
  <c r="X7" i="4"/>
  <c r="X11" i="4"/>
  <c r="X15" i="4"/>
  <c r="X19" i="4"/>
  <c r="X23" i="4"/>
  <c r="X27" i="4"/>
  <c r="X8" i="4"/>
  <c r="X12" i="4"/>
  <c r="X16" i="4"/>
  <c r="X24" i="4"/>
  <c r="X9" i="4"/>
  <c r="X13" i="4"/>
  <c r="X21" i="4"/>
  <c r="T7" i="4"/>
  <c r="T11" i="4"/>
  <c r="T15" i="4"/>
  <c r="T19" i="4"/>
  <c r="T23" i="4"/>
  <c r="T13" i="4"/>
  <c r="T17" i="4"/>
  <c r="T14" i="4"/>
  <c r="T22" i="4"/>
  <c r="T12" i="4"/>
  <c r="T16" i="4"/>
  <c r="T20" i="4"/>
  <c r="T24" i="4"/>
  <c r="T9" i="4"/>
  <c r="T21" i="4"/>
  <c r="T25" i="4"/>
  <c r="T10" i="4"/>
  <c r="T18" i="4"/>
  <c r="T26" i="4"/>
  <c r="AI222" i="3" l="1"/>
  <c r="AJ222" i="3" s="1"/>
  <c r="AI221" i="3"/>
  <c r="AJ221" i="3" s="1"/>
  <c r="AL221" i="3" s="1"/>
  <c r="AI220" i="3"/>
  <c r="AJ220" i="3" s="1"/>
  <c r="AI219" i="3"/>
  <c r="AJ219" i="3" s="1"/>
  <c r="AL219" i="3" s="1"/>
  <c r="AI218" i="3"/>
  <c r="AJ218" i="3" s="1"/>
  <c r="AI217" i="3"/>
  <c r="AJ217" i="3" s="1"/>
  <c r="AL217" i="3" s="1"/>
  <c r="AI216" i="3"/>
  <c r="AJ216" i="3" s="1"/>
  <c r="AI215" i="3"/>
  <c r="AJ215" i="3" s="1"/>
  <c r="AL215" i="3" s="1"/>
  <c r="AI190" i="3"/>
  <c r="AJ190" i="3" s="1"/>
  <c r="AI189" i="3"/>
  <c r="AJ189" i="3" s="1"/>
  <c r="AL189" i="3" s="1"/>
  <c r="AI188" i="3"/>
  <c r="AJ188" i="3" s="1"/>
  <c r="AI187" i="3"/>
  <c r="AJ187" i="3" s="1"/>
  <c r="AL187" i="3" s="1"/>
  <c r="AI186" i="3"/>
  <c r="AJ186" i="3" s="1"/>
  <c r="AI185" i="3"/>
  <c r="AJ185" i="3" s="1"/>
  <c r="AL185" i="3" s="1"/>
  <c r="AI184" i="3"/>
  <c r="AJ184" i="3" s="1"/>
  <c r="AI183" i="3"/>
  <c r="AJ183" i="3" s="1"/>
  <c r="AL183" i="3" s="1"/>
  <c r="AI158" i="3"/>
  <c r="AJ158" i="3" s="1"/>
  <c r="AI157" i="3"/>
  <c r="AJ157" i="3" s="1"/>
  <c r="AI156" i="3"/>
  <c r="AJ156" i="3" s="1"/>
  <c r="AI155" i="3"/>
  <c r="AJ155" i="3" s="1"/>
  <c r="AL155" i="3" s="1"/>
  <c r="AI154" i="3"/>
  <c r="AJ154" i="3" s="1"/>
  <c r="AI153" i="3"/>
  <c r="AJ153" i="3" s="1"/>
  <c r="AI152" i="3"/>
  <c r="AJ152" i="3" s="1"/>
  <c r="AI151" i="3"/>
  <c r="AJ151" i="3" s="1"/>
  <c r="AL151" i="3" s="1"/>
  <c r="AI126" i="3"/>
  <c r="AJ126" i="3" s="1"/>
  <c r="AI125" i="3"/>
  <c r="AJ125" i="3" s="1"/>
  <c r="AL125" i="3" s="1"/>
  <c r="AI124" i="3"/>
  <c r="AJ124" i="3" s="1"/>
  <c r="AI123" i="3"/>
  <c r="AJ123" i="3" s="1"/>
  <c r="AL123" i="3" s="1"/>
  <c r="AI122" i="3"/>
  <c r="AJ122" i="3" s="1"/>
  <c r="AI121" i="3"/>
  <c r="AJ121" i="3" s="1"/>
  <c r="AL121" i="3" s="1"/>
  <c r="AI120" i="3"/>
  <c r="AJ120" i="3" s="1"/>
  <c r="AI119" i="3"/>
  <c r="AJ119" i="3" s="1"/>
  <c r="AL119" i="3" s="1"/>
  <c r="AI94" i="3"/>
  <c r="AJ94" i="3" s="1"/>
  <c r="AI93" i="3"/>
  <c r="AJ93" i="3" s="1"/>
  <c r="AI92" i="3"/>
  <c r="AJ92" i="3" s="1"/>
  <c r="AI91" i="3"/>
  <c r="AJ91" i="3" s="1"/>
  <c r="AI90" i="3"/>
  <c r="AJ90" i="3" s="1"/>
  <c r="AI89" i="3"/>
  <c r="AJ89" i="3" s="1"/>
  <c r="AI88" i="3"/>
  <c r="AJ88" i="3" s="1"/>
  <c r="AI87" i="3"/>
  <c r="AJ87" i="3" s="1"/>
  <c r="AI62" i="3"/>
  <c r="AJ62" i="3" s="1"/>
  <c r="AI61" i="3"/>
  <c r="AJ61" i="3" s="1"/>
  <c r="AI60" i="3"/>
  <c r="AJ60" i="3" s="1"/>
  <c r="AI59" i="3"/>
  <c r="AJ59" i="3" s="1"/>
  <c r="AI58" i="3"/>
  <c r="AJ58" i="3" s="1"/>
  <c r="AI57" i="3"/>
  <c r="AJ57" i="3" s="1"/>
  <c r="AI56" i="3"/>
  <c r="AJ56" i="3" s="1"/>
  <c r="AI55" i="3"/>
  <c r="AJ55" i="3" s="1"/>
  <c r="AI24" i="3"/>
  <c r="AJ24" i="3" s="1"/>
  <c r="AI25" i="3"/>
  <c r="AJ25" i="3" s="1"/>
  <c r="AI26" i="3"/>
  <c r="AJ26" i="3" s="1"/>
  <c r="AI27" i="3"/>
  <c r="AJ27" i="3" s="1"/>
  <c r="AI28" i="3"/>
  <c r="AJ28" i="3" s="1"/>
  <c r="AI29" i="3"/>
  <c r="AJ29" i="3" s="1"/>
  <c r="AI30" i="3"/>
  <c r="AJ30" i="3" s="1"/>
  <c r="AI23" i="3"/>
  <c r="AJ23" i="3" s="1"/>
  <c r="AL29" i="3" l="1"/>
  <c r="AK29" i="3"/>
  <c r="AK28" i="3"/>
  <c r="AL28" i="3"/>
  <c r="AK26" i="3"/>
  <c r="AL26" i="3"/>
  <c r="AL25" i="3"/>
  <c r="AK25" i="3"/>
  <c r="AK24" i="3"/>
  <c r="AL24" i="3"/>
  <c r="AK27" i="3"/>
  <c r="AL27" i="3"/>
  <c r="AL23" i="3"/>
  <c r="AK23" i="3"/>
  <c r="AK30" i="3"/>
  <c r="AL30" i="3"/>
  <c r="AL216" i="3"/>
  <c r="AK216" i="3"/>
  <c r="AL222" i="3"/>
  <c r="AK222" i="3"/>
  <c r="AL218" i="3"/>
  <c r="AK218" i="3"/>
  <c r="AL220" i="3"/>
  <c r="AK220" i="3"/>
  <c r="AK215" i="3"/>
  <c r="AK217" i="3"/>
  <c r="AK219" i="3"/>
  <c r="AK221" i="3"/>
  <c r="AL186" i="3"/>
  <c r="AK186" i="3"/>
  <c r="AL188" i="3"/>
  <c r="AK188" i="3"/>
  <c r="AL184" i="3"/>
  <c r="AK184" i="3"/>
  <c r="AL190" i="3"/>
  <c r="AK190" i="3"/>
  <c r="AK183" i="3"/>
  <c r="AK185" i="3"/>
  <c r="AK187" i="3"/>
  <c r="AK189" i="3"/>
  <c r="AL153" i="3"/>
  <c r="AK153" i="3"/>
  <c r="AL157" i="3"/>
  <c r="AK157" i="3"/>
  <c r="AK151" i="3"/>
  <c r="AK155" i="3"/>
  <c r="AL156" i="3"/>
  <c r="AK156" i="3"/>
  <c r="AL152" i="3"/>
  <c r="AK152" i="3"/>
  <c r="AL154" i="3"/>
  <c r="AK154" i="3"/>
  <c r="AL158" i="3"/>
  <c r="AK158" i="3"/>
  <c r="AL122" i="3"/>
  <c r="AK122" i="3"/>
  <c r="AL124" i="3"/>
  <c r="AK124" i="3"/>
  <c r="AL120" i="3"/>
  <c r="AK120" i="3"/>
  <c r="AL126" i="3"/>
  <c r="AK126" i="3"/>
  <c r="AK119" i="3"/>
  <c r="AK121" i="3"/>
  <c r="AK123" i="3"/>
  <c r="AK125" i="3"/>
  <c r="AL87" i="3"/>
  <c r="AK87" i="3"/>
  <c r="AL89" i="3"/>
  <c r="AK89" i="3"/>
  <c r="AL88" i="3"/>
  <c r="AK88" i="3"/>
  <c r="AL90" i="3"/>
  <c r="AK90" i="3"/>
  <c r="AL91" i="3"/>
  <c r="AK91" i="3"/>
  <c r="AL92" i="3"/>
  <c r="AK92" i="3"/>
  <c r="AL93" i="3"/>
  <c r="AK93" i="3"/>
  <c r="AL94" i="3"/>
  <c r="AK94" i="3"/>
  <c r="AL56" i="3"/>
  <c r="AK56" i="3"/>
  <c r="AL57" i="3"/>
  <c r="AK57" i="3"/>
  <c r="AL58" i="3"/>
  <c r="AK58" i="3"/>
  <c r="AL55" i="3"/>
  <c r="AK55" i="3"/>
  <c r="AL59" i="3"/>
  <c r="AK59" i="3"/>
  <c r="AL60" i="3"/>
  <c r="AK60" i="3"/>
  <c r="AL61" i="3"/>
  <c r="AK61" i="3"/>
  <c r="AL62" i="3"/>
  <c r="AK62" i="3"/>
  <c r="AE402" i="4"/>
  <c r="AE408" i="4"/>
  <c r="AE409" i="4"/>
  <c r="AE410" i="4"/>
  <c r="AE411" i="4"/>
  <c r="AE412" i="4"/>
  <c r="AE413" i="4"/>
  <c r="AE414" i="4"/>
  <c r="AE415" i="4"/>
  <c r="AE416" i="4"/>
  <c r="AE417" i="4"/>
  <c r="AA411" i="4"/>
  <c r="AA412" i="4"/>
  <c r="AA413" i="4"/>
  <c r="AA415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7" i="4"/>
  <c r="AK99" i="6" l="1"/>
  <c r="AL99" i="6"/>
  <c r="AM99" i="6"/>
  <c r="AN99" i="6"/>
  <c r="AK100" i="6"/>
  <c r="AL100" i="6"/>
  <c r="AM100" i="6"/>
  <c r="AN100" i="6"/>
  <c r="AG91" i="6"/>
  <c r="AH91" i="6"/>
  <c r="AI91" i="6"/>
  <c r="AJ91" i="6"/>
  <c r="AG94" i="6"/>
  <c r="AH94" i="6"/>
  <c r="AI94" i="6"/>
  <c r="AJ94" i="6"/>
  <c r="AG95" i="6"/>
  <c r="AH95" i="6"/>
  <c r="AI95" i="6"/>
  <c r="AJ95" i="6"/>
  <c r="AG96" i="6"/>
  <c r="AH96" i="6"/>
  <c r="AI96" i="6"/>
  <c r="AJ96" i="6"/>
  <c r="AG104" i="6"/>
  <c r="AH104" i="6"/>
  <c r="AI104" i="6"/>
  <c r="AJ104" i="6"/>
  <c r="AG107" i="6"/>
  <c r="AH107" i="6"/>
  <c r="AI107" i="6"/>
  <c r="AJ107" i="6"/>
  <c r="AG110" i="6"/>
  <c r="AH110" i="6"/>
  <c r="AI110" i="6"/>
  <c r="AJ110" i="6"/>
  <c r="W111" i="6"/>
  <c r="V111" i="6"/>
  <c r="U111" i="6"/>
  <c r="W110" i="6"/>
  <c r="V110" i="6"/>
  <c r="U110" i="6"/>
  <c r="W109" i="6"/>
  <c r="V109" i="6"/>
  <c r="U109" i="6"/>
  <c r="W108" i="6"/>
  <c r="V108" i="6"/>
  <c r="U108" i="6"/>
  <c r="W107" i="6"/>
  <c r="V107" i="6"/>
  <c r="U107" i="6"/>
  <c r="W106" i="6"/>
  <c r="V106" i="6"/>
  <c r="U106" i="6"/>
  <c r="W105" i="6"/>
  <c r="V105" i="6"/>
  <c r="U105" i="6"/>
  <c r="W104" i="6"/>
  <c r="V104" i="6"/>
  <c r="U104" i="6"/>
  <c r="W103" i="6"/>
  <c r="V103" i="6"/>
  <c r="U103" i="6"/>
  <c r="W102" i="6"/>
  <c r="V102" i="6"/>
  <c r="U102" i="6"/>
  <c r="W101" i="6"/>
  <c r="V101" i="6"/>
  <c r="U101" i="6"/>
  <c r="W100" i="6"/>
  <c r="V100" i="6"/>
  <c r="U100" i="6"/>
  <c r="W99" i="6"/>
  <c r="V99" i="6"/>
  <c r="U99" i="6"/>
  <c r="W98" i="6"/>
  <c r="V98" i="6"/>
  <c r="U98" i="6"/>
  <c r="W97" i="6"/>
  <c r="V97" i="6"/>
  <c r="U97" i="6"/>
  <c r="W96" i="6"/>
  <c r="V96" i="6"/>
  <c r="U96" i="6"/>
  <c r="W95" i="6"/>
  <c r="V95" i="6"/>
  <c r="U95" i="6"/>
  <c r="W94" i="6"/>
  <c r="V94" i="6"/>
  <c r="U94" i="6"/>
  <c r="W93" i="6"/>
  <c r="V93" i="6"/>
  <c r="U93" i="6"/>
  <c r="W92" i="6"/>
  <c r="V92" i="6"/>
  <c r="U92" i="6"/>
  <c r="W91" i="6"/>
  <c r="V91" i="6"/>
  <c r="U91" i="6"/>
  <c r="Q91" i="6"/>
  <c r="R91" i="6"/>
  <c r="S91" i="6"/>
  <c r="R92" i="6"/>
  <c r="S92" i="6"/>
  <c r="Q93" i="6"/>
  <c r="R93" i="6"/>
  <c r="S93" i="6"/>
  <c r="Q94" i="6"/>
  <c r="R94" i="6"/>
  <c r="S94" i="6"/>
  <c r="Q95" i="6"/>
  <c r="R95" i="6"/>
  <c r="S95" i="6"/>
  <c r="Q96" i="6"/>
  <c r="R96" i="6"/>
  <c r="S96" i="6"/>
  <c r="Q97" i="6"/>
  <c r="R97" i="6"/>
  <c r="S97" i="6"/>
  <c r="Q98" i="6"/>
  <c r="R98" i="6"/>
  <c r="S98" i="6"/>
  <c r="Q99" i="6"/>
  <c r="R99" i="6"/>
  <c r="S99" i="6"/>
  <c r="Q100" i="6"/>
  <c r="R100" i="6"/>
  <c r="S100" i="6"/>
  <c r="Q101" i="6"/>
  <c r="R101" i="6"/>
  <c r="S101" i="6"/>
  <c r="AA101" i="6" s="1"/>
  <c r="Q102" i="6"/>
  <c r="R102" i="6"/>
  <c r="Z102" i="6" s="1"/>
  <c r="S102" i="6"/>
  <c r="Q103" i="6"/>
  <c r="R103" i="6"/>
  <c r="S103" i="6"/>
  <c r="Q104" i="6"/>
  <c r="R104" i="6"/>
  <c r="S104" i="6"/>
  <c r="Q105" i="6"/>
  <c r="Y105" i="6" s="1"/>
  <c r="R105" i="6"/>
  <c r="S105" i="6"/>
  <c r="Q106" i="6"/>
  <c r="R106" i="6"/>
  <c r="S106" i="6"/>
  <c r="Q107" i="6"/>
  <c r="R107" i="6"/>
  <c r="S107" i="6"/>
  <c r="Q108" i="6"/>
  <c r="R108" i="6"/>
  <c r="S108" i="6"/>
  <c r="Q109" i="6"/>
  <c r="R109" i="6"/>
  <c r="Z109" i="6" s="1"/>
  <c r="S109" i="6"/>
  <c r="AA109" i="6" s="1"/>
  <c r="Q110" i="6"/>
  <c r="R110" i="6"/>
  <c r="S110" i="6"/>
  <c r="R111" i="6"/>
  <c r="S111" i="6"/>
  <c r="AA111" i="6" s="1"/>
  <c r="Q111" i="6"/>
  <c r="Q82" i="6"/>
  <c r="R62" i="6"/>
  <c r="S62" i="6"/>
  <c r="Q63" i="6"/>
  <c r="R63" i="6"/>
  <c r="S63" i="6"/>
  <c r="Q64" i="6"/>
  <c r="R64" i="6"/>
  <c r="S64" i="6"/>
  <c r="Q65" i="6"/>
  <c r="R65" i="6"/>
  <c r="S65" i="6"/>
  <c r="Q66" i="6"/>
  <c r="R66" i="6"/>
  <c r="S66" i="6"/>
  <c r="Q67" i="6"/>
  <c r="R67" i="6"/>
  <c r="S67" i="6"/>
  <c r="Q68" i="6"/>
  <c r="R68" i="6"/>
  <c r="S68" i="6"/>
  <c r="Q69" i="6"/>
  <c r="R69" i="6"/>
  <c r="S69" i="6"/>
  <c r="Q70" i="6"/>
  <c r="R70" i="6"/>
  <c r="S70" i="6"/>
  <c r="Q71" i="6"/>
  <c r="R71" i="6"/>
  <c r="S71" i="6"/>
  <c r="Q72" i="6"/>
  <c r="R72" i="6"/>
  <c r="S72" i="6"/>
  <c r="Q73" i="6"/>
  <c r="R73" i="6"/>
  <c r="S73" i="6"/>
  <c r="Q74" i="6"/>
  <c r="R74" i="6"/>
  <c r="S74" i="6"/>
  <c r="Q75" i="6"/>
  <c r="R75" i="6"/>
  <c r="S75" i="6"/>
  <c r="Q76" i="6"/>
  <c r="R76" i="6"/>
  <c r="S76" i="6"/>
  <c r="Q77" i="6"/>
  <c r="R77" i="6"/>
  <c r="S77" i="6"/>
  <c r="Q78" i="6"/>
  <c r="R78" i="6"/>
  <c r="S78" i="6"/>
  <c r="Q79" i="6"/>
  <c r="R79" i="6"/>
  <c r="S79" i="6"/>
  <c r="Q80" i="6"/>
  <c r="R80" i="6"/>
  <c r="S80" i="6"/>
  <c r="Q81" i="6"/>
  <c r="R81" i="6"/>
  <c r="S81" i="6"/>
  <c r="R82" i="6"/>
  <c r="S8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AC69" i="6"/>
  <c r="AD69" i="6"/>
  <c r="AE69" i="6"/>
  <c r="AF69" i="6"/>
  <c r="U62" i="6"/>
  <c r="V62" i="6"/>
  <c r="W62" i="6"/>
  <c r="U66" i="6"/>
  <c r="V66" i="6"/>
  <c r="W66" i="6"/>
  <c r="U67" i="6"/>
  <c r="V67" i="6"/>
  <c r="W67" i="6"/>
  <c r="U68" i="6"/>
  <c r="V68" i="6"/>
  <c r="W68" i="6"/>
  <c r="U69" i="6"/>
  <c r="V69" i="6"/>
  <c r="W69" i="6"/>
  <c r="U73" i="6"/>
  <c r="V73" i="6"/>
  <c r="W73" i="6"/>
  <c r="U78" i="6"/>
  <c r="V78" i="6"/>
  <c r="W78" i="6"/>
  <c r="U80" i="6"/>
  <c r="V80" i="6"/>
  <c r="W80" i="6"/>
  <c r="U81" i="6"/>
  <c r="V81" i="6"/>
  <c r="W81" i="6"/>
  <c r="W82" i="6"/>
  <c r="V82" i="6"/>
  <c r="U82" i="6"/>
  <c r="AG43" i="6"/>
  <c r="AG35" i="6"/>
  <c r="AH35" i="6"/>
  <c r="AI35" i="6"/>
  <c r="AJ35" i="6"/>
  <c r="AG36" i="6"/>
  <c r="AH36" i="6"/>
  <c r="AI36" i="6"/>
  <c r="AJ36" i="6"/>
  <c r="AH43" i="6"/>
  <c r="AI43" i="6"/>
  <c r="AJ43" i="6"/>
  <c r="V33" i="6"/>
  <c r="U34" i="6"/>
  <c r="V34" i="6" s="1"/>
  <c r="U35" i="6"/>
  <c r="V35" i="6" s="1"/>
  <c r="U36" i="6"/>
  <c r="U37" i="6"/>
  <c r="V37" i="6" s="1"/>
  <c r="U38" i="6"/>
  <c r="V38" i="6" s="1"/>
  <c r="U39" i="6"/>
  <c r="V39" i="6" s="1"/>
  <c r="U40" i="6"/>
  <c r="U41" i="6"/>
  <c r="V41" i="6" s="1"/>
  <c r="U42" i="6"/>
  <c r="V42" i="6" s="1"/>
  <c r="U43" i="6"/>
  <c r="V43" i="6" s="1"/>
  <c r="U44" i="6"/>
  <c r="Y44" i="6" s="1"/>
  <c r="AC44" i="6" s="1"/>
  <c r="U45" i="6"/>
  <c r="V45" i="6" s="1"/>
  <c r="U46" i="6"/>
  <c r="V46" i="6" s="1"/>
  <c r="U47" i="6"/>
  <c r="V47" i="6" s="1"/>
  <c r="U48" i="6"/>
  <c r="U49" i="6"/>
  <c r="V49" i="6" s="1"/>
  <c r="U50" i="6"/>
  <c r="V50" i="6" s="1"/>
  <c r="U51" i="6"/>
  <c r="V51" i="6" s="1"/>
  <c r="U52" i="6"/>
  <c r="H79" i="6"/>
  <c r="U79" i="6" s="1"/>
  <c r="L77" i="6"/>
  <c r="U77" i="6" s="1"/>
  <c r="H76" i="6"/>
  <c r="U76" i="6" s="1"/>
  <c r="L75" i="6"/>
  <c r="H75" i="6"/>
  <c r="H74" i="6"/>
  <c r="U74" i="6" s="1"/>
  <c r="H72" i="6"/>
  <c r="U72" i="6" s="1"/>
  <c r="H71" i="6"/>
  <c r="U71" i="6" s="1"/>
  <c r="H70" i="6"/>
  <c r="V70" i="6" s="1"/>
  <c r="L65" i="6"/>
  <c r="H65" i="6"/>
  <c r="L64" i="6"/>
  <c r="U64" i="6" s="1"/>
  <c r="L63" i="6"/>
  <c r="K63" i="6"/>
  <c r="H63" i="6"/>
  <c r="D53" i="6"/>
  <c r="U53" i="6" s="1"/>
  <c r="V53" i="6" s="1"/>
  <c r="AA107" i="6" l="1"/>
  <c r="Y109" i="6"/>
  <c r="AA106" i="6"/>
  <c r="Z106" i="6"/>
  <c r="Y104" i="6"/>
  <c r="Y107" i="6"/>
  <c r="Z33" i="6"/>
  <c r="AG33" i="6" s="1"/>
  <c r="AA91" i="6"/>
  <c r="AK91" i="6" s="1"/>
  <c r="Y97" i="6"/>
  <c r="AC97" i="6" s="1"/>
  <c r="AA103" i="6"/>
  <c r="AN103" i="6" s="1"/>
  <c r="Y101" i="6"/>
  <c r="AF101" i="6" s="1"/>
  <c r="Z98" i="6"/>
  <c r="AJ98" i="6" s="1"/>
  <c r="Y48" i="6"/>
  <c r="AC48" i="6" s="1"/>
  <c r="Y40" i="6"/>
  <c r="AC40" i="6" s="1"/>
  <c r="AA110" i="6"/>
  <c r="AM110" i="6" s="1"/>
  <c r="Y108" i="6"/>
  <c r="AC108" i="6" s="1"/>
  <c r="Z105" i="6"/>
  <c r="AI105" i="6" s="1"/>
  <c r="AA102" i="6"/>
  <c r="AM102" i="6" s="1"/>
  <c r="Y100" i="6"/>
  <c r="AF100" i="6" s="1"/>
  <c r="Z97" i="6"/>
  <c r="AJ97" i="6" s="1"/>
  <c r="AA94" i="6"/>
  <c r="AM94" i="6" s="1"/>
  <c r="AA95" i="6"/>
  <c r="AK95" i="6" s="1"/>
  <c r="Z101" i="6"/>
  <c r="AG101" i="6" s="1"/>
  <c r="AA98" i="6"/>
  <c r="AM98" i="6" s="1"/>
  <c r="Y96" i="6"/>
  <c r="AD96" i="6" s="1"/>
  <c r="Z93" i="6"/>
  <c r="AG93" i="6" s="1"/>
  <c r="Y93" i="6"/>
  <c r="AD93" i="6" s="1"/>
  <c r="Z47" i="6"/>
  <c r="AG47" i="6" s="1"/>
  <c r="U75" i="6"/>
  <c r="Y75" i="6" s="1"/>
  <c r="AA73" i="6"/>
  <c r="AK73" i="6" s="1"/>
  <c r="W65" i="6"/>
  <c r="AA65" i="6" s="1"/>
  <c r="AA108" i="6"/>
  <c r="AM108" i="6" s="1"/>
  <c r="Y106" i="6"/>
  <c r="AC106" i="6" s="1"/>
  <c r="Z103" i="6"/>
  <c r="AI103" i="6" s="1"/>
  <c r="Y98" i="6"/>
  <c r="AF98" i="6" s="1"/>
  <c r="AA92" i="6"/>
  <c r="AM92" i="6" s="1"/>
  <c r="Z111" i="6"/>
  <c r="AJ111" i="6" s="1"/>
  <c r="Y92" i="6"/>
  <c r="AD92" i="6" s="1"/>
  <c r="V40" i="6"/>
  <c r="Z40" i="6" s="1"/>
  <c r="AH40" i="6" s="1"/>
  <c r="Z46" i="6"/>
  <c r="AI46" i="6" s="1"/>
  <c r="Y82" i="6"/>
  <c r="AF82" i="6" s="1"/>
  <c r="Y110" i="6"/>
  <c r="AC110" i="6" s="1"/>
  <c r="AA104" i="6"/>
  <c r="AL104" i="6" s="1"/>
  <c r="Z99" i="6"/>
  <c r="AI99" i="6" s="1"/>
  <c r="AA96" i="6"/>
  <c r="AM96" i="6" s="1"/>
  <c r="Y94" i="6"/>
  <c r="AD94" i="6" s="1"/>
  <c r="Y102" i="6"/>
  <c r="AC102" i="6" s="1"/>
  <c r="U63" i="6"/>
  <c r="Y63" i="6" s="1"/>
  <c r="Y52" i="6"/>
  <c r="AC52" i="6" s="1"/>
  <c r="Z38" i="6"/>
  <c r="AJ38" i="6" s="1"/>
  <c r="Y99" i="6"/>
  <c r="AE99" i="6" s="1"/>
  <c r="AA93" i="6"/>
  <c r="AK93" i="6" s="1"/>
  <c r="Y91" i="6"/>
  <c r="AE91" i="6" s="1"/>
  <c r="Z51" i="6"/>
  <c r="AG51" i="6" s="1"/>
  <c r="W63" i="6"/>
  <c r="AA63" i="6" s="1"/>
  <c r="Y36" i="6"/>
  <c r="AC36" i="6" s="1"/>
  <c r="Y43" i="6"/>
  <c r="AF43" i="6" s="1"/>
  <c r="Z34" i="6"/>
  <c r="AG34" i="6" s="1"/>
  <c r="Y111" i="6"/>
  <c r="AD111" i="6" s="1"/>
  <c r="Z39" i="6"/>
  <c r="AH39" i="6" s="1"/>
  <c r="Z42" i="6"/>
  <c r="AJ42" i="6" s="1"/>
  <c r="U65" i="6"/>
  <c r="W75" i="6"/>
  <c r="AA75" i="6" s="1"/>
  <c r="V48" i="6"/>
  <c r="Z48" i="6" s="1"/>
  <c r="Z50" i="6"/>
  <c r="AI50" i="6" s="1"/>
  <c r="Z108" i="6"/>
  <c r="AH108" i="6" s="1"/>
  <c r="AA105" i="6"/>
  <c r="AL105" i="6" s="1"/>
  <c r="Y103" i="6"/>
  <c r="AF103" i="6" s="1"/>
  <c r="Z100" i="6"/>
  <c r="AH100" i="6" s="1"/>
  <c r="AA97" i="6"/>
  <c r="AL97" i="6" s="1"/>
  <c r="Y95" i="6"/>
  <c r="AF95" i="6" s="1"/>
  <c r="Z92" i="6"/>
  <c r="AG92" i="6" s="1"/>
  <c r="AK107" i="6"/>
  <c r="AL107" i="6"/>
  <c r="AM107" i="6"/>
  <c r="AN107" i="6"/>
  <c r="AE105" i="6"/>
  <c r="AF105" i="6"/>
  <c r="AC105" i="6"/>
  <c r="AD105" i="6"/>
  <c r="AG102" i="6"/>
  <c r="AH102" i="6"/>
  <c r="AI102" i="6"/>
  <c r="AJ102" i="6"/>
  <c r="AE97" i="6"/>
  <c r="AM91" i="6"/>
  <c r="AK109" i="6"/>
  <c r="AL109" i="6"/>
  <c r="AM109" i="6"/>
  <c r="AN109" i="6"/>
  <c r="AE107" i="6"/>
  <c r="AF107" i="6"/>
  <c r="AC107" i="6"/>
  <c r="AD107" i="6"/>
  <c r="AK101" i="6"/>
  <c r="AL101" i="6"/>
  <c r="AM101" i="6"/>
  <c r="AN101" i="6"/>
  <c r="AI109" i="6"/>
  <c r="AJ109" i="6"/>
  <c r="AG109" i="6"/>
  <c r="AH109" i="6"/>
  <c r="AM106" i="6"/>
  <c r="AN106" i="6"/>
  <c r="AK106" i="6"/>
  <c r="AL106" i="6"/>
  <c r="AC104" i="6"/>
  <c r="AD104" i="6"/>
  <c r="AE104" i="6"/>
  <c r="AF104" i="6"/>
  <c r="AE109" i="6"/>
  <c r="AF109" i="6"/>
  <c r="AC109" i="6"/>
  <c r="AD109" i="6"/>
  <c r="AG106" i="6"/>
  <c r="AH106" i="6"/>
  <c r="AI106" i="6"/>
  <c r="AJ106" i="6"/>
  <c r="AK103" i="6"/>
  <c r="AL103" i="6"/>
  <c r="AM103" i="6"/>
  <c r="AE101" i="6"/>
  <c r="AG98" i="6"/>
  <c r="AH98" i="6"/>
  <c r="AL111" i="6"/>
  <c r="AM111" i="6"/>
  <c r="AN111" i="6"/>
  <c r="AK111" i="6"/>
  <c r="Y34" i="6"/>
  <c r="AC34" i="6" s="1"/>
  <c r="V75" i="6"/>
  <c r="Z75" i="6" s="1"/>
  <c r="W72" i="6"/>
  <c r="AA72" i="6" s="1"/>
  <c r="U70" i="6"/>
  <c r="Y70" i="6" s="1"/>
  <c r="W64" i="6"/>
  <c r="AA64" i="6" s="1"/>
  <c r="Z41" i="6"/>
  <c r="AI41" i="6" s="1"/>
  <c r="V52" i="6"/>
  <c r="Z52" i="6" s="1"/>
  <c r="AJ52" i="6" s="1"/>
  <c r="Y51" i="6"/>
  <c r="AD51" i="6" s="1"/>
  <c r="Y46" i="6"/>
  <c r="AC46" i="6" s="1"/>
  <c r="Y39" i="6"/>
  <c r="AF39" i="6" s="1"/>
  <c r="AC33" i="6"/>
  <c r="W77" i="6"/>
  <c r="AA77" i="6" s="1"/>
  <c r="V72" i="6"/>
  <c r="Z72" i="6" s="1"/>
  <c r="V64" i="6"/>
  <c r="Z64" i="6" s="1"/>
  <c r="Y45" i="6"/>
  <c r="AC45" i="6" s="1"/>
  <c r="V77" i="6"/>
  <c r="Z77" i="6" s="1"/>
  <c r="W74" i="6"/>
  <c r="AA74" i="6" s="1"/>
  <c r="Z45" i="6"/>
  <c r="AG45" i="6" s="1"/>
  <c r="V44" i="6"/>
  <c r="Z44" i="6" s="1"/>
  <c r="Y50" i="6"/>
  <c r="AC50" i="6" s="1"/>
  <c r="Y38" i="6"/>
  <c r="AC38" i="6" s="1"/>
  <c r="W79" i="6"/>
  <c r="AA79" i="6" s="1"/>
  <c r="V74" i="6"/>
  <c r="Z74" i="6" s="1"/>
  <c r="W71" i="6"/>
  <c r="AA71" i="6" s="1"/>
  <c r="Y49" i="6"/>
  <c r="AD49" i="6" s="1"/>
  <c r="Y37" i="6"/>
  <c r="AD37" i="6" s="1"/>
  <c r="V79" i="6"/>
  <c r="Z79" i="6" s="1"/>
  <c r="W76" i="6"/>
  <c r="AA76" i="6" s="1"/>
  <c r="V71" i="6"/>
  <c r="Z71" i="6" s="1"/>
  <c r="V63" i="6"/>
  <c r="Z63" i="6" s="1"/>
  <c r="Z49" i="6"/>
  <c r="AI49" i="6" s="1"/>
  <c r="V36" i="6"/>
  <c r="V76" i="6"/>
  <c r="Z76" i="6" s="1"/>
  <c r="Y42" i="6"/>
  <c r="AC42" i="6" s="1"/>
  <c r="Y35" i="6"/>
  <c r="AC35" i="6" s="1"/>
  <c r="W70" i="6"/>
  <c r="AA70" i="6" s="1"/>
  <c r="V65" i="6"/>
  <c r="Z65" i="6" s="1"/>
  <c r="Z37" i="6"/>
  <c r="AG37" i="6" s="1"/>
  <c r="Y47" i="6"/>
  <c r="AD47" i="6" s="1"/>
  <c r="Y41" i="6"/>
  <c r="AC41" i="6" s="1"/>
  <c r="AF44" i="6"/>
  <c r="AE44" i="6"/>
  <c r="AD44" i="6"/>
  <c r="Y68" i="6"/>
  <c r="Z69" i="6"/>
  <c r="AA68" i="6"/>
  <c r="AA67" i="6"/>
  <c r="Y62" i="6"/>
  <c r="AA82" i="6"/>
  <c r="Z78" i="6"/>
  <c r="AA69" i="6"/>
  <c r="Y78" i="6"/>
  <c r="AA78" i="6"/>
  <c r="Z81" i="6"/>
  <c r="AA81" i="6"/>
  <c r="AA62" i="6"/>
  <c r="Y53" i="6"/>
  <c r="Z53" i="6"/>
  <c r="Z62" i="6"/>
  <c r="Z70" i="6"/>
  <c r="Z80" i="6"/>
  <c r="Y80" i="6"/>
  <c r="AA66" i="6"/>
  <c r="Z66" i="6"/>
  <c r="Y66" i="6"/>
  <c r="Y64" i="6"/>
  <c r="AC64" i="6" s="1"/>
  <c r="Y67" i="6"/>
  <c r="Z68" i="6"/>
  <c r="Z67" i="6"/>
  <c r="Y71" i="6"/>
  <c r="Y74" i="6"/>
  <c r="Y81" i="6"/>
  <c r="Y72" i="6"/>
  <c r="Z73" i="6"/>
  <c r="Y73" i="6"/>
  <c r="AA80" i="6"/>
  <c r="Z82" i="6"/>
  <c r="Y77" i="6"/>
  <c r="Y79" i="6"/>
  <c r="Y76" i="6"/>
  <c r="AN72" i="5"/>
  <c r="AM72" i="5"/>
  <c r="AL72" i="5"/>
  <c r="AK72" i="5"/>
  <c r="AN63" i="5"/>
  <c r="AM63" i="5"/>
  <c r="AL63" i="5"/>
  <c r="AK63" i="5"/>
  <c r="AJ93" i="6" l="1"/>
  <c r="AF40" i="6"/>
  <c r="AI34" i="6"/>
  <c r="AI93" i="6"/>
  <c r="AN73" i="6"/>
  <c r="AD40" i="6"/>
  <c r="AD48" i="6"/>
  <c r="AI51" i="6"/>
  <c r="AD97" i="6"/>
  <c r="AF97" i="6"/>
  <c r="AI98" i="6"/>
  <c r="AE94" i="6"/>
  <c r="AC93" i="6"/>
  <c r="AD36" i="6"/>
  <c r="AE98" i="6"/>
  <c r="AN91" i="6"/>
  <c r="AL91" i="6"/>
  <c r="AF93" i="6"/>
  <c r="AD98" i="6"/>
  <c r="AD101" i="6"/>
  <c r="AE100" i="6"/>
  <c r="AC101" i="6"/>
  <c r="AJ101" i="6"/>
  <c r="AD100" i="6"/>
  <c r="AF48" i="6"/>
  <c r="AI101" i="6"/>
  <c r="AH51" i="6"/>
  <c r="AJ51" i="6"/>
  <c r="AM95" i="6"/>
  <c r="AE108" i="6"/>
  <c r="AL95" i="6"/>
  <c r="AL110" i="6"/>
  <c r="AL73" i="6"/>
  <c r="AN95" i="6"/>
  <c r="AF102" i="6"/>
  <c r="AF108" i="6"/>
  <c r="AL108" i="6"/>
  <c r="AD102" i="6"/>
  <c r="AE40" i="6"/>
  <c r="AG46" i="6"/>
  <c r="AL98" i="6"/>
  <c r="AH101" i="6"/>
  <c r="AK110" i="6"/>
  <c r="AJ46" i="6"/>
  <c r="AE48" i="6"/>
  <c r="AM73" i="6"/>
  <c r="AC95" i="6"/>
  <c r="AF94" i="6"/>
  <c r="AC96" i="6"/>
  <c r="AK108" i="6"/>
  <c r="AK98" i="6"/>
  <c r="AD108" i="6"/>
  <c r="AF36" i="6"/>
  <c r="AT36" i="6" s="1"/>
  <c r="AN108" i="6"/>
  <c r="AN98" i="6"/>
  <c r="AD82" i="6"/>
  <c r="AH105" i="6"/>
  <c r="AH46" i="6"/>
  <c r="AG105" i="6"/>
  <c r="AE36" i="6"/>
  <c r="AU36" i="6" s="1"/>
  <c r="AE96" i="6"/>
  <c r="AJ105" i="6"/>
  <c r="AN110" i="6"/>
  <c r="AF96" i="6"/>
  <c r="AH47" i="6"/>
  <c r="AD99" i="6"/>
  <c r="AC100" i="6"/>
  <c r="AI38" i="6"/>
  <c r="AH103" i="6"/>
  <c r="AC111" i="6"/>
  <c r="AC99" i="6"/>
  <c r="AL102" i="6"/>
  <c r="AE93" i="6"/>
  <c r="AG103" i="6"/>
  <c r="AF111" i="6"/>
  <c r="AF99" i="6"/>
  <c r="AH97" i="6"/>
  <c r="AK102" i="6"/>
  <c r="AQ102" i="6" s="1"/>
  <c r="AI40" i="6"/>
  <c r="AJ34" i="6"/>
  <c r="AJ103" i="6"/>
  <c r="AH34" i="6"/>
  <c r="AG97" i="6"/>
  <c r="AN102" i="6"/>
  <c r="AC98" i="6"/>
  <c r="AH93" i="6"/>
  <c r="AN104" i="6"/>
  <c r="AT104" i="6" s="1"/>
  <c r="AI97" i="6"/>
  <c r="AI39" i="6"/>
  <c r="AK94" i="6"/>
  <c r="AD38" i="6"/>
  <c r="AD91" i="6"/>
  <c r="AL94" i="6"/>
  <c r="AN94" i="6"/>
  <c r="AC94" i="6"/>
  <c r="AG42" i="6"/>
  <c r="AL96" i="6"/>
  <c r="AN96" i="6"/>
  <c r="AM97" i="6"/>
  <c r="AE92" i="6"/>
  <c r="AC92" i="6"/>
  <c r="AE95" i="6"/>
  <c r="AG41" i="6"/>
  <c r="AJ39" i="6"/>
  <c r="AG39" i="6"/>
  <c r="AL92" i="6"/>
  <c r="AC103" i="6"/>
  <c r="AJ47" i="6"/>
  <c r="AK92" i="6"/>
  <c r="AM93" i="6"/>
  <c r="AN92" i="6"/>
  <c r="AI47" i="6"/>
  <c r="AE103" i="6"/>
  <c r="AN105" i="6"/>
  <c r="AC39" i="6"/>
  <c r="AN93" i="6"/>
  <c r="AH99" i="6"/>
  <c r="AM105" i="6"/>
  <c r="AC49" i="6"/>
  <c r="AG99" i="6"/>
  <c r="AL93" i="6"/>
  <c r="AJ99" i="6"/>
  <c r="AC51" i="6"/>
  <c r="AI111" i="6"/>
  <c r="AF92" i="6"/>
  <c r="AD33" i="6"/>
  <c r="AJ49" i="6"/>
  <c r="AE46" i="6"/>
  <c r="AU46" i="6" s="1"/>
  <c r="AH49" i="6"/>
  <c r="AF106" i="6"/>
  <c r="AE52" i="6"/>
  <c r="AE43" i="6"/>
  <c r="AG50" i="6"/>
  <c r="AC82" i="6"/>
  <c r="AD43" i="6"/>
  <c r="AT43" i="6" s="1"/>
  <c r="AE82" i="6"/>
  <c r="AE106" i="6"/>
  <c r="AU106" i="6" s="1"/>
  <c r="AH33" i="6"/>
  <c r="AD106" i="6"/>
  <c r="AC43" i="6"/>
  <c r="AU43" i="6" s="1"/>
  <c r="AF46" i="6"/>
  <c r="AG38" i="6"/>
  <c r="AD52" i="6"/>
  <c r="AE50" i="6"/>
  <c r="AH38" i="6"/>
  <c r="AC37" i="6"/>
  <c r="AJ40" i="6"/>
  <c r="AT40" i="6" s="1"/>
  <c r="AD95" i="6"/>
  <c r="AM104" i="6"/>
  <c r="AK104" i="6"/>
  <c r="AG108" i="6"/>
  <c r="AH111" i="6"/>
  <c r="AI42" i="6"/>
  <c r="AG49" i="6"/>
  <c r="AH42" i="6"/>
  <c r="AF110" i="6"/>
  <c r="AG111" i="6"/>
  <c r="AJ45" i="6"/>
  <c r="AE110" i="6"/>
  <c r="AC47" i="6"/>
  <c r="AI45" i="6"/>
  <c r="AD110" i="6"/>
  <c r="AJ108" i="6"/>
  <c r="AF50" i="6"/>
  <c r="AJ33" i="6"/>
  <c r="AH45" i="6"/>
  <c r="AG40" i="6"/>
  <c r="AI108" i="6"/>
  <c r="Y65" i="6"/>
  <c r="AF65" i="6" s="1"/>
  <c r="AI33" i="6"/>
  <c r="AH41" i="6"/>
  <c r="AK97" i="6"/>
  <c r="AE42" i="6"/>
  <c r="AJ100" i="6"/>
  <c r="AK105" i="6"/>
  <c r="AI100" i="6"/>
  <c r="AG100" i="6"/>
  <c r="AD103" i="6"/>
  <c r="AJ48" i="6"/>
  <c r="AG48" i="6"/>
  <c r="AI48" i="6"/>
  <c r="AH48" i="6"/>
  <c r="AD34" i="6"/>
  <c r="AF34" i="6"/>
  <c r="AG52" i="6"/>
  <c r="AF52" i="6"/>
  <c r="AH52" i="6"/>
  <c r="AF38" i="6"/>
  <c r="AD45" i="6"/>
  <c r="AI52" i="6"/>
  <c r="AJ50" i="6"/>
  <c r="AD42" i="6"/>
  <c r="AE34" i="6"/>
  <c r="AU34" i="6" s="1"/>
  <c r="AI37" i="6"/>
  <c r="AK96" i="6"/>
  <c r="AE102" i="6"/>
  <c r="AJ92" i="6"/>
  <c r="AF42" i="6"/>
  <c r="AJ41" i="6"/>
  <c r="AH37" i="6"/>
  <c r="AS109" i="6"/>
  <c r="AD46" i="6"/>
  <c r="AE38" i="6"/>
  <c r="AE111" i="6"/>
  <c r="AC91" i="6"/>
  <c r="AI92" i="6"/>
  <c r="AN97" i="6"/>
  <c r="AH50" i="6"/>
  <c r="AF91" i="6"/>
  <c r="AH92" i="6"/>
  <c r="AI44" i="6"/>
  <c r="AJ44" i="6"/>
  <c r="AH44" i="6"/>
  <c r="AG44" i="6"/>
  <c r="AD50" i="6"/>
  <c r="AF37" i="6"/>
  <c r="AE37" i="6"/>
  <c r="AF45" i="6"/>
  <c r="AE45" i="6"/>
  <c r="AJ37" i="6"/>
  <c r="AF49" i="6"/>
  <c r="AE49" i="6"/>
  <c r="AF35" i="6"/>
  <c r="AE35" i="6"/>
  <c r="AD35" i="6"/>
  <c r="AF33" i="6"/>
  <c r="AE33" i="6"/>
  <c r="AF41" i="6"/>
  <c r="AE41" i="6"/>
  <c r="AE39" i="6"/>
  <c r="AD39" i="6"/>
  <c r="AF47" i="6"/>
  <c r="AE47" i="6"/>
  <c r="AT109" i="6"/>
  <c r="AT107" i="6"/>
  <c r="AS107" i="6"/>
  <c r="AD41" i="6"/>
  <c r="AF51" i="6"/>
  <c r="AE51" i="6"/>
  <c r="AU109" i="6"/>
  <c r="AU107" i="6"/>
  <c r="AD68" i="6"/>
  <c r="AC68" i="6"/>
  <c r="AE68" i="6"/>
  <c r="AF68" i="6"/>
  <c r="AC73" i="6"/>
  <c r="AD73" i="6"/>
  <c r="AE73" i="6"/>
  <c r="AF73" i="6"/>
  <c r="AC71" i="6"/>
  <c r="AD71" i="6"/>
  <c r="AE71" i="6"/>
  <c r="AF71" i="6"/>
  <c r="AF70" i="6"/>
  <c r="AC70" i="6"/>
  <c r="AD70" i="6"/>
  <c r="AE70" i="6"/>
  <c r="AN76" i="6"/>
  <c r="AM76" i="6"/>
  <c r="AK76" i="6"/>
  <c r="AL76" i="6"/>
  <c r="AG76" i="6"/>
  <c r="AH76" i="6"/>
  <c r="AI76" i="6"/>
  <c r="AJ76" i="6"/>
  <c r="AK63" i="6"/>
  <c r="AL63" i="6"/>
  <c r="AM63" i="6"/>
  <c r="AN63" i="6"/>
  <c r="AD78" i="6"/>
  <c r="AF78" i="6"/>
  <c r="AC78" i="6"/>
  <c r="AE78" i="6"/>
  <c r="AK82" i="6"/>
  <c r="AL82" i="6"/>
  <c r="AM82" i="6"/>
  <c r="AN82" i="6"/>
  <c r="AJ71" i="6"/>
  <c r="AG71" i="6"/>
  <c r="AH71" i="6"/>
  <c r="AI71" i="6"/>
  <c r="AJ67" i="6"/>
  <c r="AG67" i="6"/>
  <c r="AI67" i="6"/>
  <c r="AH67" i="6"/>
  <c r="AD66" i="6"/>
  <c r="AF66" i="6"/>
  <c r="AC66" i="6"/>
  <c r="AE66" i="6"/>
  <c r="AJ63" i="6"/>
  <c r="AI63" i="6"/>
  <c r="AG63" i="6"/>
  <c r="AH63" i="6"/>
  <c r="AG70" i="6"/>
  <c r="AH70" i="6"/>
  <c r="AI70" i="6"/>
  <c r="AJ70" i="6"/>
  <c r="AJ81" i="6"/>
  <c r="AG81" i="6"/>
  <c r="AI81" i="6"/>
  <c r="AH81" i="6"/>
  <c r="AN68" i="6"/>
  <c r="AK68" i="6"/>
  <c r="AL68" i="6"/>
  <c r="AM68" i="6"/>
  <c r="AJ73" i="6"/>
  <c r="AI73" i="6"/>
  <c r="AG73" i="6"/>
  <c r="AH73" i="6"/>
  <c r="AG80" i="6"/>
  <c r="AH80" i="6"/>
  <c r="AI80" i="6"/>
  <c r="AJ80" i="6"/>
  <c r="AC79" i="6"/>
  <c r="AD79" i="6"/>
  <c r="AE79" i="6"/>
  <c r="AF79" i="6"/>
  <c r="AK75" i="6"/>
  <c r="AL75" i="6"/>
  <c r="AM75" i="6"/>
  <c r="AN75" i="6"/>
  <c r="AD72" i="6"/>
  <c r="AC72" i="6"/>
  <c r="AE72" i="6"/>
  <c r="AF72" i="6"/>
  <c r="AC81" i="6"/>
  <c r="AD81" i="6"/>
  <c r="AE81" i="6"/>
  <c r="AF81" i="6"/>
  <c r="AG68" i="6"/>
  <c r="AH68" i="6"/>
  <c r="AI68" i="6"/>
  <c r="AJ68" i="6"/>
  <c r="AG66" i="6"/>
  <c r="AH66" i="6"/>
  <c r="AI66" i="6"/>
  <c r="AJ66" i="6"/>
  <c r="AG62" i="6"/>
  <c r="AH62" i="6"/>
  <c r="AI62" i="6"/>
  <c r="AJ62" i="6"/>
  <c r="AN78" i="6"/>
  <c r="AK78" i="6"/>
  <c r="AL78" i="6"/>
  <c r="AM78" i="6"/>
  <c r="AJ75" i="6"/>
  <c r="AG75" i="6"/>
  <c r="AH75" i="6"/>
  <c r="AI75" i="6"/>
  <c r="AJ65" i="6"/>
  <c r="AG65" i="6"/>
  <c r="AH65" i="6"/>
  <c r="AI65" i="6"/>
  <c r="AG64" i="6"/>
  <c r="AH64" i="6"/>
  <c r="AI64" i="6"/>
  <c r="AJ64" i="6"/>
  <c r="AN66" i="6"/>
  <c r="AM66" i="6"/>
  <c r="AK66" i="6"/>
  <c r="AL66" i="6"/>
  <c r="AN64" i="6"/>
  <c r="AK64" i="6"/>
  <c r="AL64" i="6"/>
  <c r="AM64" i="6"/>
  <c r="AK69" i="6"/>
  <c r="AL69" i="6"/>
  <c r="AM69" i="6"/>
  <c r="AN69" i="6"/>
  <c r="AD62" i="6"/>
  <c r="AF62" i="6"/>
  <c r="AC62" i="6"/>
  <c r="AE62" i="6"/>
  <c r="AK67" i="6"/>
  <c r="AL67" i="6"/>
  <c r="AM67" i="6"/>
  <c r="AN67" i="6"/>
  <c r="AN74" i="6"/>
  <c r="AK74" i="6"/>
  <c r="AL74" i="6"/>
  <c r="AM74" i="6"/>
  <c r="AG74" i="6"/>
  <c r="AH74" i="6"/>
  <c r="AI74" i="6"/>
  <c r="AJ74" i="6"/>
  <c r="AH82" i="6"/>
  <c r="AI82" i="6"/>
  <c r="AJ82" i="6"/>
  <c r="AG82" i="6"/>
  <c r="AK71" i="6"/>
  <c r="AL71" i="6"/>
  <c r="AM71" i="6"/>
  <c r="AN71" i="6"/>
  <c r="AC67" i="6"/>
  <c r="AD67" i="6"/>
  <c r="AE67" i="6"/>
  <c r="AF67" i="6"/>
  <c r="AN72" i="6"/>
  <c r="AM72" i="6"/>
  <c r="AK72" i="6"/>
  <c r="AL72" i="6"/>
  <c r="AD76" i="6"/>
  <c r="AC76" i="6"/>
  <c r="AE76" i="6"/>
  <c r="AF76" i="6"/>
  <c r="AD64" i="6"/>
  <c r="AE64" i="6"/>
  <c r="AF64" i="6"/>
  <c r="AC77" i="6"/>
  <c r="AD77" i="6"/>
  <c r="AE77" i="6"/>
  <c r="AF77" i="6"/>
  <c r="AN80" i="6"/>
  <c r="AM80" i="6"/>
  <c r="AK80" i="6"/>
  <c r="AL80" i="6"/>
  <c r="AN62" i="6"/>
  <c r="AM62" i="6"/>
  <c r="AK62" i="6"/>
  <c r="AL62" i="6"/>
  <c r="AG78" i="6"/>
  <c r="AH78" i="6"/>
  <c r="AI78" i="6"/>
  <c r="AJ78" i="6"/>
  <c r="AK65" i="6"/>
  <c r="AL65" i="6"/>
  <c r="AM65" i="6"/>
  <c r="AN65" i="6"/>
  <c r="AN70" i="6"/>
  <c r="AK70" i="6"/>
  <c r="AL70" i="6"/>
  <c r="AM70" i="6"/>
  <c r="AG72" i="6"/>
  <c r="AH72" i="6"/>
  <c r="AI72" i="6"/>
  <c r="AJ72" i="6"/>
  <c r="AJ77" i="6"/>
  <c r="AI77" i="6"/>
  <c r="AG77" i="6"/>
  <c r="AH77" i="6"/>
  <c r="AK77" i="6"/>
  <c r="AL77" i="6"/>
  <c r="AM77" i="6"/>
  <c r="AN77" i="6"/>
  <c r="AC63" i="6"/>
  <c r="AD63" i="6"/>
  <c r="AE63" i="6"/>
  <c r="AF63" i="6"/>
  <c r="AD74" i="6"/>
  <c r="AF74" i="6"/>
  <c r="AC74" i="6"/>
  <c r="AE74" i="6"/>
  <c r="AF80" i="6"/>
  <c r="AC80" i="6"/>
  <c r="AD80" i="6"/>
  <c r="AE80" i="6"/>
  <c r="AJ79" i="6"/>
  <c r="AG79" i="6"/>
  <c r="AI79" i="6"/>
  <c r="AH79" i="6"/>
  <c r="AK81" i="6"/>
  <c r="AL81" i="6"/>
  <c r="AM81" i="6"/>
  <c r="AN81" i="6"/>
  <c r="AK79" i="6"/>
  <c r="AL79" i="6"/>
  <c r="AM79" i="6"/>
  <c r="AN79" i="6"/>
  <c r="AC75" i="6"/>
  <c r="AD75" i="6"/>
  <c r="AE75" i="6"/>
  <c r="AF75" i="6"/>
  <c r="AJ69" i="6"/>
  <c r="AI69" i="6"/>
  <c r="AG69" i="6"/>
  <c r="AH69" i="6"/>
  <c r="AF53" i="6"/>
  <c r="AE53" i="6"/>
  <c r="AC53" i="6"/>
  <c r="AD53" i="6"/>
  <c r="AG53" i="6"/>
  <c r="AH53" i="6"/>
  <c r="AI53" i="6"/>
  <c r="AJ53" i="6"/>
  <c r="AT97" i="6" l="1"/>
  <c r="AS40" i="6"/>
  <c r="AU93" i="6"/>
  <c r="AS51" i="6"/>
  <c r="AT98" i="6"/>
  <c r="AT91" i="6"/>
  <c r="AT51" i="6"/>
  <c r="AS91" i="6"/>
  <c r="AS36" i="6"/>
  <c r="AU95" i="6"/>
  <c r="AT94" i="6"/>
  <c r="AS104" i="6"/>
  <c r="AP103" i="6"/>
  <c r="AS101" i="6"/>
  <c r="AU101" i="6"/>
  <c r="AT93" i="6"/>
  <c r="AT100" i="6"/>
  <c r="AU103" i="6"/>
  <c r="AT105" i="6"/>
  <c r="AT101" i="6"/>
  <c r="AS110" i="6"/>
  <c r="AS94" i="6"/>
  <c r="AP33" i="6"/>
  <c r="AQ46" i="6"/>
  <c r="AS100" i="6"/>
  <c r="AQ103" i="6"/>
  <c r="AT108" i="6"/>
  <c r="AT106" i="6"/>
  <c r="AU50" i="6"/>
  <c r="AT47" i="6"/>
  <c r="AE65" i="6"/>
  <c r="AP94" i="6"/>
  <c r="AU98" i="6"/>
  <c r="AR103" i="6"/>
  <c r="AU105" i="6"/>
  <c r="AS108" i="6"/>
  <c r="AT111" i="6"/>
  <c r="AU99" i="6"/>
  <c r="AU97" i="6"/>
  <c r="AT102" i="6"/>
  <c r="AT96" i="6"/>
  <c r="AT34" i="6"/>
  <c r="AC65" i="6"/>
  <c r="AS38" i="6"/>
  <c r="AT103" i="6"/>
  <c r="AS93" i="6"/>
  <c r="AP93" i="6"/>
  <c r="AS96" i="6"/>
  <c r="AU104" i="6"/>
  <c r="AS103" i="6"/>
  <c r="AD65" i="6"/>
  <c r="AT65" i="6" s="1"/>
  <c r="Z340" i="4" s="1"/>
  <c r="AA340" i="4" s="1"/>
  <c r="AU91" i="6"/>
  <c r="AU40" i="6"/>
  <c r="AT49" i="6"/>
  <c r="AS102" i="6"/>
  <c r="AU110" i="6"/>
  <c r="AP40" i="6"/>
  <c r="AU94" i="6"/>
  <c r="AS98" i="6"/>
  <c r="AS95" i="6"/>
  <c r="AQ33" i="6"/>
  <c r="AS33" i="6"/>
  <c r="AS99" i="6"/>
  <c r="AU45" i="6"/>
  <c r="AU100" i="6"/>
  <c r="AT38" i="6"/>
  <c r="AS97" i="6"/>
  <c r="AT99" i="6"/>
  <c r="AS47" i="6"/>
  <c r="AT39" i="6"/>
  <c r="AS46" i="6"/>
  <c r="AS105" i="6"/>
  <c r="AT33" i="6"/>
  <c r="AU42" i="6"/>
  <c r="AU96" i="6"/>
  <c r="AS42" i="6"/>
  <c r="AS106" i="6"/>
  <c r="AU108" i="6"/>
  <c r="AT45" i="6"/>
  <c r="AU102" i="6"/>
  <c r="AU38" i="6"/>
  <c r="AT92" i="6"/>
  <c r="AS45" i="6"/>
  <c r="AT50" i="6"/>
  <c r="AT110" i="6"/>
  <c r="AS43" i="6"/>
  <c r="AT95" i="6"/>
  <c r="AR91" i="6"/>
  <c r="AR46" i="6"/>
  <c r="AU47" i="6"/>
  <c r="AU111" i="6"/>
  <c r="AU48" i="6"/>
  <c r="AS34" i="6"/>
  <c r="AS50" i="6"/>
  <c r="AP48" i="6"/>
  <c r="AQ44" i="6"/>
  <c r="AP111" i="6"/>
  <c r="AU49" i="6"/>
  <c r="AS49" i="6"/>
  <c r="AS92" i="6"/>
  <c r="AT42" i="6"/>
  <c r="AS52" i="6"/>
  <c r="AS53" i="6"/>
  <c r="AT73" i="6"/>
  <c r="Z348" i="4" s="1"/>
  <c r="AA348" i="4" s="1"/>
  <c r="AT52" i="6"/>
  <c r="AR48" i="6"/>
  <c r="AS75" i="6"/>
  <c r="N350" i="4" s="1"/>
  <c r="O350" i="4" s="1"/>
  <c r="AU81" i="6"/>
  <c r="AS63" i="6"/>
  <c r="N338" i="4" s="1"/>
  <c r="AS82" i="6"/>
  <c r="N357" i="4" s="1"/>
  <c r="O357" i="4" s="1"/>
  <c r="AU73" i="6"/>
  <c r="AD348" i="4" s="1"/>
  <c r="AE348" i="4" s="1"/>
  <c r="AS111" i="6"/>
  <c r="AT41" i="6"/>
  <c r="AT46" i="6"/>
  <c r="AS48" i="6"/>
  <c r="AU71" i="6"/>
  <c r="AD346" i="4" s="1"/>
  <c r="AE346" i="4" s="1"/>
  <c r="AS76" i="6"/>
  <c r="N351" i="4" s="1"/>
  <c r="O351" i="4" s="1"/>
  <c r="AS72" i="6"/>
  <c r="N347" i="4" s="1"/>
  <c r="O347" i="4" s="1"/>
  <c r="AS79" i="6"/>
  <c r="N354" i="4" s="1"/>
  <c r="O354" i="4" s="1"/>
  <c r="AT63" i="6"/>
  <c r="Z338" i="4" s="1"/>
  <c r="AS37" i="6"/>
  <c r="AU52" i="6"/>
  <c r="AT48" i="6"/>
  <c r="AU92" i="6"/>
  <c r="AT77" i="6"/>
  <c r="Z352" i="4" s="1"/>
  <c r="AA352" i="4" s="1"/>
  <c r="AU37" i="6"/>
  <c r="AQ48" i="6"/>
  <c r="AU44" i="6"/>
  <c r="AT79" i="6"/>
  <c r="Z354" i="4" s="1"/>
  <c r="AA354" i="4" s="1"/>
  <c r="AS39" i="6"/>
  <c r="AS67" i="6"/>
  <c r="N342" i="4" s="1"/>
  <c r="O342" i="4" s="1"/>
  <c r="AT67" i="6"/>
  <c r="Z342" i="4" s="1"/>
  <c r="AA342" i="4" s="1"/>
  <c r="AU64" i="6"/>
  <c r="AU39" i="6"/>
  <c r="AU82" i="6"/>
  <c r="AD357" i="4" s="1"/>
  <c r="AE357" i="4" s="1"/>
  <c r="AU63" i="6"/>
  <c r="AS71" i="6"/>
  <c r="N346" i="4" s="1"/>
  <c r="O346" i="4" s="1"/>
  <c r="AS68" i="6"/>
  <c r="N343" i="4" s="1"/>
  <c r="O343" i="4" s="1"/>
  <c r="AS41" i="6"/>
  <c r="AS44" i="6"/>
  <c r="AT44" i="6"/>
  <c r="AT53" i="6"/>
  <c r="AT70" i="6"/>
  <c r="Z345" i="4" s="1"/>
  <c r="AA345" i="4" s="1"/>
  <c r="AT74" i="6"/>
  <c r="Z349" i="4" s="1"/>
  <c r="AA349" i="4" s="1"/>
  <c r="AT64" i="6"/>
  <c r="Z339" i="4" s="1"/>
  <c r="AA339" i="4" s="1"/>
  <c r="AU76" i="6"/>
  <c r="AD351" i="4" s="1"/>
  <c r="AE351" i="4" s="1"/>
  <c r="AU53" i="6"/>
  <c r="AS74" i="6"/>
  <c r="N349" i="4" s="1"/>
  <c r="O349" i="4" s="1"/>
  <c r="AT71" i="6"/>
  <c r="Z346" i="4" s="1"/>
  <c r="AA346" i="4" s="1"/>
  <c r="AT69" i="6"/>
  <c r="Z344" i="4" s="1"/>
  <c r="AA344" i="4" s="1"/>
  <c r="AU78" i="6"/>
  <c r="AD353" i="4" s="1"/>
  <c r="AE353" i="4" s="1"/>
  <c r="AT75" i="6"/>
  <c r="Z350" i="4" s="1"/>
  <c r="AA350" i="4" s="1"/>
  <c r="AU68" i="6"/>
  <c r="AS66" i="6"/>
  <c r="N341" i="4" s="1"/>
  <c r="O341" i="4" s="1"/>
  <c r="AT76" i="6"/>
  <c r="Z351" i="4" s="1"/>
  <c r="AA351" i="4" s="1"/>
  <c r="AU41" i="6"/>
  <c r="AU33" i="6"/>
  <c r="AU79" i="6"/>
  <c r="AD354" i="4" s="1"/>
  <c r="AE354" i="4" s="1"/>
  <c r="AP62" i="6"/>
  <c r="AS64" i="6"/>
  <c r="N339" i="4" s="1"/>
  <c r="O339" i="4" s="1"/>
  <c r="AU67" i="6"/>
  <c r="AD342" i="4" s="1"/>
  <c r="AE342" i="4" s="1"/>
  <c r="AS70" i="6"/>
  <c r="N345" i="4" s="1"/>
  <c r="O345" i="4" s="1"/>
  <c r="AS69" i="6"/>
  <c r="N344" i="4" s="1"/>
  <c r="O344" i="4" s="1"/>
  <c r="AU62" i="6"/>
  <c r="AU80" i="6"/>
  <c r="AU72" i="6"/>
  <c r="AD347" i="4" s="1"/>
  <c r="AE347" i="4" s="1"/>
  <c r="AU66" i="6"/>
  <c r="AD341" i="4" s="1"/>
  <c r="AE341" i="4" s="1"/>
  <c r="AS73" i="6"/>
  <c r="N348" i="4" s="1"/>
  <c r="O348" i="4" s="1"/>
  <c r="AS35" i="6"/>
  <c r="AU35" i="6"/>
  <c r="AU51" i="6"/>
  <c r="AT82" i="6"/>
  <c r="Z357" i="4" s="1"/>
  <c r="AA357" i="4" s="1"/>
  <c r="AU69" i="6"/>
  <c r="AU75" i="6"/>
  <c r="AD350" i="4" s="1"/>
  <c r="AE350" i="4" s="1"/>
  <c r="AT62" i="6"/>
  <c r="AT80" i="6"/>
  <c r="Z355" i="4" s="1"/>
  <c r="AA355" i="4" s="1"/>
  <c r="AT72" i="6"/>
  <c r="Z347" i="4" s="1"/>
  <c r="AA347" i="4" s="1"/>
  <c r="AT66" i="6"/>
  <c r="Z341" i="4" s="1"/>
  <c r="AA341" i="4" s="1"/>
  <c r="AT78" i="6"/>
  <c r="Z353" i="4" s="1"/>
  <c r="AA353" i="4" s="1"/>
  <c r="AT68" i="6"/>
  <c r="Z343" i="4" s="1"/>
  <c r="AA343" i="4" s="1"/>
  <c r="AT35" i="6"/>
  <c r="AS77" i="6"/>
  <c r="N352" i="4" s="1"/>
  <c r="O352" i="4" s="1"/>
  <c r="AU77" i="6"/>
  <c r="AD352" i="4" s="1"/>
  <c r="AE352" i="4" s="1"/>
  <c r="AS81" i="6"/>
  <c r="N356" i="4" s="1"/>
  <c r="O356" i="4" s="1"/>
  <c r="AS78" i="6"/>
  <c r="N353" i="4" s="1"/>
  <c r="O353" i="4" s="1"/>
  <c r="AT81" i="6"/>
  <c r="Z356" i="4" s="1"/>
  <c r="AA356" i="4" s="1"/>
  <c r="AS80" i="6"/>
  <c r="N355" i="4" s="1"/>
  <c r="O355" i="4" s="1"/>
  <c r="AU70" i="6"/>
  <c r="AD345" i="4" s="1"/>
  <c r="AE345" i="4" s="1"/>
  <c r="AU74" i="6"/>
  <c r="AD349" i="4" s="1"/>
  <c r="AE349" i="4" s="1"/>
  <c r="AS62" i="6"/>
  <c r="AT37" i="6"/>
  <c r="AQ94" i="6"/>
  <c r="AQ93" i="6"/>
  <c r="AP102" i="6"/>
  <c r="AR94" i="6"/>
  <c r="AP99" i="6"/>
  <c r="AP105" i="6"/>
  <c r="AQ101" i="6"/>
  <c r="AP101" i="6"/>
  <c r="AP96" i="6"/>
  <c r="AQ111" i="6"/>
  <c r="AP106" i="6"/>
  <c r="AR106" i="6"/>
  <c r="AR102" i="6"/>
  <c r="AR99" i="6"/>
  <c r="AQ106" i="6"/>
  <c r="AP91" i="6"/>
  <c r="AQ99" i="6"/>
  <c r="AQ96" i="6"/>
  <c r="AP104" i="6"/>
  <c r="AQ104" i="6"/>
  <c r="AR111" i="6"/>
  <c r="AR96" i="6"/>
  <c r="AQ98" i="6"/>
  <c r="AR104" i="6"/>
  <c r="AR93" i="6"/>
  <c r="AQ91" i="6"/>
  <c r="AP53" i="6"/>
  <c r="AP97" i="6"/>
  <c r="AQ92" i="6"/>
  <c r="AQ69" i="6"/>
  <c r="V344" i="4" s="1"/>
  <c r="W344" i="4" s="1"/>
  <c r="AQ68" i="6"/>
  <c r="V343" i="4" s="1"/>
  <c r="W343" i="4" s="1"/>
  <c r="AQ72" i="6"/>
  <c r="V347" i="4" s="1"/>
  <c r="W347" i="4" s="1"/>
  <c r="AQ79" i="6"/>
  <c r="V354" i="4" s="1"/>
  <c r="W354" i="4" s="1"/>
  <c r="AP69" i="6"/>
  <c r="R344" i="4" s="1"/>
  <c r="S344" i="4" s="1"/>
  <c r="AR69" i="6"/>
  <c r="J344" i="4" s="1"/>
  <c r="K344" i="4" s="1"/>
  <c r="AP44" i="6"/>
  <c r="AQ51" i="6"/>
  <c r="AQ38" i="6"/>
  <c r="AP46" i="6"/>
  <c r="AR51" i="6"/>
  <c r="AR44" i="6"/>
  <c r="AR38" i="6"/>
  <c r="AR43" i="6"/>
  <c r="AQ40" i="6"/>
  <c r="AP36" i="6"/>
  <c r="AQ100" i="6"/>
  <c r="AP75" i="6"/>
  <c r="R350" i="4" s="1"/>
  <c r="S350" i="4" s="1"/>
  <c r="AQ62" i="6"/>
  <c r="AQ36" i="6"/>
  <c r="AR33" i="6"/>
  <c r="AP41" i="6"/>
  <c r="AR110" i="6"/>
  <c r="AR78" i="6"/>
  <c r="J353" i="4" s="1"/>
  <c r="K353" i="4" s="1"/>
  <c r="AQ97" i="6"/>
  <c r="AR40" i="6"/>
  <c r="AR62" i="6"/>
  <c r="AR68" i="6"/>
  <c r="J343" i="4" s="1"/>
  <c r="K343" i="4" s="1"/>
  <c r="AQ80" i="6"/>
  <c r="V355" i="4" s="1"/>
  <c r="W355" i="4" s="1"/>
  <c r="AR36" i="6"/>
  <c r="AP51" i="6"/>
  <c r="AR92" i="6"/>
  <c r="AP80" i="6"/>
  <c r="R355" i="4" s="1"/>
  <c r="S355" i="4" s="1"/>
  <c r="AR42" i="6"/>
  <c r="AQ34" i="6"/>
  <c r="AR101" i="6"/>
  <c r="AQ43" i="6"/>
  <c r="AQ105" i="6"/>
  <c r="AR53" i="6"/>
  <c r="AP42" i="6"/>
  <c r="AP78" i="6"/>
  <c r="R353" i="4" s="1"/>
  <c r="S353" i="4" s="1"/>
  <c r="AP82" i="6"/>
  <c r="R357" i="4" s="1"/>
  <c r="S357" i="4" s="1"/>
  <c r="AQ78" i="6"/>
  <c r="V353" i="4" s="1"/>
  <c r="W353" i="4" s="1"/>
  <c r="AR97" i="6"/>
  <c r="AP98" i="6"/>
  <c r="AP109" i="6"/>
  <c r="AR105" i="6"/>
  <c r="AP63" i="6"/>
  <c r="R338" i="4" s="1"/>
  <c r="AP76" i="6"/>
  <c r="R351" i="4" s="1"/>
  <c r="S351" i="4" s="1"/>
  <c r="AP95" i="6"/>
  <c r="AP92" i="6"/>
  <c r="AQ45" i="6"/>
  <c r="AR98" i="6"/>
  <c r="AQ42" i="6"/>
  <c r="AR75" i="6"/>
  <c r="J350" i="4" s="1"/>
  <c r="K350" i="4" s="1"/>
  <c r="AQ70" i="6"/>
  <c r="V345" i="4" s="1"/>
  <c r="W345" i="4" s="1"/>
  <c r="AP68" i="6"/>
  <c r="R343" i="4" s="1"/>
  <c r="S343" i="4" s="1"/>
  <c r="AQ107" i="6"/>
  <c r="AQ53" i="6"/>
  <c r="AR50" i="6"/>
  <c r="AR34" i="6"/>
  <c r="AP73" i="6"/>
  <c r="R348" i="4" s="1"/>
  <c r="S348" i="4" s="1"/>
  <c r="AQ108" i="6"/>
  <c r="AQ41" i="6"/>
  <c r="AQ73" i="6"/>
  <c r="V348" i="4" s="1"/>
  <c r="W348" i="4" s="1"/>
  <c r="AP100" i="6"/>
  <c r="AP66" i="6"/>
  <c r="R341" i="4" s="1"/>
  <c r="S341" i="4" s="1"/>
  <c r="AQ35" i="6"/>
  <c r="AR41" i="6"/>
  <c r="AQ109" i="6"/>
  <c r="AP110" i="6"/>
  <c r="AQ67" i="6"/>
  <c r="V342" i="4" s="1"/>
  <c r="W342" i="4" s="1"/>
  <c r="AP81" i="6"/>
  <c r="R356" i="4" s="1"/>
  <c r="S356" i="4" s="1"/>
  <c r="AR74" i="6"/>
  <c r="J349" i="4" s="1"/>
  <c r="K349" i="4" s="1"/>
  <c r="AR45" i="6"/>
  <c r="AP38" i="6"/>
  <c r="AR109" i="6"/>
  <c r="AR100" i="6"/>
  <c r="AQ77" i="6"/>
  <c r="V352" i="4" s="1"/>
  <c r="W352" i="4" s="1"/>
  <c r="AR80" i="6"/>
  <c r="J355" i="4" s="1"/>
  <c r="K355" i="4" s="1"/>
  <c r="AQ49" i="6"/>
  <c r="AP50" i="6"/>
  <c r="AP34" i="6"/>
  <c r="AQ75" i="6"/>
  <c r="V350" i="4" s="1"/>
  <c r="W350" i="4" s="1"/>
  <c r="AQ64" i="6"/>
  <c r="V339" i="4" s="1"/>
  <c r="W339" i="4" s="1"/>
  <c r="AP39" i="6"/>
  <c r="AP67" i="6"/>
  <c r="R342" i="4" s="1"/>
  <c r="S342" i="4" s="1"/>
  <c r="AR71" i="6"/>
  <c r="J346" i="4" s="1"/>
  <c r="K346" i="4" s="1"/>
  <c r="AP64" i="6"/>
  <c r="R339" i="4" s="1"/>
  <c r="S339" i="4" s="1"/>
  <c r="AP72" i="6"/>
  <c r="R347" i="4" s="1"/>
  <c r="S347" i="4" s="1"/>
  <c r="AP107" i="6"/>
  <c r="AP77" i="6"/>
  <c r="R352" i="4" s="1"/>
  <c r="S352" i="4" s="1"/>
  <c r="AP79" i="6"/>
  <c r="R354" i="4" s="1"/>
  <c r="S354" i="4" s="1"/>
  <c r="AQ39" i="6"/>
  <c r="AP37" i="6"/>
  <c r="AQ81" i="6"/>
  <c r="V356" i="4" s="1"/>
  <c r="W356" i="4" s="1"/>
  <c r="AQ74" i="6"/>
  <c r="V349" i="4" s="1"/>
  <c r="W349" i="4" s="1"/>
  <c r="AP35" i="6"/>
  <c r="AQ50" i="6"/>
  <c r="AR52" i="6"/>
  <c r="AR70" i="6"/>
  <c r="J345" i="4" s="1"/>
  <c r="K345" i="4" s="1"/>
  <c r="AR72" i="6"/>
  <c r="J347" i="4" s="1"/>
  <c r="K347" i="4" s="1"/>
  <c r="AR107" i="6"/>
  <c r="AR77" i="6"/>
  <c r="J352" i="4" s="1"/>
  <c r="K352" i="4" s="1"/>
  <c r="AR82" i="6"/>
  <c r="J357" i="4" s="1"/>
  <c r="K357" i="4" s="1"/>
  <c r="AR79" i="6"/>
  <c r="J354" i="4" s="1"/>
  <c r="K354" i="4" s="1"/>
  <c r="AQ37" i="6"/>
  <c r="AR81" i="6"/>
  <c r="J356" i="4" s="1"/>
  <c r="K356" i="4" s="1"/>
  <c r="AP52" i="6"/>
  <c r="AP70" i="6"/>
  <c r="R345" i="4" s="1"/>
  <c r="S345" i="4" s="1"/>
  <c r="AP47" i="6"/>
  <c r="AQ66" i="6"/>
  <c r="V341" i="4" s="1"/>
  <c r="W341" i="4" s="1"/>
  <c r="AR35" i="6"/>
  <c r="AR39" i="6"/>
  <c r="AP108" i="6"/>
  <c r="AR37" i="6"/>
  <c r="AQ71" i="6"/>
  <c r="V346" i="4" s="1"/>
  <c r="W346" i="4" s="1"/>
  <c r="AR73" i="6"/>
  <c r="J348" i="4" s="1"/>
  <c r="K348" i="4" s="1"/>
  <c r="AQ52" i="6"/>
  <c r="AP43" i="6"/>
  <c r="AQ110" i="6"/>
  <c r="AQ63" i="6"/>
  <c r="V338" i="4" s="1"/>
  <c r="AQ76" i="6"/>
  <c r="V351" i="4" s="1"/>
  <c r="W351" i="4" s="1"/>
  <c r="AQ95" i="6"/>
  <c r="AR49" i="6"/>
  <c r="AP45" i="6"/>
  <c r="AQ82" i="6"/>
  <c r="V357" i="4" s="1"/>
  <c r="W357" i="4" s="1"/>
  <c r="AR47" i="6"/>
  <c r="AR66" i="6"/>
  <c r="J341" i="4" s="1"/>
  <c r="K341" i="4" s="1"/>
  <c r="AP49" i="6"/>
  <c r="AR67" i="6"/>
  <c r="J342" i="4" s="1"/>
  <c r="K342" i="4" s="1"/>
  <c r="AR108" i="6"/>
  <c r="AP74" i="6"/>
  <c r="R349" i="4" s="1"/>
  <c r="S349" i="4" s="1"/>
  <c r="AP71" i="6"/>
  <c r="R346" i="4" s="1"/>
  <c r="S346" i="4" s="1"/>
  <c r="AR64" i="6"/>
  <c r="J339" i="4" s="1"/>
  <c r="K339" i="4" s="1"/>
  <c r="AQ47" i="6"/>
  <c r="AR63" i="6"/>
  <c r="J338" i="4" s="1"/>
  <c r="AR76" i="6"/>
  <c r="J351" i="4" s="1"/>
  <c r="K351" i="4" s="1"/>
  <c r="AR95" i="6"/>
  <c r="AP65" i="6" l="1"/>
  <c r="R340" i="4" s="1"/>
  <c r="S340" i="4" s="1"/>
  <c r="AR65" i="6"/>
  <c r="J340" i="4" s="1"/>
  <c r="K340" i="4" s="1"/>
  <c r="AQ65" i="6"/>
  <c r="V340" i="4" s="1"/>
  <c r="W340" i="4" s="1"/>
  <c r="AU65" i="6"/>
  <c r="AD340" i="4" s="1"/>
  <c r="AF344" i="4" s="1"/>
  <c r="AS65" i="6"/>
  <c r="N340" i="4" s="1"/>
  <c r="O340" i="4" s="1"/>
  <c r="AB344" i="4"/>
  <c r="AB352" i="4"/>
  <c r="AB349" i="4"/>
  <c r="AB342" i="4"/>
  <c r="AB337" i="4"/>
  <c r="AB345" i="4"/>
  <c r="AB353" i="4"/>
  <c r="AB357" i="4"/>
  <c r="AB338" i="4"/>
  <c r="AB346" i="4"/>
  <c r="AB354" i="4"/>
  <c r="AB341" i="4"/>
  <c r="AB350" i="4"/>
  <c r="AB351" i="4"/>
  <c r="AB339" i="4"/>
  <c r="AB347" i="4"/>
  <c r="AB355" i="4"/>
  <c r="AB358" i="4"/>
  <c r="AB343" i="4"/>
  <c r="AB340" i="4"/>
  <c r="AB348" i="4"/>
  <c r="AB356" i="4"/>
  <c r="W338" i="4"/>
  <c r="AF340" i="4"/>
  <c r="AF353" i="4"/>
  <c r="AF338" i="4"/>
  <c r="AF348" i="4"/>
  <c r="O338" i="4"/>
  <c r="AA338" i="4"/>
  <c r="K338" i="4"/>
  <c r="S338" i="4"/>
  <c r="AE340" i="4" l="1"/>
  <c r="AF341" i="4"/>
  <c r="AF339" i="4"/>
  <c r="X350" i="4"/>
  <c r="X344" i="4"/>
  <c r="X351" i="4"/>
  <c r="X337" i="4"/>
  <c r="AF357" i="4"/>
  <c r="AF356" i="4"/>
  <c r="AF347" i="4"/>
  <c r="AF351" i="4"/>
  <c r="X342" i="4"/>
  <c r="X353" i="4"/>
  <c r="X349" i="4"/>
  <c r="X355" i="4"/>
  <c r="X339" i="4"/>
  <c r="L351" i="4"/>
  <c r="L358" i="4"/>
  <c r="X343" i="4"/>
  <c r="X340" i="4"/>
  <c r="X338" i="4"/>
  <c r="P345" i="4"/>
  <c r="P337" i="4"/>
  <c r="X358" i="4"/>
  <c r="X347" i="4"/>
  <c r="X357" i="4"/>
  <c r="P356" i="4"/>
  <c r="X341" i="4"/>
  <c r="X352" i="4"/>
  <c r="X345" i="4"/>
  <c r="X356" i="4"/>
  <c r="X354" i="4"/>
  <c r="X348" i="4"/>
  <c r="X346" i="4"/>
  <c r="L345" i="4"/>
  <c r="L348" i="4"/>
  <c r="L347" i="4"/>
  <c r="L341" i="4"/>
  <c r="L355" i="4"/>
  <c r="L354" i="4"/>
  <c r="P354" i="4"/>
  <c r="L337" i="4"/>
  <c r="L356" i="4"/>
  <c r="L350" i="4"/>
  <c r="L339" i="4"/>
  <c r="L344" i="4"/>
  <c r="L342" i="4"/>
  <c r="L343" i="4"/>
  <c r="L349" i="4"/>
  <c r="L338" i="4"/>
  <c r="L357" i="4"/>
  <c r="L352" i="4"/>
  <c r="L353" i="4"/>
  <c r="L346" i="4"/>
  <c r="L340" i="4"/>
  <c r="P355" i="4"/>
  <c r="P346" i="4"/>
  <c r="P357" i="4"/>
  <c r="P347" i="4"/>
  <c r="T355" i="4"/>
  <c r="AF342" i="4"/>
  <c r="AF345" i="4"/>
  <c r="AF343" i="4"/>
  <c r="T338" i="4"/>
  <c r="T358" i="4"/>
  <c r="T347" i="4"/>
  <c r="T353" i="4"/>
  <c r="T343" i="4"/>
  <c r="T352" i="4"/>
  <c r="AF358" i="4"/>
  <c r="AF337" i="4"/>
  <c r="T337" i="4"/>
  <c r="T349" i="4"/>
  <c r="T339" i="4"/>
  <c r="T346" i="4"/>
  <c r="AF350" i="4"/>
  <c r="T344" i="4"/>
  <c r="T341" i="4"/>
  <c r="T351" i="4"/>
  <c r="T357" i="4"/>
  <c r="T356" i="4"/>
  <c r="AF349" i="4"/>
  <c r="AF354" i="4"/>
  <c r="AF352" i="4"/>
  <c r="T354" i="4"/>
  <c r="T350" i="4"/>
  <c r="T348" i="4"/>
  <c r="AF355" i="4"/>
  <c r="AF346" i="4"/>
  <c r="T345" i="4"/>
  <c r="T342" i="4"/>
  <c r="T340" i="4"/>
  <c r="P348" i="4"/>
  <c r="P351" i="4"/>
  <c r="P358" i="4"/>
  <c r="P340" i="4"/>
  <c r="P343" i="4"/>
  <c r="P349" i="4"/>
  <c r="P339" i="4"/>
  <c r="P341" i="4"/>
  <c r="P352" i="4"/>
  <c r="P350" i="4"/>
  <c r="P338" i="4"/>
  <c r="P344" i="4"/>
  <c r="P342" i="4"/>
  <c r="P353" i="4"/>
  <c r="Y83" i="5"/>
  <c r="V83" i="5"/>
  <c r="U83" i="5"/>
  <c r="AA83" i="5"/>
  <c r="Z83" i="5"/>
  <c r="W83" i="5"/>
  <c r="AA82" i="5"/>
  <c r="Z82" i="5"/>
  <c r="Y82" i="5"/>
  <c r="W82" i="5"/>
  <c r="V82" i="5"/>
  <c r="U82" i="5"/>
  <c r="W81" i="5"/>
  <c r="V81" i="5"/>
  <c r="U81" i="5"/>
  <c r="W80" i="5"/>
  <c r="V80" i="5"/>
  <c r="U80" i="5"/>
  <c r="W79" i="5"/>
  <c r="V79" i="5"/>
  <c r="U79" i="5"/>
  <c r="AA78" i="5"/>
  <c r="Z78" i="5"/>
  <c r="Y78" i="5"/>
  <c r="W78" i="5"/>
  <c r="V78" i="5"/>
  <c r="U78" i="5"/>
  <c r="W77" i="5"/>
  <c r="V77" i="5"/>
  <c r="U77" i="5"/>
  <c r="AA76" i="5"/>
  <c r="Z76" i="5"/>
  <c r="Y76" i="5"/>
  <c r="W76" i="5"/>
  <c r="V76" i="5"/>
  <c r="U76" i="5"/>
  <c r="AA75" i="5"/>
  <c r="Z75" i="5"/>
  <c r="Y75" i="5"/>
  <c r="W75" i="5"/>
  <c r="V75" i="5"/>
  <c r="U75" i="5"/>
  <c r="AA74" i="5"/>
  <c r="Z74" i="5"/>
  <c r="Y74" i="5"/>
  <c r="W74" i="5"/>
  <c r="V74" i="5"/>
  <c r="U74" i="5"/>
  <c r="AA73" i="5"/>
  <c r="Z73" i="5"/>
  <c r="Y73" i="5"/>
  <c r="W73" i="5"/>
  <c r="V73" i="5"/>
  <c r="U73" i="5"/>
  <c r="AA72" i="5"/>
  <c r="Z72" i="5"/>
  <c r="Y72" i="5"/>
  <c r="W72" i="5"/>
  <c r="V72" i="5"/>
  <c r="U72" i="5"/>
  <c r="AA71" i="5"/>
  <c r="Z71" i="5"/>
  <c r="Y71" i="5"/>
  <c r="W71" i="5"/>
  <c r="V71" i="5"/>
  <c r="U71" i="5"/>
  <c r="AA70" i="5"/>
  <c r="Z70" i="5"/>
  <c r="Y70" i="5"/>
  <c r="W70" i="5"/>
  <c r="V70" i="5"/>
  <c r="U70" i="5"/>
  <c r="W69" i="5"/>
  <c r="V69" i="5"/>
  <c r="U69" i="5"/>
  <c r="AA68" i="5"/>
  <c r="Z68" i="5"/>
  <c r="W68" i="5"/>
  <c r="V68" i="5"/>
  <c r="U68" i="5"/>
  <c r="V67" i="5"/>
  <c r="AA66" i="5"/>
  <c r="Z66" i="5"/>
  <c r="Y66" i="5"/>
  <c r="AC66" i="5" s="1"/>
  <c r="W66" i="5"/>
  <c r="V66" i="5"/>
  <c r="AA65" i="5"/>
  <c r="Z65" i="5"/>
  <c r="Y65" i="5"/>
  <c r="W65" i="5"/>
  <c r="V65" i="5"/>
  <c r="U65" i="5"/>
  <c r="AA64" i="5"/>
  <c r="Z64" i="5"/>
  <c r="Y64" i="5"/>
  <c r="W64" i="5"/>
  <c r="V64" i="5"/>
  <c r="U64" i="5"/>
  <c r="AA63" i="5"/>
  <c r="Z63" i="5"/>
  <c r="Y63" i="5"/>
  <c r="W63" i="5"/>
  <c r="V63" i="5"/>
  <c r="U63" i="5"/>
  <c r="Y25" i="5"/>
  <c r="Z25" i="5" s="1"/>
  <c r="U34" i="5"/>
  <c r="V34" i="5"/>
  <c r="W34" i="5"/>
  <c r="U35" i="5"/>
  <c r="V35" i="5"/>
  <c r="W35" i="5"/>
  <c r="U36" i="5"/>
  <c r="V36" i="5"/>
  <c r="W36" i="5"/>
  <c r="U37" i="5"/>
  <c r="V37" i="5"/>
  <c r="W37" i="5"/>
  <c r="U38" i="5"/>
  <c r="V38" i="5"/>
  <c r="W38" i="5"/>
  <c r="V39" i="5"/>
  <c r="W39" i="5"/>
  <c r="U40" i="5"/>
  <c r="V40" i="5"/>
  <c r="W40" i="5"/>
  <c r="U41" i="5"/>
  <c r="V41" i="5"/>
  <c r="W41" i="5"/>
  <c r="U42" i="5"/>
  <c r="V42" i="5"/>
  <c r="W42" i="5"/>
  <c r="U43" i="5"/>
  <c r="V43" i="5"/>
  <c r="W43" i="5"/>
  <c r="U44" i="5"/>
  <c r="V44" i="5"/>
  <c r="W44" i="5"/>
  <c r="U45" i="5"/>
  <c r="V45" i="5"/>
  <c r="W45" i="5"/>
  <c r="U46" i="5"/>
  <c r="V46" i="5"/>
  <c r="W46" i="5"/>
  <c r="U47" i="5"/>
  <c r="V47" i="5"/>
  <c r="W47" i="5"/>
  <c r="U48" i="5"/>
  <c r="V48" i="5"/>
  <c r="W48" i="5"/>
  <c r="U49" i="5"/>
  <c r="V49" i="5"/>
  <c r="W49" i="5"/>
  <c r="U50" i="5"/>
  <c r="V50" i="5"/>
  <c r="W50" i="5"/>
  <c r="U51" i="5"/>
  <c r="V51" i="5"/>
  <c r="W51" i="5"/>
  <c r="U52" i="5"/>
  <c r="V52" i="5"/>
  <c r="W52" i="5"/>
  <c r="U53" i="5"/>
  <c r="V53" i="5"/>
  <c r="W53" i="5"/>
  <c r="W54" i="5"/>
  <c r="V54" i="5"/>
  <c r="U54" i="5"/>
  <c r="Y6" i="5"/>
  <c r="Z6" i="5" s="1"/>
  <c r="Y7" i="5"/>
  <c r="Z7" i="5" s="1"/>
  <c r="Y8" i="5"/>
  <c r="Z8" i="5" s="1"/>
  <c r="Y9" i="5"/>
  <c r="Z9" i="5" s="1"/>
  <c r="Y10" i="5"/>
  <c r="Z10" i="5" s="1"/>
  <c r="Y11" i="5"/>
  <c r="Z11" i="5" s="1"/>
  <c r="Y12" i="5"/>
  <c r="Z12" i="5" s="1"/>
  <c r="Y13" i="5"/>
  <c r="Z13" i="5" s="1"/>
  <c r="Y14" i="5"/>
  <c r="Z14" i="5" s="1"/>
  <c r="Y15" i="5"/>
  <c r="Z15" i="5" s="1"/>
  <c r="Y16" i="5"/>
  <c r="Z16" i="5" s="1"/>
  <c r="Y17" i="5"/>
  <c r="Z17" i="5" s="1"/>
  <c r="Y18" i="5"/>
  <c r="Z18" i="5" s="1"/>
  <c r="Y19" i="5"/>
  <c r="Z19" i="5" s="1"/>
  <c r="Y20" i="5"/>
  <c r="Z20" i="5" s="1"/>
  <c r="Y22" i="5"/>
  <c r="Z22" i="5" s="1"/>
  <c r="Y23" i="5"/>
  <c r="Z23" i="5" s="1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V7" i="5" s="1"/>
  <c r="U6" i="5"/>
  <c r="AC34" i="5" l="1"/>
  <c r="AG34" i="5" s="1"/>
  <c r="AC63" i="5"/>
  <c r="AI63" i="5" s="1"/>
  <c r="AE64" i="5"/>
  <c r="AP64" i="5" s="1"/>
  <c r="AC82" i="5"/>
  <c r="AH82" i="5" s="1"/>
  <c r="AD76" i="5"/>
  <c r="AN76" i="5" s="1"/>
  <c r="AC78" i="5"/>
  <c r="AI78" i="5" s="1"/>
  <c r="AC83" i="5"/>
  <c r="AJ83" i="5" s="1"/>
  <c r="AE63" i="5"/>
  <c r="AO63" i="5" s="1"/>
  <c r="AC71" i="5"/>
  <c r="AG71" i="5" s="1"/>
  <c r="AE72" i="5"/>
  <c r="AP72" i="5" s="1"/>
  <c r="AC75" i="5"/>
  <c r="AJ75" i="5" s="1"/>
  <c r="AE76" i="5"/>
  <c r="AO76" i="5" s="1"/>
  <c r="AE34" i="5"/>
  <c r="AO34" i="5" s="1"/>
  <c r="AD71" i="5"/>
  <c r="AK71" i="5" s="1"/>
  <c r="AD75" i="5"/>
  <c r="AL75" i="5" s="1"/>
  <c r="AD34" i="5"/>
  <c r="AK34" i="5" s="1"/>
  <c r="AD68" i="5"/>
  <c r="AN68" i="5" s="1"/>
  <c r="AC70" i="5"/>
  <c r="AH70" i="5" s="1"/>
  <c r="AE71" i="5"/>
  <c r="AR71" i="5" s="1"/>
  <c r="AC74" i="5"/>
  <c r="AH74" i="5" s="1"/>
  <c r="AE75" i="5"/>
  <c r="AR75" i="5" s="1"/>
  <c r="AE68" i="5"/>
  <c r="AP68" i="5" s="1"/>
  <c r="AE83" i="5"/>
  <c r="AR83" i="5" s="1"/>
  <c r="Z5" i="5"/>
  <c r="AD5" i="5" s="1"/>
  <c r="AK5" i="5" s="1"/>
  <c r="AD64" i="5"/>
  <c r="V18" i="5"/>
  <c r="AD18" i="5" s="1"/>
  <c r="AC18" i="5"/>
  <c r="V12" i="5"/>
  <c r="AD12" i="5" s="1"/>
  <c r="AC12" i="5"/>
  <c r="V9" i="5"/>
  <c r="AD9" i="5" s="1"/>
  <c r="AC9" i="5"/>
  <c r="V17" i="5"/>
  <c r="AD17" i="5" s="1"/>
  <c r="AC17" i="5"/>
  <c r="V25" i="5"/>
  <c r="AD25" i="5" s="1"/>
  <c r="AC25" i="5"/>
  <c r="AG25" i="5" s="1"/>
  <c r="AC64" i="5"/>
  <c r="AE65" i="5"/>
  <c r="AC68" i="5"/>
  <c r="AC72" i="5"/>
  <c r="AE73" i="5"/>
  <c r="AC76" i="5"/>
  <c r="V11" i="5"/>
  <c r="AD11" i="5" s="1"/>
  <c r="AC11" i="5"/>
  <c r="V13" i="5"/>
  <c r="AD13" i="5" s="1"/>
  <c r="AC13" i="5"/>
  <c r="V21" i="5"/>
  <c r="AH66" i="5"/>
  <c r="AI66" i="5"/>
  <c r="AJ66" i="5"/>
  <c r="AG66" i="5"/>
  <c r="AI70" i="5"/>
  <c r="AJ70" i="5"/>
  <c r="V19" i="5"/>
  <c r="AD19" i="5" s="1"/>
  <c r="AC19" i="5"/>
  <c r="AG63" i="5"/>
  <c r="AJ63" i="5"/>
  <c r="AH63" i="5"/>
  <c r="V6" i="5"/>
  <c r="AD6" i="5" s="1"/>
  <c r="AC6" i="5"/>
  <c r="V14" i="5"/>
  <c r="AD14" i="5" s="1"/>
  <c r="AC14" i="5"/>
  <c r="V22" i="5"/>
  <c r="AD22" i="5" s="1"/>
  <c r="AC22" i="5"/>
  <c r="AD66" i="5"/>
  <c r="AD70" i="5"/>
  <c r="AD74" i="5"/>
  <c r="AD78" i="5"/>
  <c r="AD82" i="5"/>
  <c r="V10" i="5"/>
  <c r="AD10" i="5" s="1"/>
  <c r="AC10" i="5"/>
  <c r="V20" i="5"/>
  <c r="AD20" i="5" s="1"/>
  <c r="AC20" i="5"/>
  <c r="AD7" i="5"/>
  <c r="AC7" i="5"/>
  <c r="AI7" i="5" s="1"/>
  <c r="V15" i="5"/>
  <c r="AD15" i="5" s="1"/>
  <c r="AC15" i="5"/>
  <c r="V23" i="5"/>
  <c r="AD23" i="5" s="1"/>
  <c r="AC23" i="5"/>
  <c r="AI5" i="5"/>
  <c r="AJ5" i="5"/>
  <c r="AC65" i="5"/>
  <c r="AE66" i="5"/>
  <c r="AE70" i="5"/>
  <c r="AC73" i="5"/>
  <c r="AE74" i="5"/>
  <c r="AE78" i="5"/>
  <c r="AE82" i="5"/>
  <c r="AD83" i="5"/>
  <c r="AO64" i="5"/>
  <c r="AH71" i="5"/>
  <c r="AQ76" i="5"/>
  <c r="AR76" i="5"/>
  <c r="V8" i="5"/>
  <c r="AD8" i="5" s="1"/>
  <c r="AC8" i="5"/>
  <c r="V16" i="5"/>
  <c r="AD16" i="5" s="1"/>
  <c r="AC16" i="5"/>
  <c r="V24" i="5"/>
  <c r="AD65" i="5"/>
  <c r="AD73" i="5"/>
  <c r="E81" i="5"/>
  <c r="M80" i="5"/>
  <c r="E80" i="5"/>
  <c r="E79" i="5"/>
  <c r="E77" i="5"/>
  <c r="E69" i="5"/>
  <c r="M67" i="5"/>
  <c r="I54" i="5"/>
  <c r="I53" i="5"/>
  <c r="E53" i="5"/>
  <c r="I52" i="5"/>
  <c r="I51" i="5"/>
  <c r="I50" i="5"/>
  <c r="I49" i="5"/>
  <c r="E49" i="5"/>
  <c r="I48" i="5"/>
  <c r="E48" i="5"/>
  <c r="I47" i="5"/>
  <c r="I46" i="5"/>
  <c r="I45" i="5"/>
  <c r="I44" i="5"/>
  <c r="I43" i="5"/>
  <c r="I42" i="5"/>
  <c r="I41" i="5"/>
  <c r="I40" i="5"/>
  <c r="I39" i="5"/>
  <c r="E39" i="5"/>
  <c r="I38" i="5"/>
  <c r="I37" i="5"/>
  <c r="I36" i="5"/>
  <c r="E36" i="5"/>
  <c r="O35" i="5"/>
  <c r="I35" i="5"/>
  <c r="E24" i="5"/>
  <c r="Y24" i="5" s="1"/>
  <c r="Z24" i="5" s="1"/>
  <c r="E21" i="5"/>
  <c r="Y21" i="5" s="1"/>
  <c r="Z21" i="5" s="1"/>
  <c r="AQ72" i="5" l="1"/>
  <c r="AO72" i="5"/>
  <c r="AR72" i="5"/>
  <c r="AP76" i="5"/>
  <c r="AJ71" i="5"/>
  <c r="AI71" i="5"/>
  <c r="AK68" i="5"/>
  <c r="AH34" i="5"/>
  <c r="AL34" i="5"/>
  <c r="AM68" i="5"/>
  <c r="AM34" i="5"/>
  <c r="AN34" i="5"/>
  <c r="AK76" i="5"/>
  <c r="AG70" i="5"/>
  <c r="AM76" i="5"/>
  <c r="AH78" i="5"/>
  <c r="AP34" i="5"/>
  <c r="AU34" i="5" s="1"/>
  <c r="V307" i="4" s="1"/>
  <c r="AR34" i="5"/>
  <c r="AG78" i="5"/>
  <c r="AQ34" i="5"/>
  <c r="AL76" i="5"/>
  <c r="AQ63" i="5"/>
  <c r="AY63" i="5" s="1"/>
  <c r="AN64" i="5"/>
  <c r="AM71" i="5"/>
  <c r="AJ82" i="5"/>
  <c r="AL68" i="5"/>
  <c r="AJ78" i="5"/>
  <c r="AN71" i="5"/>
  <c r="AG83" i="5"/>
  <c r="AH83" i="5"/>
  <c r="AI83" i="5"/>
  <c r="AO75" i="5"/>
  <c r="AP75" i="5"/>
  <c r="AQ75" i="5"/>
  <c r="AJ74" i="5"/>
  <c r="AI74" i="5"/>
  <c r="AM64" i="5"/>
  <c r="AG74" i="5"/>
  <c r="AL5" i="5"/>
  <c r="AT5" i="5" s="1"/>
  <c r="AM5" i="5"/>
  <c r="AN5" i="5"/>
  <c r="AX5" i="5" s="1"/>
  <c r="AG82" i="5"/>
  <c r="AL71" i="5"/>
  <c r="AI82" i="5"/>
  <c r="AP63" i="5"/>
  <c r="AU63" i="5" s="1"/>
  <c r="AR64" i="5"/>
  <c r="AR63" i="5"/>
  <c r="AN75" i="5"/>
  <c r="AQ64" i="5"/>
  <c r="AM75" i="5"/>
  <c r="AK75" i="5"/>
  <c r="AK64" i="5"/>
  <c r="AG75" i="5"/>
  <c r="AI34" i="5"/>
  <c r="AH75" i="5"/>
  <c r="AI75" i="5"/>
  <c r="AO71" i="5"/>
  <c r="AP71" i="5"/>
  <c r="AJ34" i="5"/>
  <c r="AQ71" i="5"/>
  <c r="AR68" i="5"/>
  <c r="AL64" i="5"/>
  <c r="AC21" i="5"/>
  <c r="AI21" i="5" s="1"/>
  <c r="AO83" i="5"/>
  <c r="AP83" i="5"/>
  <c r="AQ83" i="5"/>
  <c r="AO68" i="5"/>
  <c r="AQ68" i="5"/>
  <c r="AA80" i="5"/>
  <c r="AE80" i="5" s="1"/>
  <c r="AP80" i="5" s="1"/>
  <c r="AA39" i="5"/>
  <c r="AE39" i="5" s="1"/>
  <c r="Y39" i="5"/>
  <c r="AC39" i="5" s="1"/>
  <c r="AN78" i="5"/>
  <c r="AM78" i="5"/>
  <c r="AL78" i="5"/>
  <c r="AK78" i="5"/>
  <c r="Z39" i="5"/>
  <c r="AD39" i="5" s="1"/>
  <c r="Z81" i="5"/>
  <c r="AD81" i="5" s="1"/>
  <c r="AA81" i="5"/>
  <c r="AE81" i="5" s="1"/>
  <c r="Y81" i="5"/>
  <c r="AC81" i="5" s="1"/>
  <c r="AC24" i="5"/>
  <c r="AN74" i="5"/>
  <c r="AM74" i="5"/>
  <c r="AL74" i="5"/>
  <c r="AK74" i="5"/>
  <c r="Z53" i="5"/>
  <c r="AD53" i="5" s="1"/>
  <c r="Y38" i="5"/>
  <c r="AC38" i="5" s="1"/>
  <c r="Z38" i="5"/>
  <c r="AD38" i="5" s="1"/>
  <c r="AA38" i="5"/>
  <c r="AE38" i="5" s="1"/>
  <c r="Y45" i="5"/>
  <c r="AC45" i="5" s="1"/>
  <c r="AA45" i="5"/>
  <c r="AE45" i="5" s="1"/>
  <c r="Z45" i="5"/>
  <c r="AD45" i="5" s="1"/>
  <c r="Z51" i="5"/>
  <c r="AD51" i="5" s="1"/>
  <c r="AA51" i="5"/>
  <c r="AE51" i="5" s="1"/>
  <c r="Y51" i="5"/>
  <c r="AC51" i="5" s="1"/>
  <c r="Z80" i="5"/>
  <c r="AD80" i="5" s="1"/>
  <c r="Y80" i="5"/>
  <c r="AC80" i="5" s="1"/>
  <c r="AJ73" i="5"/>
  <c r="AI73" i="5"/>
  <c r="AH73" i="5"/>
  <c r="AG73" i="5"/>
  <c r="AN10" i="5"/>
  <c r="AM10" i="5"/>
  <c r="AK10" i="5"/>
  <c r="AL10" i="5"/>
  <c r="AN82" i="5"/>
  <c r="AM82" i="5"/>
  <c r="AL82" i="5"/>
  <c r="AK82" i="5"/>
  <c r="AN14" i="5"/>
  <c r="AM14" i="5"/>
  <c r="AK14" i="5"/>
  <c r="AL14" i="5"/>
  <c r="AG19" i="5"/>
  <c r="AI19" i="5"/>
  <c r="AJ19" i="5"/>
  <c r="AH19" i="5"/>
  <c r="AH68" i="5"/>
  <c r="AI68" i="5"/>
  <c r="AJ68" i="5"/>
  <c r="AG68" i="5"/>
  <c r="AL9" i="5"/>
  <c r="AM9" i="5"/>
  <c r="AN9" i="5"/>
  <c r="AK9" i="5"/>
  <c r="AH12" i="5"/>
  <c r="AJ12" i="5"/>
  <c r="AG12" i="5"/>
  <c r="AI12" i="5"/>
  <c r="Y53" i="5"/>
  <c r="AC53" i="5" s="1"/>
  <c r="AA53" i="5"/>
  <c r="AE53" i="5" s="1"/>
  <c r="AG23" i="5"/>
  <c r="AI23" i="5"/>
  <c r="AH23" i="5"/>
  <c r="AJ23" i="5"/>
  <c r="AD21" i="5"/>
  <c r="AI25" i="5"/>
  <c r="AH25" i="5"/>
  <c r="AJ25" i="5"/>
  <c r="Y46" i="5"/>
  <c r="AC46" i="5" s="1"/>
  <c r="Z46" i="5"/>
  <c r="AD46" i="5" s="1"/>
  <c r="AA46" i="5"/>
  <c r="AE46" i="5" s="1"/>
  <c r="AL65" i="5"/>
  <c r="AM65" i="5"/>
  <c r="AN65" i="5"/>
  <c r="AK65" i="5"/>
  <c r="AA47" i="5"/>
  <c r="AE47" i="5" s="1"/>
  <c r="Y47" i="5"/>
  <c r="AC47" i="5" s="1"/>
  <c r="Z47" i="5"/>
  <c r="AD47" i="5" s="1"/>
  <c r="AA40" i="5"/>
  <c r="AE40" i="5" s="1"/>
  <c r="Y40" i="5"/>
  <c r="AC40" i="5" s="1"/>
  <c r="Z40" i="5"/>
  <c r="AD40" i="5" s="1"/>
  <c r="AD24" i="5"/>
  <c r="AK24" i="5" s="1"/>
  <c r="AP82" i="5"/>
  <c r="AO82" i="5"/>
  <c r="AQ82" i="5"/>
  <c r="AR82" i="5"/>
  <c r="AN70" i="5"/>
  <c r="AM70" i="5"/>
  <c r="AL70" i="5"/>
  <c r="AK70" i="5"/>
  <c r="Y41" i="5"/>
  <c r="AC41" i="5" s="1"/>
  <c r="Z41" i="5"/>
  <c r="AD41" i="5" s="1"/>
  <c r="AA41" i="5"/>
  <c r="AE41" i="5" s="1"/>
  <c r="Z48" i="5"/>
  <c r="AD48" i="5" s="1"/>
  <c r="AA54" i="5"/>
  <c r="AE54" i="5" s="1"/>
  <c r="Z54" i="5"/>
  <c r="AD54" i="5" s="1"/>
  <c r="Y54" i="5"/>
  <c r="AC54" i="5" s="1"/>
  <c r="AA67" i="5"/>
  <c r="AE67" i="5" s="1"/>
  <c r="Z67" i="5"/>
  <c r="AD67" i="5" s="1"/>
  <c r="Y67" i="5"/>
  <c r="AC67" i="5" s="1"/>
  <c r="AH16" i="5"/>
  <c r="AJ16" i="5"/>
  <c r="AI16" i="5"/>
  <c r="AG16" i="5"/>
  <c r="AJ65" i="5"/>
  <c r="AI65" i="5"/>
  <c r="AH65" i="5"/>
  <c r="AG65" i="5"/>
  <c r="AG15" i="5"/>
  <c r="AI15" i="5"/>
  <c r="AJ15" i="5"/>
  <c r="AH15" i="5"/>
  <c r="AN20" i="5"/>
  <c r="AM20" i="5"/>
  <c r="AK20" i="5"/>
  <c r="AL20" i="5"/>
  <c r="AN66" i="5"/>
  <c r="AM66" i="5"/>
  <c r="AL66" i="5"/>
  <c r="AK66" i="5"/>
  <c r="AG13" i="5"/>
  <c r="AI13" i="5"/>
  <c r="AJ13" i="5"/>
  <c r="AH13" i="5"/>
  <c r="AH76" i="5"/>
  <c r="AG76" i="5"/>
  <c r="AI76" i="5"/>
  <c r="AJ76" i="5"/>
  <c r="AL25" i="5"/>
  <c r="AM25" i="5"/>
  <c r="AN25" i="5"/>
  <c r="AK25" i="5"/>
  <c r="AL19" i="5"/>
  <c r="AM19" i="5"/>
  <c r="AN19" i="5"/>
  <c r="AK19" i="5"/>
  <c r="AR65" i="5"/>
  <c r="AQ65" i="5"/>
  <c r="AP65" i="5"/>
  <c r="AO65" i="5"/>
  <c r="AL83" i="5"/>
  <c r="AK83" i="5"/>
  <c r="AM83" i="5"/>
  <c r="AN83" i="5"/>
  <c r="AN6" i="5"/>
  <c r="AM6" i="5"/>
  <c r="AL6" i="5"/>
  <c r="AK6" i="5"/>
  <c r="AH64" i="5"/>
  <c r="AI64" i="5"/>
  <c r="AJ64" i="5"/>
  <c r="AG64" i="5"/>
  <c r="AG20" i="5"/>
  <c r="AJ20" i="5"/>
  <c r="AH20" i="5"/>
  <c r="AI20" i="5"/>
  <c r="AN16" i="5"/>
  <c r="AM16" i="5"/>
  <c r="AK16" i="5"/>
  <c r="AL16" i="5"/>
  <c r="AP78" i="5"/>
  <c r="AO78" i="5"/>
  <c r="AQ78" i="5"/>
  <c r="AR78" i="5"/>
  <c r="AL15" i="5"/>
  <c r="AM15" i="5"/>
  <c r="AN15" i="5"/>
  <c r="AK15" i="5"/>
  <c r="AH22" i="5"/>
  <c r="AI22" i="5"/>
  <c r="AJ22" i="5"/>
  <c r="AG22" i="5"/>
  <c r="AL13" i="5"/>
  <c r="AM13" i="5"/>
  <c r="AN13" i="5"/>
  <c r="AK13" i="5"/>
  <c r="AR73" i="5"/>
  <c r="AQ73" i="5"/>
  <c r="AP73" i="5"/>
  <c r="AO73" i="5"/>
  <c r="AG17" i="5"/>
  <c r="AI17" i="5"/>
  <c r="AJ17" i="5"/>
  <c r="AH17" i="5"/>
  <c r="AH18" i="5"/>
  <c r="AG18" i="5"/>
  <c r="AI18" i="5"/>
  <c r="AJ18" i="5"/>
  <c r="Y52" i="5"/>
  <c r="AC52" i="5" s="1"/>
  <c r="Z52" i="5"/>
  <c r="AD52" i="5" s="1"/>
  <c r="AA52" i="5"/>
  <c r="AE52" i="5" s="1"/>
  <c r="AA48" i="5"/>
  <c r="AE48" i="5" s="1"/>
  <c r="Y48" i="5"/>
  <c r="AC48" i="5" s="1"/>
  <c r="AP66" i="5"/>
  <c r="AQ66" i="5"/>
  <c r="AO66" i="5"/>
  <c r="AR66" i="5"/>
  <c r="Y36" i="5"/>
  <c r="AC36" i="5" s="1"/>
  <c r="AA36" i="5"/>
  <c r="AE36" i="5" s="1"/>
  <c r="Y49" i="5"/>
  <c r="AC49" i="5" s="1"/>
  <c r="AA49" i="5"/>
  <c r="AE49" i="5" s="1"/>
  <c r="Z43" i="5"/>
  <c r="AD43" i="5" s="1"/>
  <c r="AA43" i="5"/>
  <c r="AE43" i="5" s="1"/>
  <c r="Y43" i="5"/>
  <c r="AC43" i="5" s="1"/>
  <c r="AG7" i="5"/>
  <c r="AH7" i="5"/>
  <c r="AJ7" i="5"/>
  <c r="AN22" i="5"/>
  <c r="AM22" i="5"/>
  <c r="AL22" i="5"/>
  <c r="AK22" i="5"/>
  <c r="AG11" i="5"/>
  <c r="AH11" i="5"/>
  <c r="AI11" i="5"/>
  <c r="AJ11" i="5"/>
  <c r="AH72" i="5"/>
  <c r="AG72" i="5"/>
  <c r="AI72" i="5"/>
  <c r="AJ72" i="5"/>
  <c r="AL17" i="5"/>
  <c r="AM17" i="5"/>
  <c r="AN17" i="5"/>
  <c r="AK17" i="5"/>
  <c r="AN18" i="5"/>
  <c r="AM18" i="5"/>
  <c r="AK18" i="5"/>
  <c r="AL18" i="5"/>
  <c r="AP70" i="5"/>
  <c r="AQ70" i="5"/>
  <c r="AR70" i="5"/>
  <c r="AO70" i="5"/>
  <c r="AH6" i="5"/>
  <c r="AJ6" i="5"/>
  <c r="AG6" i="5"/>
  <c r="AI6" i="5"/>
  <c r="AN12" i="5"/>
  <c r="AM12" i="5"/>
  <c r="AK12" i="5"/>
  <c r="AL12" i="5"/>
  <c r="Z35" i="5"/>
  <c r="AD35" i="5" s="1"/>
  <c r="AA35" i="5"/>
  <c r="AE35" i="5" s="1"/>
  <c r="Y35" i="5"/>
  <c r="AC35" i="5" s="1"/>
  <c r="AL23" i="5"/>
  <c r="AM23" i="5"/>
  <c r="AN23" i="5"/>
  <c r="AK23" i="5"/>
  <c r="AA42" i="5"/>
  <c r="AE42" i="5" s="1"/>
  <c r="Z42" i="5"/>
  <c r="AD42" i="5" s="1"/>
  <c r="Y42" i="5"/>
  <c r="AC42" i="5" s="1"/>
  <c r="AA69" i="5"/>
  <c r="AE69" i="5" s="1"/>
  <c r="Z69" i="5"/>
  <c r="AD69" i="5" s="1"/>
  <c r="Y69" i="5"/>
  <c r="AC69" i="5" s="1"/>
  <c r="Z36" i="5"/>
  <c r="AD36" i="5" s="1"/>
  <c r="Z49" i="5"/>
  <c r="AD49" i="5" s="1"/>
  <c r="Z77" i="5"/>
  <c r="AD77" i="5" s="1"/>
  <c r="AA77" i="5"/>
  <c r="AE77" i="5" s="1"/>
  <c r="Y77" i="5"/>
  <c r="AC77" i="5" s="1"/>
  <c r="AH8" i="5"/>
  <c r="AJ8" i="5"/>
  <c r="AG8" i="5"/>
  <c r="AI8" i="5"/>
  <c r="Z37" i="5"/>
  <c r="AD37" i="5" s="1"/>
  <c r="Y37" i="5"/>
  <c r="AC37" i="5" s="1"/>
  <c r="AA37" i="5"/>
  <c r="AE37" i="5" s="1"/>
  <c r="Y44" i="5"/>
  <c r="AC44" i="5" s="1"/>
  <c r="Z44" i="5"/>
  <c r="AD44" i="5" s="1"/>
  <c r="AA44" i="5"/>
  <c r="AE44" i="5" s="1"/>
  <c r="AA50" i="5"/>
  <c r="AE50" i="5" s="1"/>
  <c r="Y50" i="5"/>
  <c r="AC50" i="5" s="1"/>
  <c r="Z50" i="5"/>
  <c r="AD50" i="5" s="1"/>
  <c r="AA79" i="5"/>
  <c r="AE79" i="5" s="1"/>
  <c r="Z79" i="5"/>
  <c r="AD79" i="5" s="1"/>
  <c r="Y79" i="5"/>
  <c r="AC79" i="5" s="1"/>
  <c r="AL73" i="5"/>
  <c r="AK73" i="5"/>
  <c r="AM73" i="5"/>
  <c r="AN73" i="5"/>
  <c r="AN8" i="5"/>
  <c r="AM8" i="5"/>
  <c r="AL8" i="5"/>
  <c r="AK8" i="5"/>
  <c r="AP74" i="5"/>
  <c r="AO74" i="5"/>
  <c r="AQ74" i="5"/>
  <c r="AR74" i="5"/>
  <c r="AL7" i="5"/>
  <c r="AM7" i="5"/>
  <c r="AN7" i="5"/>
  <c r="AK7" i="5"/>
  <c r="AH10" i="5"/>
  <c r="AJ10" i="5"/>
  <c r="AG10" i="5"/>
  <c r="AI10" i="5"/>
  <c r="AH14" i="5"/>
  <c r="AJ14" i="5"/>
  <c r="AG14" i="5"/>
  <c r="AI14" i="5"/>
  <c r="AL11" i="5"/>
  <c r="AM11" i="5"/>
  <c r="AN11" i="5"/>
  <c r="AK11" i="5"/>
  <c r="AG9" i="5"/>
  <c r="AH9" i="5"/>
  <c r="AI9" i="5"/>
  <c r="AJ9" i="5"/>
  <c r="AT34" i="5" l="1"/>
  <c r="R307" i="4" s="1"/>
  <c r="S307" i="4" s="1"/>
  <c r="AT64" i="5"/>
  <c r="AU25" i="5"/>
  <c r="AV5" i="5"/>
  <c r="W307" i="4"/>
  <c r="AV34" i="5"/>
  <c r="J307" i="4" s="1"/>
  <c r="K307" i="4" s="1"/>
  <c r="AX34" i="5"/>
  <c r="Z307" i="4" s="1"/>
  <c r="AT9" i="5"/>
  <c r="AY5" i="5"/>
  <c r="AW63" i="5"/>
  <c r="AX71" i="5"/>
  <c r="AV75" i="5"/>
  <c r="AW34" i="5"/>
  <c r="N307" i="4" s="1"/>
  <c r="AX78" i="5"/>
  <c r="AX22" i="5"/>
  <c r="AX17" i="5"/>
  <c r="AH21" i="5"/>
  <c r="AG21" i="5"/>
  <c r="AU75" i="5"/>
  <c r="AT75" i="5"/>
  <c r="AX66" i="5"/>
  <c r="AU5" i="5"/>
  <c r="AX70" i="5"/>
  <c r="AV63" i="5"/>
  <c r="AY19" i="5"/>
  <c r="AW68" i="5"/>
  <c r="AT63" i="5"/>
  <c r="AX82" i="5"/>
  <c r="AT82" i="5"/>
  <c r="AW64" i="5"/>
  <c r="AU83" i="5"/>
  <c r="AT76" i="5"/>
  <c r="AX63" i="5"/>
  <c r="AX23" i="5"/>
  <c r="AX11" i="5"/>
  <c r="AX64" i="5"/>
  <c r="AX19" i="5"/>
  <c r="AW74" i="5"/>
  <c r="AW78" i="5"/>
  <c r="AX74" i="5"/>
  <c r="AY66" i="5"/>
  <c r="AY16" i="5"/>
  <c r="AX83" i="5"/>
  <c r="AX76" i="5"/>
  <c r="AX20" i="5"/>
  <c r="AX65" i="5"/>
  <c r="AV10" i="5"/>
  <c r="AY74" i="5"/>
  <c r="AY22" i="5"/>
  <c r="AW83" i="5"/>
  <c r="AW5" i="5"/>
  <c r="AW11" i="5"/>
  <c r="AW8" i="5"/>
  <c r="AY12" i="5"/>
  <c r="AW66" i="5"/>
  <c r="AW70" i="5"/>
  <c r="AR80" i="5"/>
  <c r="AY75" i="5"/>
  <c r="AV71" i="5"/>
  <c r="AW14" i="5"/>
  <c r="AX7" i="5"/>
  <c r="AO80" i="5"/>
  <c r="AW75" i="5"/>
  <c r="AX13" i="5"/>
  <c r="AX25" i="5"/>
  <c r="AU78" i="5"/>
  <c r="AX75" i="5"/>
  <c r="AX18" i="5"/>
  <c r="AU71" i="5"/>
  <c r="AW12" i="5"/>
  <c r="AW73" i="5"/>
  <c r="AW71" i="5"/>
  <c r="AW18" i="5"/>
  <c r="AW9" i="5"/>
  <c r="AY73" i="5"/>
  <c r="AX16" i="5"/>
  <c r="AW76" i="5"/>
  <c r="AU82" i="5"/>
  <c r="AY20" i="5"/>
  <c r="AW65" i="5"/>
  <c r="AY82" i="5"/>
  <c r="AX68" i="5"/>
  <c r="AX73" i="5"/>
  <c r="AQ80" i="5"/>
  <c r="AY23" i="5"/>
  <c r="AX12" i="5"/>
  <c r="AY70" i="5"/>
  <c r="AY17" i="5"/>
  <c r="AW22" i="5"/>
  <c r="AY78" i="5"/>
  <c r="AY14" i="5"/>
  <c r="AY10" i="5"/>
  <c r="AY34" i="5"/>
  <c r="AD307" i="4" s="1"/>
  <c r="AW7" i="5"/>
  <c r="AT78" i="5"/>
  <c r="AW20" i="5"/>
  <c r="AW23" i="5"/>
  <c r="AX14" i="5"/>
  <c r="AX10" i="5"/>
  <c r="AY68" i="5"/>
  <c r="AY76" i="5"/>
  <c r="AY7" i="5"/>
  <c r="AY8" i="5"/>
  <c r="AW6" i="5"/>
  <c r="AX72" i="5"/>
  <c r="AW17" i="5"/>
  <c r="AW15" i="5"/>
  <c r="AW16" i="5"/>
  <c r="AW25" i="5"/>
  <c r="AX9" i="5"/>
  <c r="AY11" i="5"/>
  <c r="AW72" i="5"/>
  <c r="AY13" i="5"/>
  <c r="AX15" i="5"/>
  <c r="AY6" i="5"/>
  <c r="AY65" i="5"/>
  <c r="AY25" i="5"/>
  <c r="AY9" i="5"/>
  <c r="AW19" i="5"/>
  <c r="AY71" i="5"/>
  <c r="AY64" i="5"/>
  <c r="AW82" i="5"/>
  <c r="AW10" i="5"/>
  <c r="AX8" i="5"/>
  <c r="AY18" i="5"/>
  <c r="AY15" i="5"/>
  <c r="AX6" i="5"/>
  <c r="AW13" i="5"/>
  <c r="AJ21" i="5"/>
  <c r="AY83" i="5"/>
  <c r="AY72" i="5"/>
  <c r="AT71" i="5"/>
  <c r="AU16" i="5"/>
  <c r="AU10" i="5"/>
  <c r="AU66" i="5"/>
  <c r="AT22" i="5"/>
  <c r="AU9" i="5"/>
  <c r="AT18" i="5"/>
  <c r="AV66" i="5"/>
  <c r="AT65" i="5"/>
  <c r="AV70" i="5"/>
  <c r="AV82" i="5"/>
  <c r="AV7" i="5"/>
  <c r="AT66" i="5"/>
  <c r="AV23" i="5"/>
  <c r="AV12" i="5"/>
  <c r="AU23" i="5"/>
  <c r="AU68" i="5"/>
  <c r="AU74" i="5"/>
  <c r="AV74" i="5"/>
  <c r="AV6" i="5"/>
  <c r="AT72" i="5"/>
  <c r="AU6" i="5"/>
  <c r="AU70" i="5"/>
  <c r="AT74" i="5"/>
  <c r="AT70" i="5"/>
  <c r="AV83" i="5"/>
  <c r="AV76" i="5"/>
  <c r="AT13" i="5"/>
  <c r="AT83" i="5"/>
  <c r="AV16" i="5"/>
  <c r="AT25" i="5"/>
  <c r="AV78" i="5"/>
  <c r="AR77" i="5"/>
  <c r="AQ77" i="5"/>
  <c r="AP77" i="5"/>
  <c r="AO77" i="5"/>
  <c r="AR49" i="5"/>
  <c r="AQ49" i="5"/>
  <c r="AO49" i="5"/>
  <c r="AP49" i="5"/>
  <c r="AJ40" i="5"/>
  <c r="AG40" i="5"/>
  <c r="AI40" i="5"/>
  <c r="AH40" i="5"/>
  <c r="AN45" i="5"/>
  <c r="AK45" i="5"/>
  <c r="AM45" i="5"/>
  <c r="AL45" i="5"/>
  <c r="AR42" i="5"/>
  <c r="AO42" i="5"/>
  <c r="AP42" i="5"/>
  <c r="AQ42" i="5"/>
  <c r="AV22" i="5"/>
  <c r="AR36" i="5"/>
  <c r="AQ36" i="5"/>
  <c r="AP36" i="5"/>
  <c r="AO36" i="5"/>
  <c r="AT10" i="5"/>
  <c r="AI50" i="5"/>
  <c r="AH50" i="5"/>
  <c r="AG50" i="5"/>
  <c r="AJ50" i="5"/>
  <c r="AJ77" i="5"/>
  <c r="AI77" i="5"/>
  <c r="AH77" i="5"/>
  <c r="AG77" i="5"/>
  <c r="AJ42" i="5"/>
  <c r="AI42" i="5"/>
  <c r="AH42" i="5"/>
  <c r="AG42" i="5"/>
  <c r="AR35" i="5"/>
  <c r="AO35" i="5"/>
  <c r="AP35" i="5"/>
  <c r="AQ35" i="5"/>
  <c r="AT6" i="5"/>
  <c r="AN43" i="5"/>
  <c r="AK43" i="5"/>
  <c r="AL43" i="5"/>
  <c r="AM43" i="5"/>
  <c r="AT20" i="5"/>
  <c r="AR54" i="5"/>
  <c r="AO54" i="5"/>
  <c r="AQ54" i="5"/>
  <c r="AP54" i="5"/>
  <c r="AN40" i="5"/>
  <c r="AK40" i="5"/>
  <c r="AL40" i="5"/>
  <c r="AM40" i="5"/>
  <c r="AT12" i="5"/>
  <c r="AV68" i="5"/>
  <c r="AT19" i="5"/>
  <c r="AU73" i="5"/>
  <c r="AN51" i="5"/>
  <c r="AK51" i="5"/>
  <c r="AL51" i="5"/>
  <c r="AM51" i="5"/>
  <c r="AG24" i="5"/>
  <c r="AH24" i="5"/>
  <c r="AI24" i="5"/>
  <c r="AJ24" i="5"/>
  <c r="AJ48" i="5"/>
  <c r="AG48" i="5"/>
  <c r="AI48" i="5"/>
  <c r="AH48" i="5"/>
  <c r="AT14" i="5"/>
  <c r="AU65" i="5"/>
  <c r="AJ67" i="5"/>
  <c r="AI67" i="5"/>
  <c r="AH67" i="5"/>
  <c r="AG67" i="5"/>
  <c r="AN41" i="5"/>
  <c r="AK41" i="5"/>
  <c r="AM41" i="5"/>
  <c r="AL41" i="5"/>
  <c r="AJ45" i="5"/>
  <c r="AH45" i="5"/>
  <c r="AG45" i="5"/>
  <c r="AI45" i="5"/>
  <c r="AL81" i="5"/>
  <c r="AK81" i="5"/>
  <c r="AM81" i="5"/>
  <c r="AN81" i="5"/>
  <c r="AR39" i="5"/>
  <c r="AP39" i="5"/>
  <c r="AQ39" i="5"/>
  <c r="AO39" i="5"/>
  <c r="AN48" i="5"/>
  <c r="AL48" i="5"/>
  <c r="AM48" i="5"/>
  <c r="AK48" i="5"/>
  <c r="AL77" i="5"/>
  <c r="AK77" i="5"/>
  <c r="AM77" i="5"/>
  <c r="AN77" i="5"/>
  <c r="AJ49" i="5"/>
  <c r="AG49" i="5"/>
  <c r="AH49" i="5"/>
  <c r="AI49" i="5"/>
  <c r="AJ39" i="5"/>
  <c r="AI39" i="5"/>
  <c r="AG39" i="5"/>
  <c r="AH39" i="5"/>
  <c r="AU17" i="5"/>
  <c r="AV14" i="5"/>
  <c r="AJ79" i="5"/>
  <c r="AI79" i="5"/>
  <c r="AH79" i="5"/>
  <c r="AG79" i="5"/>
  <c r="AJ44" i="5"/>
  <c r="AG44" i="5"/>
  <c r="AI44" i="5"/>
  <c r="AH44" i="5"/>
  <c r="AN36" i="5"/>
  <c r="AM36" i="5"/>
  <c r="AK36" i="5"/>
  <c r="AL36" i="5"/>
  <c r="AU7" i="5"/>
  <c r="AJ36" i="5"/>
  <c r="AG36" i="5"/>
  <c r="AH36" i="5"/>
  <c r="AI36" i="5"/>
  <c r="AR52" i="5"/>
  <c r="AQ52" i="5"/>
  <c r="AP52" i="5"/>
  <c r="AO52" i="5"/>
  <c r="AV17" i="5"/>
  <c r="AU22" i="5"/>
  <c r="AU64" i="5"/>
  <c r="AU76" i="5"/>
  <c r="AL67" i="5"/>
  <c r="AM67" i="5"/>
  <c r="AN67" i="5"/>
  <c r="AK67" i="5"/>
  <c r="AJ41" i="5"/>
  <c r="AG41" i="5"/>
  <c r="AH41" i="5"/>
  <c r="AI41" i="5"/>
  <c r="AN47" i="5"/>
  <c r="AM47" i="5"/>
  <c r="AL47" i="5"/>
  <c r="AK47" i="5"/>
  <c r="AR46" i="5"/>
  <c r="AO46" i="5"/>
  <c r="AP46" i="5"/>
  <c r="AQ46" i="5"/>
  <c r="AL21" i="5"/>
  <c r="AM21" i="5"/>
  <c r="AN21" i="5"/>
  <c r="AK21" i="5"/>
  <c r="AT23" i="5"/>
  <c r="AH80" i="5"/>
  <c r="AG80" i="5"/>
  <c r="AI80" i="5"/>
  <c r="AJ80" i="5"/>
  <c r="AR38" i="5"/>
  <c r="AO38" i="5"/>
  <c r="AP38" i="5"/>
  <c r="AQ38" i="5"/>
  <c r="AN39" i="5"/>
  <c r="AM39" i="5"/>
  <c r="AL39" i="5"/>
  <c r="AK39" i="5"/>
  <c r="AR50" i="5"/>
  <c r="AO50" i="5"/>
  <c r="AP50" i="5"/>
  <c r="AQ50" i="5"/>
  <c r="AU72" i="5"/>
  <c r="AV64" i="5"/>
  <c r="AR40" i="5"/>
  <c r="AO40" i="5"/>
  <c r="AP40" i="5"/>
  <c r="AQ40" i="5"/>
  <c r="AV73" i="5"/>
  <c r="AN44" i="5"/>
  <c r="AM44" i="5"/>
  <c r="AL44" i="5"/>
  <c r="AK44" i="5"/>
  <c r="AJ69" i="5"/>
  <c r="AI69" i="5"/>
  <c r="AH69" i="5"/>
  <c r="AG69" i="5"/>
  <c r="AU11" i="5"/>
  <c r="AT7" i="5"/>
  <c r="AN52" i="5"/>
  <c r="AM52" i="5"/>
  <c r="AK52" i="5"/>
  <c r="AL52" i="5"/>
  <c r="AV65" i="5"/>
  <c r="AR67" i="5"/>
  <c r="AQ67" i="5"/>
  <c r="AP67" i="5"/>
  <c r="AO67" i="5"/>
  <c r="AJ47" i="5"/>
  <c r="AI47" i="5"/>
  <c r="AG47" i="5"/>
  <c r="AH47" i="5"/>
  <c r="AN46" i="5"/>
  <c r="AK46" i="5"/>
  <c r="AL46" i="5"/>
  <c r="AM46" i="5"/>
  <c r="AR53" i="5"/>
  <c r="AO53" i="5"/>
  <c r="AP53" i="5"/>
  <c r="AQ53" i="5"/>
  <c r="AU19" i="5"/>
  <c r="AN80" i="5"/>
  <c r="AM80" i="5"/>
  <c r="AL80" i="5"/>
  <c r="AK80" i="5"/>
  <c r="AN38" i="5"/>
  <c r="AK38" i="5"/>
  <c r="AL38" i="5"/>
  <c r="AM38" i="5"/>
  <c r="AN35" i="5"/>
  <c r="AK35" i="5"/>
  <c r="AL35" i="5"/>
  <c r="AM35" i="5"/>
  <c r="AR44" i="5"/>
  <c r="AQ44" i="5"/>
  <c r="AP44" i="5"/>
  <c r="AO44" i="5"/>
  <c r="AR48" i="5"/>
  <c r="AO48" i="5"/>
  <c r="AP48" i="5"/>
  <c r="AQ48" i="5"/>
  <c r="AR41" i="5"/>
  <c r="AQ41" i="5"/>
  <c r="AP41" i="5"/>
  <c r="AO41" i="5"/>
  <c r="AU12" i="5"/>
  <c r="AR81" i="5"/>
  <c r="AQ81" i="5"/>
  <c r="AP81" i="5"/>
  <c r="AO81" i="5"/>
  <c r="AL79" i="5"/>
  <c r="AK79" i="5"/>
  <c r="AM79" i="5"/>
  <c r="AN79" i="5"/>
  <c r="AT8" i="5"/>
  <c r="AR79" i="5"/>
  <c r="AQ79" i="5"/>
  <c r="AP79" i="5"/>
  <c r="AO79" i="5"/>
  <c r="AV8" i="5"/>
  <c r="AL69" i="5"/>
  <c r="AM69" i="5"/>
  <c r="AN69" i="5"/>
  <c r="AK69" i="5"/>
  <c r="AT11" i="5"/>
  <c r="AJ43" i="5"/>
  <c r="AH43" i="5"/>
  <c r="AI43" i="5"/>
  <c r="AG43" i="5"/>
  <c r="AJ52" i="5"/>
  <c r="AI52" i="5"/>
  <c r="AG52" i="5"/>
  <c r="AH52" i="5"/>
  <c r="AT17" i="5"/>
  <c r="AU20" i="5"/>
  <c r="AU13" i="5"/>
  <c r="AU15" i="5"/>
  <c r="AG54" i="5"/>
  <c r="AJ54" i="5"/>
  <c r="AH54" i="5"/>
  <c r="AI54" i="5"/>
  <c r="AR47" i="5"/>
  <c r="AP47" i="5"/>
  <c r="AQ47" i="5"/>
  <c r="AO47" i="5"/>
  <c r="AJ46" i="5"/>
  <c r="AG46" i="5"/>
  <c r="AH46" i="5"/>
  <c r="AI46" i="5"/>
  <c r="AJ53" i="5"/>
  <c r="AH53" i="5"/>
  <c r="AI53" i="5"/>
  <c r="AG53" i="5"/>
  <c r="AV19" i="5"/>
  <c r="AJ51" i="5"/>
  <c r="AG51" i="5"/>
  <c r="AH51" i="5"/>
  <c r="AI51" i="5"/>
  <c r="AJ38" i="5"/>
  <c r="AG38" i="5"/>
  <c r="AH38" i="5"/>
  <c r="AI38" i="5"/>
  <c r="AN42" i="5"/>
  <c r="AL42" i="5"/>
  <c r="AM42" i="5"/>
  <c r="AK42" i="5"/>
  <c r="AT15" i="5"/>
  <c r="AJ81" i="5"/>
  <c r="AI81" i="5"/>
  <c r="AH81" i="5"/>
  <c r="AG81" i="5"/>
  <c r="AU18" i="5"/>
  <c r="AR45" i="5"/>
  <c r="AO45" i="5"/>
  <c r="AP45" i="5"/>
  <c r="AQ45" i="5"/>
  <c r="AN49" i="5"/>
  <c r="AK49" i="5"/>
  <c r="AL49" i="5"/>
  <c r="AM49" i="5"/>
  <c r="AV11" i="5"/>
  <c r="AU14" i="5"/>
  <c r="AR37" i="5"/>
  <c r="AO37" i="5"/>
  <c r="AP37" i="5"/>
  <c r="AQ37" i="5"/>
  <c r="AJ37" i="5"/>
  <c r="AH37" i="5"/>
  <c r="AG37" i="5"/>
  <c r="AI37" i="5"/>
  <c r="AV9" i="5"/>
  <c r="AN50" i="5"/>
  <c r="AL50" i="5"/>
  <c r="AK50" i="5"/>
  <c r="AM50" i="5"/>
  <c r="AN37" i="5"/>
  <c r="AK37" i="5"/>
  <c r="AL37" i="5"/>
  <c r="AM37" i="5"/>
  <c r="AU8" i="5"/>
  <c r="AR69" i="5"/>
  <c r="AQ69" i="5"/>
  <c r="AP69" i="5"/>
  <c r="AO69" i="5"/>
  <c r="AJ35" i="5"/>
  <c r="AH35" i="5"/>
  <c r="AI35" i="5"/>
  <c r="AG35" i="5"/>
  <c r="AV72" i="5"/>
  <c r="AR43" i="5"/>
  <c r="AO43" i="5"/>
  <c r="AP43" i="5"/>
  <c r="AQ43" i="5"/>
  <c r="AV18" i="5"/>
  <c r="AV20" i="5"/>
  <c r="AV13" i="5"/>
  <c r="AV15" i="5"/>
  <c r="AT16" i="5"/>
  <c r="AN54" i="5"/>
  <c r="AK54" i="5"/>
  <c r="AL54" i="5"/>
  <c r="AM54" i="5"/>
  <c r="AN24" i="5"/>
  <c r="AM24" i="5"/>
  <c r="AL24" i="5"/>
  <c r="AV25" i="5"/>
  <c r="AT68" i="5"/>
  <c r="AT73" i="5"/>
  <c r="AR51" i="5"/>
  <c r="AO51" i="5"/>
  <c r="AP51" i="5"/>
  <c r="AQ51" i="5"/>
  <c r="AN53" i="5"/>
  <c r="AK53" i="5"/>
  <c r="AM53" i="5"/>
  <c r="AL53" i="5"/>
  <c r="AX67" i="5" l="1"/>
  <c r="O307" i="4"/>
  <c r="AA307" i="4"/>
  <c r="AY69" i="5"/>
  <c r="AY67" i="5"/>
  <c r="AY40" i="5"/>
  <c r="AD313" i="4" s="1"/>
  <c r="AE313" i="4" s="1"/>
  <c r="AY21" i="5"/>
  <c r="AX48" i="5"/>
  <c r="Z321" i="4" s="1"/>
  <c r="AA321" i="4" s="1"/>
  <c r="AE307" i="4"/>
  <c r="AW37" i="5"/>
  <c r="N310" i="4" s="1"/>
  <c r="O310" i="4" s="1"/>
  <c r="AX53" i="5"/>
  <c r="Z326" i="4" s="1"/>
  <c r="AA326" i="4" s="1"/>
  <c r="AW43" i="5"/>
  <c r="N316" i="4" s="1"/>
  <c r="O316" i="4" s="1"/>
  <c r="AY53" i="5"/>
  <c r="AD326" i="4" s="1"/>
  <c r="AE326" i="4" s="1"/>
  <c r="AX80" i="5"/>
  <c r="AW48" i="5"/>
  <c r="N321" i="4" s="1"/>
  <c r="O321" i="4" s="1"/>
  <c r="AY35" i="5"/>
  <c r="AD308" i="4" s="1"/>
  <c r="AE308" i="4" s="1"/>
  <c r="AY41" i="5"/>
  <c r="AD314" i="4" s="1"/>
  <c r="AE314" i="4" s="1"/>
  <c r="AY44" i="5"/>
  <c r="AD317" i="4" s="1"/>
  <c r="AE317" i="4" s="1"/>
  <c r="AW51" i="5"/>
  <c r="N324" i="4" s="1"/>
  <c r="O324" i="4" s="1"/>
  <c r="AY42" i="5"/>
  <c r="AD315" i="4" s="1"/>
  <c r="AE315" i="4" s="1"/>
  <c r="AW46" i="5"/>
  <c r="N319" i="4" s="1"/>
  <c r="O319" i="4" s="1"/>
  <c r="AW80" i="5"/>
  <c r="AY46" i="5"/>
  <c r="AD319" i="4" s="1"/>
  <c r="AE319" i="4" s="1"/>
  <c r="AW41" i="5"/>
  <c r="N314" i="4" s="1"/>
  <c r="O314" i="4" s="1"/>
  <c r="AY52" i="5"/>
  <c r="AD325" i="4" s="1"/>
  <c r="AE325" i="4" s="1"/>
  <c r="AX39" i="5"/>
  <c r="Z312" i="4" s="1"/>
  <c r="AA312" i="4" s="1"/>
  <c r="AW67" i="5"/>
  <c r="AW50" i="5"/>
  <c r="N323" i="4" s="1"/>
  <c r="O323" i="4" s="1"/>
  <c r="AY39" i="5"/>
  <c r="AD312" i="4" s="1"/>
  <c r="AE312" i="4" s="1"/>
  <c r="AX47" i="5"/>
  <c r="Z320" i="4" s="1"/>
  <c r="AA320" i="4" s="1"/>
  <c r="AW69" i="5"/>
  <c r="AW36" i="5"/>
  <c r="N309" i="4" s="1"/>
  <c r="O309" i="4" s="1"/>
  <c r="AX79" i="5"/>
  <c r="AX77" i="5"/>
  <c r="AY77" i="5"/>
  <c r="AW49" i="5"/>
  <c r="N322" i="4" s="1"/>
  <c r="O322" i="4" s="1"/>
  <c r="AX37" i="5"/>
  <c r="Z310" i="4" s="1"/>
  <c r="AA310" i="4" s="1"/>
  <c r="AY79" i="5"/>
  <c r="AY81" i="5"/>
  <c r="AX69" i="5"/>
  <c r="AY50" i="5"/>
  <c r="AD323" i="4" s="1"/>
  <c r="AE323" i="4" s="1"/>
  <c r="AY38" i="5"/>
  <c r="AD311" i="4" s="1"/>
  <c r="AE311" i="4" s="1"/>
  <c r="AX41" i="5"/>
  <c r="Z314" i="4" s="1"/>
  <c r="AA314" i="4" s="1"/>
  <c r="AW24" i="5"/>
  <c r="AX40" i="5"/>
  <c r="Z313" i="4" s="1"/>
  <c r="AA313" i="4" s="1"/>
  <c r="AY24" i="5"/>
  <c r="AW47" i="5"/>
  <c r="N320" i="4" s="1"/>
  <c r="O320" i="4" s="1"/>
  <c r="AW77" i="5"/>
  <c r="AX24" i="5"/>
  <c r="AW35" i="5"/>
  <c r="N308" i="4" s="1"/>
  <c r="AX51" i="5"/>
  <c r="Z324" i="4" s="1"/>
  <c r="AA324" i="4" s="1"/>
  <c r="AY48" i="5"/>
  <c r="AD321" i="4" s="1"/>
  <c r="AE321" i="4" s="1"/>
  <c r="AW38" i="5"/>
  <c r="N311" i="4" s="1"/>
  <c r="O311" i="4" s="1"/>
  <c r="AX46" i="5"/>
  <c r="Z319" i="4" s="1"/>
  <c r="AA319" i="4" s="1"/>
  <c r="AY43" i="5"/>
  <c r="AD316" i="4" s="1"/>
  <c r="AE316" i="4" s="1"/>
  <c r="AX35" i="5"/>
  <c r="Z308" i="4" s="1"/>
  <c r="AW81" i="5"/>
  <c r="AV54" i="5"/>
  <c r="J327" i="4" s="1"/>
  <c r="K327" i="4" s="1"/>
  <c r="AX54" i="5"/>
  <c r="Z327" i="4" s="1"/>
  <c r="AA327" i="4" s="1"/>
  <c r="AW52" i="5"/>
  <c r="N325" i="4" s="1"/>
  <c r="O325" i="4" s="1"/>
  <c r="AW44" i="5"/>
  <c r="N317" i="4" s="1"/>
  <c r="O317" i="4" s="1"/>
  <c r="AX49" i="5"/>
  <c r="Z322" i="4" s="1"/>
  <c r="AA322" i="4" s="1"/>
  <c r="AY36" i="5"/>
  <c r="AD309" i="4" s="1"/>
  <c r="AE309" i="4" s="1"/>
  <c r="AW21" i="5"/>
  <c r="AW79" i="5"/>
  <c r="AW54" i="5"/>
  <c r="N327" i="4" s="1"/>
  <c r="O327" i="4" s="1"/>
  <c r="AX81" i="5"/>
  <c r="AW53" i="5"/>
  <c r="N326" i="4" s="1"/>
  <c r="O326" i="4" s="1"/>
  <c r="AY47" i="5"/>
  <c r="AD320" i="4" s="1"/>
  <c r="AE320" i="4" s="1"/>
  <c r="AX52" i="5"/>
  <c r="Z325" i="4" s="1"/>
  <c r="AA325" i="4" s="1"/>
  <c r="AX21" i="5"/>
  <c r="AX36" i="5"/>
  <c r="Z309" i="4" s="1"/>
  <c r="AA309" i="4" s="1"/>
  <c r="AW42" i="5"/>
  <c r="N315" i="4" s="1"/>
  <c r="O315" i="4" s="1"/>
  <c r="AX50" i="5"/>
  <c r="Z323" i="4" s="1"/>
  <c r="AA323" i="4" s="1"/>
  <c r="AW39" i="5"/>
  <c r="N312" i="4" s="1"/>
  <c r="O312" i="4" s="1"/>
  <c r="AX43" i="5"/>
  <c r="Z316" i="4" s="1"/>
  <c r="AA316" i="4" s="1"/>
  <c r="AX45" i="5"/>
  <c r="Z318" i="4" s="1"/>
  <c r="AA318" i="4" s="1"/>
  <c r="AW40" i="5"/>
  <c r="N313" i="4" s="1"/>
  <c r="O313" i="4" s="1"/>
  <c r="AY80" i="5"/>
  <c r="AY37" i="5"/>
  <c r="AD310" i="4" s="1"/>
  <c r="AE310" i="4" s="1"/>
  <c r="AY45" i="5"/>
  <c r="AD318" i="4" s="1"/>
  <c r="AE318" i="4" s="1"/>
  <c r="AY51" i="5"/>
  <c r="AD324" i="4" s="1"/>
  <c r="AE324" i="4" s="1"/>
  <c r="AX38" i="5"/>
  <c r="Z311" i="4" s="1"/>
  <c r="AA311" i="4" s="1"/>
  <c r="AX44" i="5"/>
  <c r="Z317" i="4" s="1"/>
  <c r="AA317" i="4" s="1"/>
  <c r="AW45" i="5"/>
  <c r="N318" i="4" s="1"/>
  <c r="O318" i="4" s="1"/>
  <c r="AY54" i="5"/>
  <c r="AD327" i="4" s="1"/>
  <c r="AE327" i="4" s="1"/>
  <c r="AX42" i="5"/>
  <c r="Z315" i="4" s="1"/>
  <c r="AA315" i="4" s="1"/>
  <c r="AY49" i="5"/>
  <c r="AD322" i="4" s="1"/>
  <c r="AE322" i="4" s="1"/>
  <c r="AV21" i="5"/>
  <c r="AU37" i="5"/>
  <c r="V310" i="4" s="1"/>
  <c r="W310" i="4" s="1"/>
  <c r="AT51" i="5"/>
  <c r="R324" i="4" s="1"/>
  <c r="S324" i="4" s="1"/>
  <c r="AT35" i="5"/>
  <c r="R308" i="4" s="1"/>
  <c r="AU46" i="5"/>
  <c r="V319" i="4" s="1"/>
  <c r="W319" i="4" s="1"/>
  <c r="AU41" i="5"/>
  <c r="V314" i="4" s="1"/>
  <c r="W314" i="4" s="1"/>
  <c r="AT24" i="5"/>
  <c r="AV80" i="5"/>
  <c r="AU21" i="5"/>
  <c r="AT47" i="5"/>
  <c r="R320" i="4" s="1"/>
  <c r="S320" i="4" s="1"/>
  <c r="AT21" i="5"/>
  <c r="AV37" i="5"/>
  <c r="J310" i="4" s="1"/>
  <c r="K310" i="4" s="1"/>
  <c r="AT81" i="5"/>
  <c r="AV51" i="5"/>
  <c r="J324" i="4" s="1"/>
  <c r="K324" i="4" s="1"/>
  <c r="AT46" i="5"/>
  <c r="R319" i="4" s="1"/>
  <c r="S319" i="4" s="1"/>
  <c r="AU52" i="5"/>
  <c r="V325" i="4" s="1"/>
  <c r="W325" i="4" s="1"/>
  <c r="AT69" i="5"/>
  <c r="AU79" i="5"/>
  <c r="AV39" i="5"/>
  <c r="J312" i="4" s="1"/>
  <c r="K312" i="4" s="1"/>
  <c r="AT67" i="5"/>
  <c r="AU48" i="5"/>
  <c r="V321" i="4" s="1"/>
  <c r="W321" i="4" s="1"/>
  <c r="AV42" i="5"/>
  <c r="J315" i="4" s="1"/>
  <c r="K315" i="4" s="1"/>
  <c r="AT50" i="5"/>
  <c r="R323" i="4" s="1"/>
  <c r="S323" i="4" s="1"/>
  <c r="AT45" i="5"/>
  <c r="R318" i="4" s="1"/>
  <c r="S318" i="4" s="1"/>
  <c r="AU67" i="5"/>
  <c r="AT77" i="5"/>
  <c r="AU50" i="5"/>
  <c r="V323" i="4" s="1"/>
  <c r="W323" i="4" s="1"/>
  <c r="AU54" i="5"/>
  <c r="V327" i="4" s="1"/>
  <c r="W327" i="4" s="1"/>
  <c r="AV35" i="5"/>
  <c r="J308" i="4" s="1"/>
  <c r="AU38" i="5"/>
  <c r="V311" i="4" s="1"/>
  <c r="W311" i="4" s="1"/>
  <c r="AT53" i="5"/>
  <c r="R326" i="4" s="1"/>
  <c r="S326" i="4" s="1"/>
  <c r="AU80" i="5"/>
  <c r="AT41" i="5"/>
  <c r="R314" i="4" s="1"/>
  <c r="S314" i="4" s="1"/>
  <c r="AV79" i="5"/>
  <c r="AU49" i="5"/>
  <c r="V322" i="4" s="1"/>
  <c r="W322" i="4" s="1"/>
  <c r="AU45" i="5"/>
  <c r="V318" i="4" s="1"/>
  <c r="W318" i="4" s="1"/>
  <c r="AT48" i="5"/>
  <c r="R321" i="4" s="1"/>
  <c r="S321" i="4" s="1"/>
  <c r="AU77" i="5"/>
  <c r="AV43" i="5"/>
  <c r="J316" i="4" s="1"/>
  <c r="K316" i="4" s="1"/>
  <c r="AV46" i="5"/>
  <c r="J319" i="4" s="1"/>
  <c r="K319" i="4" s="1"/>
  <c r="AV81" i="5"/>
  <c r="AT38" i="5"/>
  <c r="R311" i="4" s="1"/>
  <c r="S311" i="4" s="1"/>
  <c r="AT54" i="5"/>
  <c r="R327" i="4" s="1"/>
  <c r="S327" i="4" s="1"/>
  <c r="AV52" i="5"/>
  <c r="J325" i="4" s="1"/>
  <c r="K325" i="4" s="1"/>
  <c r="AV69" i="5"/>
  <c r="AV41" i="5"/>
  <c r="J314" i="4" s="1"/>
  <c r="K314" i="4" s="1"/>
  <c r="AU36" i="5"/>
  <c r="V309" i="4" s="1"/>
  <c r="W309" i="4" s="1"/>
  <c r="AU44" i="5"/>
  <c r="V317" i="4" s="1"/>
  <c r="W317" i="4" s="1"/>
  <c r="AT49" i="5"/>
  <c r="R322" i="4" s="1"/>
  <c r="S322" i="4" s="1"/>
  <c r="AV45" i="5"/>
  <c r="J318" i="4" s="1"/>
  <c r="K318" i="4" s="1"/>
  <c r="AV67" i="5"/>
  <c r="AV48" i="5"/>
  <c r="J321" i="4" s="1"/>
  <c r="K321" i="4" s="1"/>
  <c r="AU40" i="5"/>
  <c r="V313" i="4" s="1"/>
  <c r="W313" i="4" s="1"/>
  <c r="AU81" i="5"/>
  <c r="AT52" i="5"/>
  <c r="R325" i="4" s="1"/>
  <c r="S325" i="4" s="1"/>
  <c r="AV47" i="5"/>
  <c r="J320" i="4" s="1"/>
  <c r="K320" i="4" s="1"/>
  <c r="AU69" i="5"/>
  <c r="AU53" i="5"/>
  <c r="V326" i="4" s="1"/>
  <c r="W326" i="4" s="1"/>
  <c r="AT43" i="5"/>
  <c r="R316" i="4" s="1"/>
  <c r="S316" i="4" s="1"/>
  <c r="AT36" i="5"/>
  <c r="R309" i="4" s="1"/>
  <c r="S309" i="4" s="1"/>
  <c r="AV49" i="5"/>
  <c r="J322" i="4" s="1"/>
  <c r="K322" i="4" s="1"/>
  <c r="AV24" i="5"/>
  <c r="AV77" i="5"/>
  <c r="AT79" i="5"/>
  <c r="AV38" i="5"/>
  <c r="J311" i="4" s="1"/>
  <c r="K311" i="4" s="1"/>
  <c r="AV53" i="5"/>
  <c r="J326" i="4" s="1"/>
  <c r="K326" i="4" s="1"/>
  <c r="AV36" i="5"/>
  <c r="J309" i="4" s="1"/>
  <c r="K309" i="4" s="1"/>
  <c r="AT44" i="5"/>
  <c r="R317" i="4" s="1"/>
  <c r="S317" i="4" s="1"/>
  <c r="AU39" i="5"/>
  <c r="V312" i="4" s="1"/>
  <c r="W312" i="4" s="1"/>
  <c r="AT42" i="5"/>
  <c r="R315" i="4" s="1"/>
  <c r="S315" i="4" s="1"/>
  <c r="AT40" i="5"/>
  <c r="R313" i="4" s="1"/>
  <c r="S313" i="4" s="1"/>
  <c r="AV50" i="5"/>
  <c r="J323" i="4" s="1"/>
  <c r="K323" i="4" s="1"/>
  <c r="AU35" i="5"/>
  <c r="V308" i="4" s="1"/>
  <c r="AT80" i="5"/>
  <c r="AT37" i="5"/>
  <c r="R310" i="4" s="1"/>
  <c r="S310" i="4" s="1"/>
  <c r="AU51" i="5"/>
  <c r="V324" i="4" s="1"/>
  <c r="W324" i="4" s="1"/>
  <c r="AU43" i="5"/>
  <c r="V316" i="4" s="1"/>
  <c r="W316" i="4" s="1"/>
  <c r="AU47" i="5"/>
  <c r="V320" i="4" s="1"/>
  <c r="W320" i="4" s="1"/>
  <c r="AV44" i="5"/>
  <c r="J317" i="4" s="1"/>
  <c r="K317" i="4" s="1"/>
  <c r="AT39" i="5"/>
  <c r="R312" i="4" s="1"/>
  <c r="S312" i="4" s="1"/>
  <c r="AU24" i="5"/>
  <c r="AU42" i="5"/>
  <c r="V315" i="4" s="1"/>
  <c r="W315" i="4" s="1"/>
  <c r="AV40" i="5"/>
  <c r="J313" i="4" s="1"/>
  <c r="K313" i="4" s="1"/>
  <c r="AD72" i="4"/>
  <c r="AD74" i="4"/>
  <c r="AE74" i="4" s="1"/>
  <c r="AD78" i="4"/>
  <c r="AE78" i="4" s="1"/>
  <c r="AD79" i="4"/>
  <c r="AE79" i="4" s="1"/>
  <c r="AD80" i="4"/>
  <c r="AE80" i="4" s="1"/>
  <c r="AD81" i="4"/>
  <c r="AD82" i="4"/>
  <c r="AE82" i="4" s="1"/>
  <c r="AD83" i="4"/>
  <c r="AE83" i="4" s="1"/>
  <c r="AD84" i="4"/>
  <c r="AE84" i="4" s="1"/>
  <c r="AD85" i="4"/>
  <c r="AE85" i="4" s="1"/>
  <c r="AD86" i="4"/>
  <c r="AE86" i="4" s="1"/>
  <c r="AD87" i="4"/>
  <c r="AE87" i="4" s="1"/>
  <c r="AD98" i="4"/>
  <c r="AD100" i="4"/>
  <c r="AE100" i="4" s="1"/>
  <c r="AD108" i="4"/>
  <c r="AE108" i="4" s="1"/>
  <c r="AD109" i="4"/>
  <c r="AE109" i="4" s="1"/>
  <c r="AD110" i="4"/>
  <c r="AE110" i="4" s="1"/>
  <c r="AD111" i="4"/>
  <c r="AE111" i="4" s="1"/>
  <c r="AD112" i="4"/>
  <c r="AE112" i="4" s="1"/>
  <c r="AD113" i="4"/>
  <c r="AE113" i="4" s="1"/>
  <c r="AD114" i="4"/>
  <c r="AE114" i="4" s="1"/>
  <c r="AD115" i="4"/>
  <c r="AE115" i="4" s="1"/>
  <c r="AD116" i="4"/>
  <c r="AE116" i="4" s="1"/>
  <c r="AD117" i="4"/>
  <c r="AE117" i="4" s="1"/>
  <c r="AD138" i="4"/>
  <c r="AD145" i="4"/>
  <c r="AE145" i="4" s="1"/>
  <c r="AD146" i="4"/>
  <c r="AE146" i="4" s="1"/>
  <c r="AE187" i="4"/>
  <c r="AA188" i="4"/>
  <c r="AE188" i="4"/>
  <c r="AA189" i="4"/>
  <c r="AE189" i="4"/>
  <c r="AA190" i="4"/>
  <c r="AE190" i="4"/>
  <c r="AA191" i="4"/>
  <c r="AE191" i="4"/>
  <c r="AA192" i="4"/>
  <c r="AE192" i="4"/>
  <c r="AA193" i="4"/>
  <c r="AE193" i="4"/>
  <c r="AA194" i="4"/>
  <c r="AE194" i="4"/>
  <c r="AA195" i="4"/>
  <c r="AE195" i="4"/>
  <c r="AA196" i="4"/>
  <c r="AE196" i="4"/>
  <c r="AA197" i="4"/>
  <c r="AE197" i="4"/>
  <c r="AA198" i="4"/>
  <c r="AE198" i="4"/>
  <c r="AA199" i="4"/>
  <c r="AA200" i="4"/>
  <c r="AE200" i="4"/>
  <c r="AA201" i="4"/>
  <c r="AE201" i="4"/>
  <c r="AE202" i="4"/>
  <c r="AA203" i="4"/>
  <c r="AE203" i="4"/>
  <c r="AA204" i="4"/>
  <c r="AE204" i="4"/>
  <c r="AA205" i="4"/>
  <c r="AE205" i="4"/>
  <c r="AA206" i="4"/>
  <c r="AE206" i="4"/>
  <c r="AA207" i="4"/>
  <c r="AE207" i="4"/>
  <c r="AE243" i="4"/>
  <c r="AE244" i="4"/>
  <c r="AE245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73" i="4"/>
  <c r="AE274" i="4"/>
  <c r="AE275" i="4"/>
  <c r="AE277" i="4"/>
  <c r="AE278" i="4"/>
  <c r="AE279" i="4"/>
  <c r="AE280" i="4"/>
  <c r="AE281" i="4"/>
  <c r="AE282" i="4"/>
  <c r="AE283" i="4"/>
  <c r="AE284" i="4"/>
  <c r="AE286" i="4"/>
  <c r="AE287" i="4"/>
  <c r="AE288" i="4"/>
  <c r="AE290" i="4"/>
  <c r="AE291" i="4"/>
  <c r="AE292" i="4"/>
  <c r="AE293" i="4"/>
  <c r="AE294" i="4"/>
  <c r="AE295" i="4"/>
  <c r="AE296" i="4"/>
  <c r="AE297" i="4"/>
  <c r="AF150" i="4" l="1"/>
  <c r="AF149" i="4"/>
  <c r="AB322" i="4"/>
  <c r="L310" i="4"/>
  <c r="P325" i="4"/>
  <c r="AB320" i="4"/>
  <c r="AB308" i="4"/>
  <c r="AB314" i="4"/>
  <c r="AF326" i="4"/>
  <c r="AF325" i="4"/>
  <c r="AF327" i="4"/>
  <c r="P315" i="4"/>
  <c r="P311" i="4"/>
  <c r="P317" i="4"/>
  <c r="L307" i="4"/>
  <c r="L322" i="4"/>
  <c r="AB312" i="4"/>
  <c r="AB325" i="4"/>
  <c r="AB310" i="4"/>
  <c r="AF318" i="4"/>
  <c r="AF322" i="4"/>
  <c r="AF320" i="4"/>
  <c r="P307" i="4"/>
  <c r="P313" i="4"/>
  <c r="P309" i="4"/>
  <c r="L321" i="4"/>
  <c r="L328" i="4"/>
  <c r="AB328" i="4"/>
  <c r="AF314" i="4"/>
  <c r="L319" i="4"/>
  <c r="AB319" i="4"/>
  <c r="AB315" i="4"/>
  <c r="AB321" i="4"/>
  <c r="AF309" i="4"/>
  <c r="AF308" i="4"/>
  <c r="P320" i="4"/>
  <c r="P318" i="4"/>
  <c r="L317" i="4"/>
  <c r="L314" i="4"/>
  <c r="L311" i="4"/>
  <c r="AB317" i="4"/>
  <c r="L313" i="4"/>
  <c r="AF148" i="4"/>
  <c r="AF68" i="4"/>
  <c r="AF76" i="4"/>
  <c r="AF84" i="4"/>
  <c r="AF81" i="4"/>
  <c r="AF69" i="4"/>
  <c r="AF77" i="4"/>
  <c r="AF85" i="4"/>
  <c r="AF87" i="4"/>
  <c r="AF73" i="4"/>
  <c r="AF70" i="4"/>
  <c r="AF78" i="4"/>
  <c r="AF86" i="4"/>
  <c r="AF72" i="4"/>
  <c r="AF71" i="4"/>
  <c r="AF79" i="4"/>
  <c r="AF88" i="4"/>
  <c r="AF74" i="4"/>
  <c r="AF82" i="4"/>
  <c r="AF67" i="4"/>
  <c r="AF75" i="4"/>
  <c r="AF83" i="4"/>
  <c r="AF80" i="4"/>
  <c r="T308" i="4"/>
  <c r="T310" i="4"/>
  <c r="T313" i="4"/>
  <c r="T316" i="4"/>
  <c r="T318" i="4"/>
  <c r="T314" i="4"/>
  <c r="T324" i="4"/>
  <c r="T326" i="4"/>
  <c r="T322" i="4"/>
  <c r="T317" i="4"/>
  <c r="T323" i="4"/>
  <c r="T309" i="4"/>
  <c r="T320" i="4"/>
  <c r="T307" i="4"/>
  <c r="T311" i="4"/>
  <c r="T312" i="4"/>
  <c r="T328" i="4"/>
  <c r="T319" i="4"/>
  <c r="T321" i="4"/>
  <c r="T327" i="4"/>
  <c r="T315" i="4"/>
  <c r="T325" i="4"/>
  <c r="AB311" i="4"/>
  <c r="AB307" i="4"/>
  <c r="AB313" i="4"/>
  <c r="AF324" i="4"/>
  <c r="AF321" i="4"/>
  <c r="P324" i="4"/>
  <c r="P312" i="4"/>
  <c r="P310" i="4"/>
  <c r="L309" i="4"/>
  <c r="L327" i="4"/>
  <c r="L323" i="4"/>
  <c r="L325" i="4"/>
  <c r="AB318" i="4"/>
  <c r="AB326" i="4"/>
  <c r="AF328" i="4"/>
  <c r="AF323" i="4"/>
  <c r="AF313" i="4"/>
  <c r="P316" i="4"/>
  <c r="P314" i="4"/>
  <c r="P322" i="4"/>
  <c r="L324" i="4"/>
  <c r="L320" i="4"/>
  <c r="L326" i="4"/>
  <c r="P326" i="4"/>
  <c r="AB324" i="4"/>
  <c r="AB309" i="4"/>
  <c r="AF319" i="4"/>
  <c r="AF315" i="4"/>
  <c r="AF317" i="4"/>
  <c r="P308" i="4"/>
  <c r="P328" i="4"/>
  <c r="P321" i="4"/>
  <c r="L316" i="4"/>
  <c r="L312" i="4"/>
  <c r="L318" i="4"/>
  <c r="AF100" i="4"/>
  <c r="AF108" i="4"/>
  <c r="AF116" i="4"/>
  <c r="AF101" i="4"/>
  <c r="AF109" i="4"/>
  <c r="AF118" i="4"/>
  <c r="AF102" i="4"/>
  <c r="AF110" i="4"/>
  <c r="AF117" i="4"/>
  <c r="AF112" i="4"/>
  <c r="AF105" i="4"/>
  <c r="AF103" i="4"/>
  <c r="AF111" i="4"/>
  <c r="AF104" i="4"/>
  <c r="AF98" i="4"/>
  <c r="AF106" i="4"/>
  <c r="AF114" i="4"/>
  <c r="AF113" i="4"/>
  <c r="AF99" i="4"/>
  <c r="AF107" i="4"/>
  <c r="AF115" i="4"/>
  <c r="AF97" i="4"/>
  <c r="AB323" i="4"/>
  <c r="AF310" i="4"/>
  <c r="AF312" i="4"/>
  <c r="P327" i="4"/>
  <c r="W308" i="4"/>
  <c r="X323" i="4"/>
  <c r="X325" i="4"/>
  <c r="X311" i="4"/>
  <c r="X313" i="4"/>
  <c r="X314" i="4"/>
  <c r="X310" i="4"/>
  <c r="X318" i="4"/>
  <c r="X324" i="4"/>
  <c r="X319" i="4"/>
  <c r="X322" i="4"/>
  <c r="X308" i="4"/>
  <c r="X312" i="4"/>
  <c r="X326" i="4"/>
  <c r="X316" i="4"/>
  <c r="X320" i="4"/>
  <c r="X328" i="4"/>
  <c r="X307" i="4"/>
  <c r="X309" i="4"/>
  <c r="X321" i="4"/>
  <c r="X327" i="4"/>
  <c r="X315" i="4"/>
  <c r="X317" i="4"/>
  <c r="AB327" i="4"/>
  <c r="AB316" i="4"/>
  <c r="AF311" i="4"/>
  <c r="AF307" i="4"/>
  <c r="AF316" i="4"/>
  <c r="P323" i="4"/>
  <c r="P319" i="4"/>
  <c r="L308" i="4"/>
  <c r="L315" i="4"/>
  <c r="S308" i="4"/>
  <c r="O308" i="4"/>
  <c r="AA308" i="4"/>
  <c r="K308" i="4"/>
  <c r="AF139" i="4"/>
  <c r="AF136" i="4"/>
  <c r="AE138" i="4"/>
  <c r="AF128" i="4"/>
  <c r="AF144" i="4"/>
  <c r="AF129" i="4"/>
  <c r="AF137" i="4"/>
  <c r="AF145" i="4"/>
  <c r="AF130" i="4"/>
  <c r="AF138" i="4"/>
  <c r="AF146" i="4"/>
  <c r="AF131" i="4"/>
  <c r="AF147" i="4"/>
  <c r="AF132" i="4"/>
  <c r="AF140" i="4"/>
  <c r="AF133" i="4"/>
  <c r="AF141" i="4"/>
  <c r="AF134" i="4"/>
  <c r="AF142" i="4"/>
  <c r="AF127" i="4"/>
  <c r="AF135" i="4"/>
  <c r="AF143" i="4"/>
  <c r="AE72" i="4"/>
  <c r="AE98" i="4"/>
  <c r="AE199" i="4"/>
  <c r="AE242" i="4"/>
  <c r="AA202" i="4"/>
  <c r="AE81" i="4"/>
  <c r="AE272" i="4"/>
  <c r="AE285" i="4"/>
  <c r="AA257" i="3"/>
  <c r="Z257" i="3"/>
  <c r="Y257" i="3"/>
  <c r="X257" i="3"/>
  <c r="W257" i="3"/>
  <c r="AB254" i="3"/>
  <c r="AB253" i="3"/>
  <c r="AB252" i="3"/>
  <c r="AB251" i="3"/>
  <c r="AB250" i="3"/>
  <c r="AB249" i="3"/>
  <c r="AB248" i="3"/>
  <c r="AB247" i="3"/>
  <c r="AB246" i="3"/>
  <c r="AB245" i="3"/>
  <c r="AB244" i="3"/>
  <c r="AB243" i="3"/>
  <c r="AB242" i="3"/>
  <c r="AB241" i="3"/>
  <c r="AB240" i="3"/>
  <c r="AB239" i="3"/>
  <c r="AB238" i="3"/>
  <c r="AB237" i="3"/>
  <c r="AB236" i="3"/>
  <c r="AB235" i="3"/>
  <c r="AB234" i="3"/>
  <c r="AB233" i="3"/>
  <c r="AB232" i="3"/>
  <c r="AB231" i="3"/>
  <c r="AB230" i="3"/>
  <c r="AB229" i="3"/>
  <c r="U193" i="3"/>
  <c r="V193" i="3"/>
  <c r="X225" i="3"/>
  <c r="W225" i="3"/>
  <c r="AB222" i="3"/>
  <c r="AB221" i="3"/>
  <c r="AB220" i="3"/>
  <c r="AB219" i="3"/>
  <c r="AB218" i="3"/>
  <c r="AB217" i="3"/>
  <c r="AB216" i="3"/>
  <c r="AB215" i="3"/>
  <c r="AB214" i="3"/>
  <c r="AB213" i="3"/>
  <c r="AB212" i="3"/>
  <c r="AB211" i="3"/>
  <c r="AB210" i="3"/>
  <c r="AB209" i="3"/>
  <c r="AB208" i="3"/>
  <c r="AB207" i="3"/>
  <c r="AB206" i="3"/>
  <c r="AB205" i="3"/>
  <c r="AB204" i="3"/>
  <c r="AB203" i="3"/>
  <c r="AB202" i="3"/>
  <c r="AB201" i="3"/>
  <c r="AB200" i="3"/>
  <c r="AB199" i="3"/>
  <c r="AB198" i="3"/>
  <c r="AB197" i="3"/>
  <c r="X193" i="3"/>
  <c r="W193" i="3"/>
  <c r="AB190" i="3"/>
  <c r="AB189" i="3"/>
  <c r="AB188" i="3"/>
  <c r="AB187" i="3"/>
  <c r="AB186" i="3"/>
  <c r="AB185" i="3"/>
  <c r="AB184" i="3"/>
  <c r="AB183" i="3"/>
  <c r="AB182" i="3"/>
  <c r="AB181" i="3"/>
  <c r="AB180" i="3"/>
  <c r="AB179" i="3"/>
  <c r="AB178" i="3"/>
  <c r="AB177" i="3"/>
  <c r="AB176" i="3"/>
  <c r="AB175" i="3"/>
  <c r="AB174" i="3"/>
  <c r="AB173" i="3"/>
  <c r="AB172" i="3"/>
  <c r="AB171" i="3"/>
  <c r="AB170" i="3"/>
  <c r="AB169" i="3"/>
  <c r="AB168" i="3"/>
  <c r="AB167" i="3"/>
  <c r="AB166" i="3"/>
  <c r="AB165" i="3"/>
  <c r="AA161" i="3"/>
  <c r="Z161" i="3"/>
  <c r="Y161" i="3"/>
  <c r="W161" i="3"/>
  <c r="AB158" i="3"/>
  <c r="AB157" i="3"/>
  <c r="AB156" i="3"/>
  <c r="AB155" i="3"/>
  <c r="AB154" i="3"/>
  <c r="AB153" i="3"/>
  <c r="AB152" i="3"/>
  <c r="AB151" i="3"/>
  <c r="AB150" i="3"/>
  <c r="AB149" i="3"/>
  <c r="AB148" i="3"/>
  <c r="AB147" i="3"/>
  <c r="AB146" i="3"/>
  <c r="AB145" i="3"/>
  <c r="AB144" i="3"/>
  <c r="AB143" i="3"/>
  <c r="AB142" i="3"/>
  <c r="AB141" i="3"/>
  <c r="AB140" i="3"/>
  <c r="AB139" i="3"/>
  <c r="AB138" i="3"/>
  <c r="AB137" i="3"/>
  <c r="AB136" i="3"/>
  <c r="AB135" i="3"/>
  <c r="AB134" i="3"/>
  <c r="AB133" i="3"/>
  <c r="AB257" i="3" l="1"/>
  <c r="AA258" i="3" s="1"/>
  <c r="AB225" i="3"/>
  <c r="S226" i="3" s="1"/>
  <c r="AB193" i="3"/>
  <c r="S194" i="3" s="1"/>
  <c r="AB161" i="3"/>
  <c r="X162" i="3" s="1"/>
  <c r="AB126" i="3"/>
  <c r="AB125" i="3"/>
  <c r="AB124" i="3"/>
  <c r="AB123" i="3"/>
  <c r="AB122" i="3"/>
  <c r="AB121" i="3"/>
  <c r="AB120" i="3"/>
  <c r="AB119" i="3"/>
  <c r="AB118" i="3"/>
  <c r="AB117" i="3"/>
  <c r="AB116" i="3"/>
  <c r="AB115" i="3"/>
  <c r="AB114" i="3"/>
  <c r="AB113" i="3"/>
  <c r="AB112" i="3"/>
  <c r="AB111" i="3"/>
  <c r="AB110" i="3"/>
  <c r="AB109" i="3"/>
  <c r="AB108" i="3"/>
  <c r="AB107" i="3"/>
  <c r="AB106" i="3"/>
  <c r="AB105" i="3"/>
  <c r="AB104" i="3"/>
  <c r="AB103" i="3"/>
  <c r="AB102" i="3"/>
  <c r="AB101" i="3"/>
  <c r="W97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M254" i="3"/>
  <c r="AD254" i="3" s="1"/>
  <c r="M253" i="3"/>
  <c r="AD253" i="3" s="1"/>
  <c r="M252" i="3"/>
  <c r="AD252" i="3" s="1"/>
  <c r="M251" i="3"/>
  <c r="AD251" i="3" s="1"/>
  <c r="M250" i="3"/>
  <c r="AD250" i="3" s="1"/>
  <c r="M249" i="3"/>
  <c r="AD249" i="3" s="1"/>
  <c r="M248" i="3"/>
  <c r="AD248" i="3" s="1"/>
  <c r="M247" i="3"/>
  <c r="AD247" i="3" s="1"/>
  <c r="M246" i="3"/>
  <c r="AD246" i="3" s="1"/>
  <c r="M245" i="3"/>
  <c r="AD245" i="3" s="1"/>
  <c r="M244" i="3"/>
  <c r="AD244" i="3" s="1"/>
  <c r="M243" i="3"/>
  <c r="AD243" i="3" s="1"/>
  <c r="M242" i="3"/>
  <c r="AD242" i="3" s="1"/>
  <c r="M241" i="3"/>
  <c r="AD241" i="3" s="1"/>
  <c r="M240" i="3"/>
  <c r="AD240" i="3" s="1"/>
  <c r="M239" i="3"/>
  <c r="AD239" i="3" s="1"/>
  <c r="M238" i="3"/>
  <c r="AD238" i="3" s="1"/>
  <c r="M237" i="3"/>
  <c r="AD237" i="3" s="1"/>
  <c r="M236" i="3"/>
  <c r="AD236" i="3" s="1"/>
  <c r="M235" i="3"/>
  <c r="AD235" i="3" s="1"/>
  <c r="M234" i="3"/>
  <c r="AD234" i="3" s="1"/>
  <c r="M233" i="3"/>
  <c r="AD233" i="3" s="1"/>
  <c r="M232" i="3"/>
  <c r="AD232" i="3" s="1"/>
  <c r="M231" i="3"/>
  <c r="AD231" i="3" s="1"/>
  <c r="M230" i="3"/>
  <c r="AD230" i="3" s="1"/>
  <c r="M229" i="3"/>
  <c r="AD229" i="3" s="1"/>
  <c r="M222" i="3"/>
  <c r="AD222" i="3" s="1"/>
  <c r="M221" i="3"/>
  <c r="AD221" i="3" s="1"/>
  <c r="M220" i="3"/>
  <c r="M219" i="3"/>
  <c r="AD219" i="3" s="1"/>
  <c r="M218" i="3"/>
  <c r="AD218" i="3" s="1"/>
  <c r="M217" i="3"/>
  <c r="AD217" i="3" s="1"/>
  <c r="M216" i="3"/>
  <c r="AD216" i="3" s="1"/>
  <c r="M215" i="3"/>
  <c r="AD215" i="3" s="1"/>
  <c r="M214" i="3"/>
  <c r="AD214" i="3" s="1"/>
  <c r="M213" i="3"/>
  <c r="AD213" i="3" s="1"/>
  <c r="M212" i="3"/>
  <c r="AD212" i="3" s="1"/>
  <c r="M211" i="3"/>
  <c r="AD211" i="3" s="1"/>
  <c r="M210" i="3"/>
  <c r="AD210" i="3" s="1"/>
  <c r="M209" i="3"/>
  <c r="AD209" i="3" s="1"/>
  <c r="M208" i="3"/>
  <c r="AD208" i="3" s="1"/>
  <c r="M207" i="3"/>
  <c r="AD207" i="3" s="1"/>
  <c r="M206" i="3"/>
  <c r="AD206" i="3" s="1"/>
  <c r="M205" i="3"/>
  <c r="AD205" i="3" s="1"/>
  <c r="M204" i="3"/>
  <c r="AD204" i="3" s="1"/>
  <c r="M203" i="3"/>
  <c r="AD203" i="3" s="1"/>
  <c r="M202" i="3"/>
  <c r="AD202" i="3" s="1"/>
  <c r="M201" i="3"/>
  <c r="AD201" i="3" s="1"/>
  <c r="M200" i="3"/>
  <c r="AD200" i="3" s="1"/>
  <c r="M199" i="3"/>
  <c r="AD199" i="3" s="1"/>
  <c r="M198" i="3"/>
  <c r="AD198" i="3" s="1"/>
  <c r="M197" i="3"/>
  <c r="AD197" i="3" s="1"/>
  <c r="M165" i="3"/>
  <c r="AD165" i="3" s="1"/>
  <c r="M166" i="3"/>
  <c r="AD166" i="3" s="1"/>
  <c r="M167" i="3"/>
  <c r="AD167" i="3" s="1"/>
  <c r="M168" i="3"/>
  <c r="AD168" i="3" s="1"/>
  <c r="M169" i="3"/>
  <c r="AD169" i="3" s="1"/>
  <c r="M170" i="3"/>
  <c r="AD170" i="3" s="1"/>
  <c r="M171" i="3"/>
  <c r="AD171" i="3" s="1"/>
  <c r="M172" i="3"/>
  <c r="AD172" i="3" s="1"/>
  <c r="M173" i="3"/>
  <c r="AD173" i="3" s="1"/>
  <c r="M174" i="3"/>
  <c r="AD174" i="3" s="1"/>
  <c r="M175" i="3"/>
  <c r="AD175" i="3" s="1"/>
  <c r="M176" i="3"/>
  <c r="AD176" i="3" s="1"/>
  <c r="M177" i="3"/>
  <c r="AD177" i="3" s="1"/>
  <c r="M178" i="3"/>
  <c r="AD178" i="3" s="1"/>
  <c r="M179" i="3"/>
  <c r="AD179" i="3" s="1"/>
  <c r="M180" i="3"/>
  <c r="AD180" i="3" s="1"/>
  <c r="M181" i="3"/>
  <c r="AD181" i="3" s="1"/>
  <c r="M182" i="3"/>
  <c r="AD182" i="3" s="1"/>
  <c r="M183" i="3"/>
  <c r="AD183" i="3" s="1"/>
  <c r="M184" i="3"/>
  <c r="AD184" i="3" s="1"/>
  <c r="M185" i="3"/>
  <c r="AD185" i="3" s="1"/>
  <c r="M186" i="3"/>
  <c r="AD186" i="3" s="1"/>
  <c r="M187" i="3"/>
  <c r="AD187" i="3" s="1"/>
  <c r="M188" i="3"/>
  <c r="AD188" i="3" s="1"/>
  <c r="M189" i="3"/>
  <c r="AD189" i="3" s="1"/>
  <c r="M190" i="3"/>
  <c r="AD190" i="3" s="1"/>
  <c r="M133" i="3"/>
  <c r="AD133" i="3" s="1"/>
  <c r="M134" i="3"/>
  <c r="AD134" i="3" s="1"/>
  <c r="M135" i="3"/>
  <c r="AD135" i="3" s="1"/>
  <c r="M136" i="3"/>
  <c r="AD136" i="3" s="1"/>
  <c r="M137" i="3"/>
  <c r="AD137" i="3" s="1"/>
  <c r="M138" i="3"/>
  <c r="AD138" i="3" s="1"/>
  <c r="M139" i="3"/>
  <c r="AD139" i="3" s="1"/>
  <c r="M140" i="3"/>
  <c r="AD140" i="3" s="1"/>
  <c r="M141" i="3"/>
  <c r="AD141" i="3" s="1"/>
  <c r="M142" i="3"/>
  <c r="AD142" i="3" s="1"/>
  <c r="M143" i="3"/>
  <c r="AD143" i="3" s="1"/>
  <c r="M144" i="3"/>
  <c r="AD144" i="3" s="1"/>
  <c r="M145" i="3"/>
  <c r="AD145" i="3" s="1"/>
  <c r="M146" i="3"/>
  <c r="AD146" i="3" s="1"/>
  <c r="M147" i="3"/>
  <c r="AD147" i="3" s="1"/>
  <c r="M148" i="3"/>
  <c r="AD148" i="3" s="1"/>
  <c r="M149" i="3"/>
  <c r="AD149" i="3" s="1"/>
  <c r="M150" i="3"/>
  <c r="AD150" i="3" s="1"/>
  <c r="M151" i="3"/>
  <c r="AD151" i="3" s="1"/>
  <c r="M152" i="3"/>
  <c r="AD152" i="3" s="1"/>
  <c r="M153" i="3"/>
  <c r="AD153" i="3" s="1"/>
  <c r="M154" i="3"/>
  <c r="AD154" i="3" s="1"/>
  <c r="M155" i="3"/>
  <c r="AD155" i="3" s="1"/>
  <c r="M156" i="3"/>
  <c r="AD156" i="3" s="1"/>
  <c r="M157" i="3"/>
  <c r="AD157" i="3" s="1"/>
  <c r="M158" i="3"/>
  <c r="AD158" i="3" s="1"/>
  <c r="M101" i="3"/>
  <c r="M102" i="3"/>
  <c r="M103" i="3"/>
  <c r="AD103" i="3" s="1"/>
  <c r="M104" i="3"/>
  <c r="M105" i="3"/>
  <c r="M106" i="3"/>
  <c r="M107" i="3"/>
  <c r="AD107" i="3" s="1"/>
  <c r="M108" i="3"/>
  <c r="M109" i="3"/>
  <c r="M110" i="3"/>
  <c r="M111" i="3"/>
  <c r="AD111" i="3" s="1"/>
  <c r="M112" i="3"/>
  <c r="M113" i="3"/>
  <c r="M114" i="3"/>
  <c r="M115" i="3"/>
  <c r="AD115" i="3" s="1"/>
  <c r="M116" i="3"/>
  <c r="M117" i="3"/>
  <c r="M118" i="3"/>
  <c r="M119" i="3"/>
  <c r="AD119" i="3" s="1"/>
  <c r="M120" i="3"/>
  <c r="M121" i="3"/>
  <c r="M122" i="3"/>
  <c r="M123" i="3"/>
  <c r="AD123" i="3" s="1"/>
  <c r="M124" i="3"/>
  <c r="M125" i="3"/>
  <c r="M126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37" i="3"/>
  <c r="M38" i="3"/>
  <c r="M39" i="3"/>
  <c r="M40" i="3"/>
  <c r="M41" i="3"/>
  <c r="M42" i="3"/>
  <c r="M43" i="3"/>
  <c r="M44" i="3"/>
  <c r="AD44" i="3" s="1"/>
  <c r="M45" i="3"/>
  <c r="M46" i="3"/>
  <c r="M47" i="3"/>
  <c r="M48" i="3"/>
  <c r="M49" i="3"/>
  <c r="M50" i="3"/>
  <c r="M51" i="3"/>
  <c r="M52" i="3"/>
  <c r="AD52" i="3" s="1"/>
  <c r="M53" i="3"/>
  <c r="M54" i="3"/>
  <c r="M55" i="3"/>
  <c r="M56" i="3"/>
  <c r="M57" i="3"/>
  <c r="M58" i="3"/>
  <c r="M59" i="3"/>
  <c r="M60" i="3"/>
  <c r="AD60" i="3" s="1"/>
  <c r="M61" i="3"/>
  <c r="M62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AD17" i="3" s="1"/>
  <c r="M18" i="3"/>
  <c r="M19" i="3"/>
  <c r="M20" i="3"/>
  <c r="M21" i="3"/>
  <c r="M22" i="3"/>
  <c r="M23" i="3"/>
  <c r="M24" i="3"/>
  <c r="M25" i="3"/>
  <c r="AD25" i="3" s="1"/>
  <c r="M26" i="3"/>
  <c r="M27" i="3"/>
  <c r="M28" i="3"/>
  <c r="M29" i="3"/>
  <c r="AD29" i="3" s="1"/>
  <c r="M30" i="3"/>
  <c r="AD30" i="3" s="1"/>
  <c r="H97" i="3"/>
  <c r="G97" i="3"/>
  <c r="E97" i="3"/>
  <c r="E65" i="3"/>
  <c r="G65" i="3"/>
  <c r="AD89" i="3" l="1"/>
  <c r="AD81" i="3"/>
  <c r="AD28" i="3"/>
  <c r="AD20" i="3"/>
  <c r="AD85" i="3"/>
  <c r="AD93" i="3"/>
  <c r="AD57" i="3"/>
  <c r="AD49" i="3"/>
  <c r="AD41" i="3"/>
  <c r="AD125" i="3"/>
  <c r="AD117" i="3"/>
  <c r="AD109" i="3"/>
  <c r="AD101" i="3"/>
  <c r="AD61" i="3"/>
  <c r="AD53" i="3"/>
  <c r="AD45" i="3"/>
  <c r="AD37" i="3"/>
  <c r="AD87" i="3"/>
  <c r="AD79" i="3"/>
  <c r="AD71" i="3"/>
  <c r="AD121" i="3"/>
  <c r="AD113" i="3"/>
  <c r="AD105" i="3"/>
  <c r="AD77" i="3"/>
  <c r="AD69" i="3"/>
  <c r="AD73" i="3"/>
  <c r="AD24" i="3"/>
  <c r="AD16" i="3"/>
  <c r="AD8" i="3"/>
  <c r="AD124" i="3"/>
  <c r="AD116" i="3"/>
  <c r="AD108" i="3"/>
  <c r="AD88" i="3"/>
  <c r="AD80" i="3"/>
  <c r="AD72" i="3"/>
  <c r="AD59" i="3"/>
  <c r="AD51" i="3"/>
  <c r="AD43" i="3"/>
  <c r="AD92" i="3"/>
  <c r="AD84" i="3"/>
  <c r="AD76" i="3"/>
  <c r="AD56" i="3"/>
  <c r="AD48" i="3"/>
  <c r="AD40" i="3"/>
  <c r="AD12" i="3"/>
  <c r="W258" i="3"/>
  <c r="AD120" i="3"/>
  <c r="AD112" i="3"/>
  <c r="AD104" i="3"/>
  <c r="AD91" i="3"/>
  <c r="AD83" i="3"/>
  <c r="AD75" i="3"/>
  <c r="AD55" i="3"/>
  <c r="AD47" i="3"/>
  <c r="AD39" i="3"/>
  <c r="AD126" i="3"/>
  <c r="AD118" i="3"/>
  <c r="AD110" i="3"/>
  <c r="AD102" i="3"/>
  <c r="AD90" i="3"/>
  <c r="AD82" i="3"/>
  <c r="AD74" i="3"/>
  <c r="AD62" i="3"/>
  <c r="AD54" i="3"/>
  <c r="AD46" i="3"/>
  <c r="AD38" i="3"/>
  <c r="AD26" i="3"/>
  <c r="AD18" i="3"/>
  <c r="AD10" i="3"/>
  <c r="V258" i="3"/>
  <c r="AD27" i="3"/>
  <c r="AD19" i="3"/>
  <c r="AD11" i="3"/>
  <c r="AE180" i="3"/>
  <c r="AE176" i="3"/>
  <c r="AE254" i="3"/>
  <c r="S258" i="3"/>
  <c r="AE235" i="3"/>
  <c r="AE184" i="3"/>
  <c r="AE229" i="3"/>
  <c r="AE211" i="3"/>
  <c r="AE165" i="3"/>
  <c r="AE246" i="3"/>
  <c r="AE42" i="3"/>
  <c r="AE50" i="3"/>
  <c r="AE58" i="3"/>
  <c r="AE70" i="3"/>
  <c r="AE78" i="3"/>
  <c r="AE86" i="3"/>
  <c r="AE94" i="3"/>
  <c r="AE106" i="3"/>
  <c r="AE114" i="3"/>
  <c r="AE122" i="3"/>
  <c r="AE252" i="3"/>
  <c r="AE209" i="3"/>
  <c r="AD5" i="3"/>
  <c r="AE14" i="3"/>
  <c r="AD9" i="3"/>
  <c r="AD21" i="3"/>
  <c r="AE22" i="3"/>
  <c r="AD13" i="3"/>
  <c r="AE6" i="3"/>
  <c r="AD23" i="3"/>
  <c r="AD15" i="3"/>
  <c r="AD7" i="3"/>
  <c r="AE30" i="3"/>
  <c r="AD122" i="3"/>
  <c r="AD114" i="3"/>
  <c r="AD106" i="3"/>
  <c r="AE7" i="3"/>
  <c r="AE15" i="3"/>
  <c r="AE23" i="3"/>
  <c r="AE43" i="3"/>
  <c r="AE51" i="3"/>
  <c r="AE59" i="3"/>
  <c r="AE71" i="3"/>
  <c r="AE79" i="3"/>
  <c r="AE87" i="3"/>
  <c r="AE107" i="3"/>
  <c r="AE115" i="3"/>
  <c r="AE123" i="3"/>
  <c r="X258" i="3"/>
  <c r="AE222" i="3"/>
  <c r="AE156" i="3"/>
  <c r="AE244" i="3"/>
  <c r="AE172" i="3"/>
  <c r="AE143" i="3"/>
  <c r="AE230" i="3"/>
  <c r="AE220" i="3"/>
  <c r="AE175" i="3"/>
  <c r="AE203" i="3"/>
  <c r="AE232" i="3"/>
  <c r="AE215" i="3"/>
  <c r="AE202" i="3"/>
  <c r="AE216" i="3"/>
  <c r="AE240" i="3"/>
  <c r="AE8" i="3"/>
  <c r="AE16" i="3"/>
  <c r="AE24" i="3"/>
  <c r="AE44" i="3"/>
  <c r="AE52" i="3"/>
  <c r="AE60" i="3"/>
  <c r="AE72" i="3"/>
  <c r="AE80" i="3"/>
  <c r="AE88" i="3"/>
  <c r="AE108" i="3"/>
  <c r="AE116" i="3"/>
  <c r="AE124" i="3"/>
  <c r="AE214" i="3"/>
  <c r="AE148" i="3"/>
  <c r="AE236" i="3"/>
  <c r="AE155" i="3"/>
  <c r="AE199" i="3"/>
  <c r="AE212" i="3"/>
  <c r="AE207" i="3"/>
  <c r="AE186" i="3"/>
  <c r="AE168" i="3"/>
  <c r="AE182" i="3"/>
  <c r="AE185" i="3"/>
  <c r="AE183" i="3"/>
  <c r="AE210" i="3"/>
  <c r="AD94" i="3"/>
  <c r="AD86" i="3"/>
  <c r="AD78" i="3"/>
  <c r="AD70" i="3"/>
  <c r="AE9" i="3"/>
  <c r="AE17" i="3"/>
  <c r="AE25" i="3"/>
  <c r="AE37" i="3"/>
  <c r="AE45" i="3"/>
  <c r="AE53" i="3"/>
  <c r="AE61" i="3"/>
  <c r="AE73" i="3"/>
  <c r="AE81" i="3"/>
  <c r="AE89" i="3"/>
  <c r="AE101" i="3"/>
  <c r="AE109" i="3"/>
  <c r="AE117" i="3"/>
  <c r="AE125" i="3"/>
  <c r="U258" i="3"/>
  <c r="AE206" i="3"/>
  <c r="AE140" i="3"/>
  <c r="AE221" i="3"/>
  <c r="AE147" i="3"/>
  <c r="AE247" i="3"/>
  <c r="AE157" i="3"/>
  <c r="AE204" i="3"/>
  <c r="AE141" i="3"/>
  <c r="AE178" i="3"/>
  <c r="AE151" i="3"/>
  <c r="AE149" i="3"/>
  <c r="AE177" i="3"/>
  <c r="AE134" i="3"/>
  <c r="AE10" i="3"/>
  <c r="AE18" i="3"/>
  <c r="AE26" i="3"/>
  <c r="AE38" i="3"/>
  <c r="AE46" i="3"/>
  <c r="AE54" i="3"/>
  <c r="AE62" i="3"/>
  <c r="AE74" i="3"/>
  <c r="AE82" i="3"/>
  <c r="AE90" i="3"/>
  <c r="AE102" i="3"/>
  <c r="AE110" i="3"/>
  <c r="AE118" i="3"/>
  <c r="AE126" i="3"/>
  <c r="T258" i="3"/>
  <c r="AE198" i="3"/>
  <c r="AE139" i="3"/>
  <c r="AE213" i="3"/>
  <c r="AE179" i="3"/>
  <c r="AE231" i="3"/>
  <c r="AE133" i="3"/>
  <c r="AE171" i="3"/>
  <c r="AE250" i="3"/>
  <c r="AE170" i="3"/>
  <c r="AE239" i="3"/>
  <c r="AE249" i="3"/>
  <c r="AE169" i="3"/>
  <c r="AE238" i="3"/>
  <c r="AD42" i="3"/>
  <c r="AE11" i="3"/>
  <c r="AE19" i="3"/>
  <c r="AE27" i="3"/>
  <c r="AE39" i="3"/>
  <c r="AE47" i="3"/>
  <c r="AE55" i="3"/>
  <c r="AE75" i="3"/>
  <c r="AE83" i="3"/>
  <c r="AE91" i="3"/>
  <c r="AE103" i="3"/>
  <c r="AE111" i="3"/>
  <c r="AE119" i="3"/>
  <c r="AE253" i="3"/>
  <c r="AE189" i="3"/>
  <c r="AE187" i="3"/>
  <c r="AE205" i="3"/>
  <c r="AE154" i="3"/>
  <c r="AE200" i="3"/>
  <c r="AE146" i="3"/>
  <c r="AE242" i="3"/>
  <c r="AE153" i="3"/>
  <c r="AE208" i="3"/>
  <c r="AE241" i="3"/>
  <c r="AE152" i="3"/>
  <c r="AE166" i="3"/>
  <c r="AD50" i="3"/>
  <c r="AE12" i="3"/>
  <c r="AE20" i="3"/>
  <c r="AE28" i="3"/>
  <c r="AE40" i="3"/>
  <c r="AE48" i="3"/>
  <c r="AE56" i="3"/>
  <c r="AE76" i="3"/>
  <c r="AE84" i="3"/>
  <c r="AE92" i="3"/>
  <c r="AE104" i="3"/>
  <c r="AE112" i="3"/>
  <c r="AE120" i="3"/>
  <c r="Y258" i="3"/>
  <c r="AE245" i="3"/>
  <c r="AE181" i="3"/>
  <c r="AE190" i="3"/>
  <c r="AE197" i="3"/>
  <c r="AE138" i="3"/>
  <c r="AE167" i="3"/>
  <c r="AE251" i="3"/>
  <c r="AE248" i="3"/>
  <c r="AE234" i="3"/>
  <c r="AE145" i="3"/>
  <c r="AE158" i="3"/>
  <c r="AE233" i="3"/>
  <c r="AE144" i="3"/>
  <c r="AE135" i="3"/>
  <c r="AD58" i="3"/>
  <c r="AD22" i="3"/>
  <c r="AD14" i="3"/>
  <c r="AD6" i="3"/>
  <c r="AE5" i="3"/>
  <c r="AE13" i="3"/>
  <c r="AE21" i="3"/>
  <c r="AE29" i="3"/>
  <c r="AE41" i="3"/>
  <c r="AE49" i="3"/>
  <c r="AE57" i="3"/>
  <c r="AE69" i="3"/>
  <c r="AE77" i="3"/>
  <c r="AE85" i="3"/>
  <c r="AE93" i="3"/>
  <c r="AE105" i="3"/>
  <c r="AE113" i="3"/>
  <c r="AE121" i="3"/>
  <c r="Z258" i="3"/>
  <c r="AE237" i="3"/>
  <c r="AE173" i="3"/>
  <c r="AE188" i="3"/>
  <c r="AE201" i="3"/>
  <c r="AE150" i="3"/>
  <c r="AE243" i="3"/>
  <c r="AE217" i="3"/>
  <c r="AE219" i="3"/>
  <c r="AE137" i="3"/>
  <c r="AE142" i="3"/>
  <c r="AE218" i="3"/>
  <c r="AE136" i="3"/>
  <c r="AE174" i="3"/>
  <c r="W226" i="3"/>
  <c r="AA226" i="3"/>
  <c r="Z226" i="3"/>
  <c r="Y226" i="3"/>
  <c r="X226" i="3"/>
  <c r="U226" i="3"/>
  <c r="V226" i="3"/>
  <c r="T226" i="3"/>
  <c r="AA66" i="3"/>
  <c r="AA130" i="3"/>
  <c r="AA194" i="3"/>
  <c r="X194" i="3"/>
  <c r="T194" i="3"/>
  <c r="Z194" i="3"/>
  <c r="U194" i="3"/>
  <c r="V194" i="3"/>
  <c r="Y194" i="3"/>
  <c r="W194" i="3"/>
  <c r="W162" i="3"/>
  <c r="AA162" i="3"/>
  <c r="Z162" i="3"/>
  <c r="Y162" i="3"/>
  <c r="U162" i="3"/>
  <c r="V162" i="3"/>
  <c r="T162" i="3"/>
  <c r="S162" i="3"/>
  <c r="AB97" i="3"/>
  <c r="AA98" i="3" s="1"/>
  <c r="E258" i="3"/>
  <c r="E226" i="3"/>
  <c r="L194" i="3"/>
  <c r="E162" i="3"/>
  <c r="M97" i="3"/>
  <c r="E98" i="3" s="1"/>
  <c r="I65" i="3"/>
  <c r="Y130" i="3" l="1"/>
  <c r="U130" i="3"/>
  <c r="V66" i="3"/>
  <c r="W130" i="3"/>
  <c r="S66" i="3"/>
  <c r="T66" i="3"/>
  <c r="V130" i="3"/>
  <c r="X66" i="3"/>
  <c r="U66" i="3"/>
  <c r="Y66" i="3"/>
  <c r="Z130" i="3"/>
  <c r="Z66" i="3"/>
  <c r="S130" i="3"/>
  <c r="W66" i="3"/>
  <c r="X130" i="3"/>
  <c r="T130" i="3"/>
  <c r="X98" i="3"/>
  <c r="I258" i="3"/>
  <c r="S98" i="3"/>
  <c r="U98" i="3"/>
  <c r="V98" i="3"/>
  <c r="W98" i="3"/>
  <c r="G258" i="3"/>
  <c r="Y98" i="3"/>
  <c r="Z98" i="3"/>
  <c r="H258" i="3"/>
  <c r="L258" i="3"/>
  <c r="T98" i="3"/>
  <c r="K258" i="3"/>
  <c r="J258" i="3"/>
  <c r="V34" i="3"/>
  <c r="X34" i="3"/>
  <c r="Y34" i="3"/>
  <c r="Z34" i="3"/>
  <c r="AA34" i="3"/>
  <c r="S34" i="3"/>
  <c r="T34" i="3"/>
  <c r="U34" i="3"/>
  <c r="W34" i="3"/>
  <c r="F258" i="3"/>
  <c r="I34" i="3"/>
  <c r="L226" i="3"/>
  <c r="H226" i="3"/>
  <c r="K226" i="3"/>
  <c r="I226" i="3"/>
  <c r="F226" i="3"/>
  <c r="G226" i="3"/>
  <c r="J226" i="3"/>
  <c r="F194" i="3"/>
  <c r="K194" i="3"/>
  <c r="I194" i="3"/>
  <c r="J194" i="3"/>
  <c r="E194" i="3"/>
  <c r="G194" i="3"/>
  <c r="H194" i="3"/>
  <c r="I162" i="3"/>
  <c r="G162" i="3"/>
  <c r="J162" i="3"/>
  <c r="H162" i="3"/>
  <c r="J130" i="3"/>
  <c r="I130" i="3"/>
  <c r="H130" i="3"/>
  <c r="G130" i="3"/>
  <c r="I98" i="3"/>
  <c r="H98" i="3"/>
  <c r="G98" i="3"/>
  <c r="H34" i="3" l="1"/>
  <c r="H66" i="3"/>
  <c r="E66" i="3"/>
  <c r="G66" i="3"/>
  <c r="I66" i="3"/>
  <c r="H60" i="1" l="1"/>
  <c r="I60" i="1" s="1"/>
  <c r="G60" i="1"/>
  <c r="H38" i="1"/>
  <c r="I38" i="1" s="1"/>
  <c r="G38" i="1"/>
  <c r="H27" i="1"/>
  <c r="I27" i="1" s="1"/>
  <c r="G27" i="1"/>
  <c r="G26" i="1"/>
  <c r="H26" i="1"/>
  <c r="I26" i="1" s="1"/>
  <c r="H24" i="1"/>
  <c r="I24" i="1" s="1"/>
  <c r="G24" i="1"/>
  <c r="H23" i="1"/>
  <c r="I23" i="1" s="1"/>
  <c r="G23" i="1"/>
  <c r="G2" i="1"/>
  <c r="D2" i="1" s="1"/>
  <c r="D27" i="1" l="1"/>
  <c r="D26" i="1"/>
  <c r="D23" i="1"/>
  <c r="D38" i="1"/>
  <c r="D24" i="1"/>
  <c r="D60" i="1"/>
</calcChain>
</file>

<file path=xl/sharedStrings.xml><?xml version="1.0" encoding="utf-8"?>
<sst xmlns="http://schemas.openxmlformats.org/spreadsheetml/2006/main" count="3674" uniqueCount="110">
  <si>
    <t>Year</t>
  </si>
  <si>
    <t>User</t>
  </si>
  <si>
    <t>Rpt_Area</t>
  </si>
  <si>
    <t>TotalRF_n</t>
  </si>
  <si>
    <t>YE_n</t>
  </si>
  <si>
    <t>Black_n</t>
  </si>
  <si>
    <t>Pelagic_n</t>
  </si>
  <si>
    <t>Nonpel_n</t>
  </si>
  <si>
    <t>NotYE_Nonpel_n</t>
  </si>
  <si>
    <t>charter</t>
  </si>
  <si>
    <t>AFOGNAK</t>
  </si>
  <si>
    <t>private</t>
  </si>
  <si>
    <t>CI</t>
  </si>
  <si>
    <t>EASTSIDE</t>
  </si>
  <si>
    <t>NG</t>
  </si>
  <si>
    <t>NORTHEAST</t>
  </si>
  <si>
    <t>PWSI</t>
  </si>
  <si>
    <t>PWSO</t>
  </si>
  <si>
    <t>WESTSIDE</t>
  </si>
  <si>
    <t>Valdez</t>
  </si>
  <si>
    <t>Whittier</t>
  </si>
  <si>
    <t>TOTAL</t>
  </si>
  <si>
    <t>Total</t>
  </si>
  <si>
    <t>Charter</t>
  </si>
  <si>
    <t>Seward</t>
  </si>
  <si>
    <t>For those port samples with harvest location (stat areas)</t>
  </si>
  <si>
    <t>CFMU</t>
  </si>
  <si>
    <t>Homer</t>
  </si>
  <si>
    <t>Kodiak</t>
  </si>
  <si>
    <t>Anchor Point</t>
  </si>
  <si>
    <t>CCI</t>
  </si>
  <si>
    <t>Deep Creek</t>
  </si>
  <si>
    <t>%</t>
  </si>
  <si>
    <t>Eastside</t>
  </si>
  <si>
    <t>Northeast</t>
  </si>
  <si>
    <t>Cordova</t>
  </si>
  <si>
    <t>Westside</t>
  </si>
  <si>
    <t>Private</t>
  </si>
  <si>
    <t>var_pBRFinPel_avgRptArea</t>
  </si>
  <si>
    <t>pBRFinPel_avgRptArea</t>
  </si>
  <si>
    <t>varBRFinPel</t>
  </si>
  <si>
    <t>pBRFinPel</t>
  </si>
  <si>
    <t>var_pYEinNonpel_avgRptArea</t>
  </si>
  <si>
    <t>pYEinNonpel_avgRptArea</t>
  </si>
  <si>
    <t>var_pYEinNonpel</t>
  </si>
  <si>
    <t>pYEinNonpel</t>
  </si>
  <si>
    <t>var_pNonpel_avgRptArea</t>
  </si>
  <si>
    <t>pNonpel_avgRptArea</t>
  </si>
  <si>
    <t>var_pNonpel</t>
  </si>
  <si>
    <t>pNonpel</t>
  </si>
  <si>
    <t>var_pPel_avgRptArea</t>
  </si>
  <si>
    <t>pPel_avgRptArea</t>
  </si>
  <si>
    <t>var_pPel</t>
  </si>
  <si>
    <t>pPel</t>
  </si>
  <si>
    <t>var_pBRF_avgRptArea</t>
  </si>
  <si>
    <t>pBRF_avgRptArea</t>
  </si>
  <si>
    <t>var_pBRF</t>
  </si>
  <si>
    <t>pBRF</t>
  </si>
  <si>
    <t>var_pYE_avgRptArea</t>
  </si>
  <si>
    <t>pYE_avgRptArea</t>
  </si>
  <si>
    <t>var_pYE</t>
  </si>
  <si>
    <t>pYE</t>
  </si>
  <si>
    <t>Pel</t>
  </si>
  <si>
    <t>NP</t>
  </si>
  <si>
    <t>BRF</t>
  </si>
  <si>
    <t>YE</t>
  </si>
  <si>
    <t>SEWARD</t>
  </si>
  <si>
    <t>WHITTIER</t>
  </si>
  <si>
    <t>VALDEZ/CORDOVA</t>
  </si>
  <si>
    <t>Charter Sample by Port</t>
  </si>
  <si>
    <t>Private Sample by Port</t>
  </si>
  <si>
    <t>YEAR</t>
  </si>
  <si>
    <t>HOMER</t>
  </si>
  <si>
    <t>VALDEZ/CORD</t>
  </si>
  <si>
    <t>SWHS Unguided Harvest</t>
  </si>
  <si>
    <t>Guided Logbook harvest</t>
  </si>
  <si>
    <t>% rfharv by location</t>
  </si>
  <si>
    <t>% port sample by location</t>
  </si>
  <si>
    <t>Valdez/Cord</t>
  </si>
  <si>
    <t>Annual weighting adjustment</t>
  </si>
  <si>
    <t>WEIGHTED Guided Proportions</t>
  </si>
  <si>
    <t>% Pel</t>
  </si>
  <si>
    <t>%NonPel</t>
  </si>
  <si>
    <t>% YE</t>
  </si>
  <si>
    <t>WEIGHTED Unguided Proportions</t>
  </si>
  <si>
    <t>%BRF</t>
  </si>
  <si>
    <t>%YEinNonpel</t>
  </si>
  <si>
    <t>%BRFinPel</t>
  </si>
  <si>
    <t>*weighted proportions used for NG, PWSI, PWSO (see tab R2 wt multiport)</t>
  </si>
  <si>
    <t>p(guided)</t>
  </si>
  <si>
    <t>n</t>
  </si>
  <si>
    <t>SWHS p(gui)</t>
  </si>
  <si>
    <t>var_SWHS(pgui)</t>
  </si>
  <si>
    <t>std</t>
  </si>
  <si>
    <t>plusminus</t>
  </si>
  <si>
    <t>lower95</t>
  </si>
  <si>
    <t>uppr95</t>
  </si>
  <si>
    <t>SWHS Proportions Gui/Ungui</t>
  </si>
  <si>
    <t>needs to be verified</t>
  </si>
  <si>
    <t>GUIDED PORT SAMPLES</t>
  </si>
  <si>
    <t>Homer RF harv</t>
  </si>
  <si>
    <t>Seward RF harv</t>
  </si>
  <si>
    <t>Whittier RF harv</t>
  </si>
  <si>
    <t>Valdez/Cord RF harv</t>
  </si>
  <si>
    <t>WEIGHTED Guided Sample (ANNUAL)</t>
  </si>
  <si>
    <t>WEIGHTED Unguided Sample (ANNUAL)</t>
  </si>
  <si>
    <t>TRIP TO:</t>
  </si>
  <si>
    <t>UNGUIDED PORT SAMPLES</t>
  </si>
  <si>
    <t>Not sure where this came from. Contacting Nick.</t>
  </si>
  <si>
    <t>From website, but can't break down by private/charter?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</si>
</sst>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0"/>
      <color rgb="FF008000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9" fontId="1" fillId="0" borderId="0" xfId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5" fillId="0" borderId="0" xfId="2" applyNumberFormat="1" applyFont="1" applyAlignment="1">
      <alignment horizontal="right" vertical="center"/>
    </xf>
    <xf numFmtId="3" fontId="4" fillId="0" borderId="0" xfId="2" applyNumberFormat="1" applyFont="1" applyAlignment="1">
      <alignment horizontal="right" vertical="center"/>
    </xf>
    <xf numFmtId="0" fontId="1" fillId="0" borderId="2" xfId="0" applyFont="1" applyBorder="1"/>
    <xf numFmtId="9" fontId="0" fillId="0" borderId="0" xfId="1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/>
    <xf numFmtId="0" fontId="6" fillId="0" borderId="0" xfId="0" applyFont="1"/>
    <xf numFmtId="0" fontId="0" fillId="4" borderId="0" xfId="0" applyFill="1"/>
    <xf numFmtId="164" fontId="0" fillId="4" borderId="0" xfId="0" applyNumberFormat="1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3" fontId="9" fillId="0" borderId="3" xfId="0" applyNumberFormat="1" applyFont="1" applyBorder="1" applyAlignment="1">
      <alignment horizontal="right"/>
    </xf>
    <xf numFmtId="3" fontId="9" fillId="5" borderId="3" xfId="0" applyNumberFormat="1" applyFont="1" applyFill="1" applyBorder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37E6-8979-42A8-8576-48E8D7EAF9DF}">
  <dimension ref="A1:L465"/>
  <sheetViews>
    <sheetView workbookViewId="0">
      <pane ySplit="1" topLeftCell="A398" activePane="bottomLeft" state="frozen"/>
      <selection pane="bottomLeft" activeCell="A465" sqref="A465:I465"/>
    </sheetView>
  </sheetViews>
  <sheetFormatPr defaultRowHeight="14.4" x14ac:dyDescent="0.3"/>
  <cols>
    <col min="17" max="17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3">
      <c r="A2" s="25">
        <v>1993</v>
      </c>
      <c r="B2" s="25" t="s">
        <v>9</v>
      </c>
      <c r="C2" s="25" t="s">
        <v>10</v>
      </c>
      <c r="D2" s="25">
        <f>G2+H2</f>
        <v>45</v>
      </c>
      <c r="E2" s="25">
        <v>0</v>
      </c>
      <c r="F2" s="25">
        <v>39</v>
      </c>
      <c r="G2" s="25">
        <f>39+6</f>
        <v>45</v>
      </c>
      <c r="H2" s="25">
        <v>0</v>
      </c>
      <c r="I2" s="25">
        <f>H2-E2</f>
        <v>0</v>
      </c>
    </row>
    <row r="3" spans="1:12" x14ac:dyDescent="0.3">
      <c r="A3" s="25">
        <v>1994</v>
      </c>
      <c r="B3" s="25" t="s">
        <v>9</v>
      </c>
      <c r="C3" s="25" t="s">
        <v>10</v>
      </c>
      <c r="D3" s="25">
        <f t="shared" ref="D3:D70" si="0">G3+H3</f>
        <v>0</v>
      </c>
      <c r="E3" s="25">
        <v>0</v>
      </c>
      <c r="F3" s="25">
        <v>0</v>
      </c>
      <c r="G3" s="25">
        <v>0</v>
      </c>
      <c r="H3" s="25">
        <v>0</v>
      </c>
      <c r="I3" s="25">
        <f t="shared" ref="I3:I70" si="1">H3-E3</f>
        <v>0</v>
      </c>
      <c r="L3" t="s">
        <v>88</v>
      </c>
    </row>
    <row r="4" spans="1:12" x14ac:dyDescent="0.3">
      <c r="A4" s="25">
        <v>1995</v>
      </c>
      <c r="B4" s="25" t="s">
        <v>9</v>
      </c>
      <c r="C4" s="25" t="s">
        <v>10</v>
      </c>
      <c r="D4" s="25">
        <f t="shared" si="0"/>
        <v>0</v>
      </c>
      <c r="E4" s="25">
        <v>0</v>
      </c>
      <c r="F4" s="25">
        <v>0</v>
      </c>
      <c r="G4" s="25">
        <v>0</v>
      </c>
      <c r="H4" s="25">
        <v>0</v>
      </c>
      <c r="I4" s="25">
        <f t="shared" si="1"/>
        <v>0</v>
      </c>
    </row>
    <row r="5" spans="1:12" x14ac:dyDescent="0.3">
      <c r="A5" s="25">
        <v>1996</v>
      </c>
      <c r="B5" s="25" t="s">
        <v>9</v>
      </c>
      <c r="C5" s="25" t="s">
        <v>10</v>
      </c>
      <c r="D5" s="25">
        <f t="shared" si="0"/>
        <v>0</v>
      </c>
      <c r="E5" s="25">
        <v>0</v>
      </c>
      <c r="F5" s="25">
        <v>0</v>
      </c>
      <c r="G5" s="25">
        <v>0</v>
      </c>
      <c r="H5" s="25">
        <v>0</v>
      </c>
      <c r="I5" s="25">
        <f t="shared" si="1"/>
        <v>0</v>
      </c>
    </row>
    <row r="6" spans="1:12" x14ac:dyDescent="0.3">
      <c r="A6" s="25">
        <v>1997</v>
      </c>
      <c r="B6" s="25" t="s">
        <v>9</v>
      </c>
      <c r="C6" s="25" t="s">
        <v>10</v>
      </c>
      <c r="D6" s="25">
        <f t="shared" si="0"/>
        <v>19</v>
      </c>
      <c r="E6" s="25">
        <v>0</v>
      </c>
      <c r="F6" s="25">
        <v>19</v>
      </c>
      <c r="G6" s="25">
        <v>19</v>
      </c>
      <c r="H6" s="25">
        <v>0</v>
      </c>
      <c r="I6" s="25">
        <f t="shared" si="1"/>
        <v>0</v>
      </c>
    </row>
    <row r="7" spans="1:12" x14ac:dyDescent="0.3">
      <c r="A7" s="25">
        <v>1998</v>
      </c>
      <c r="B7" s="25" t="s">
        <v>9</v>
      </c>
      <c r="C7" s="25" t="s">
        <v>10</v>
      </c>
      <c r="D7" s="25">
        <f t="shared" si="0"/>
        <v>0</v>
      </c>
      <c r="E7" s="25">
        <v>0</v>
      </c>
      <c r="F7" s="25">
        <v>0</v>
      </c>
      <c r="G7" s="25">
        <v>0</v>
      </c>
      <c r="H7" s="25">
        <v>0</v>
      </c>
      <c r="I7" s="25">
        <f t="shared" si="1"/>
        <v>0</v>
      </c>
    </row>
    <row r="8" spans="1:12" x14ac:dyDescent="0.3">
      <c r="A8" s="25">
        <v>1999</v>
      </c>
      <c r="B8" s="25" t="s">
        <v>9</v>
      </c>
      <c r="C8" s="25" t="s">
        <v>10</v>
      </c>
      <c r="D8" s="25">
        <f t="shared" si="0"/>
        <v>10</v>
      </c>
      <c r="E8" s="25">
        <v>0</v>
      </c>
      <c r="F8" s="25">
        <v>10</v>
      </c>
      <c r="G8" s="25">
        <v>10</v>
      </c>
      <c r="H8" s="25">
        <v>0</v>
      </c>
      <c r="I8" s="25">
        <f t="shared" si="1"/>
        <v>0</v>
      </c>
    </row>
    <row r="9" spans="1:12" x14ac:dyDescent="0.3">
      <c r="A9" s="25">
        <v>2000</v>
      </c>
      <c r="B9" s="25" t="s">
        <v>9</v>
      </c>
      <c r="C9" s="25" t="s">
        <v>10</v>
      </c>
      <c r="D9" s="25">
        <f t="shared" si="0"/>
        <v>0</v>
      </c>
      <c r="E9" s="25">
        <v>0</v>
      </c>
      <c r="F9" s="25">
        <v>0</v>
      </c>
      <c r="G9" s="25">
        <v>0</v>
      </c>
      <c r="H9" s="25">
        <v>0</v>
      </c>
      <c r="I9" s="25">
        <f t="shared" si="1"/>
        <v>0</v>
      </c>
    </row>
    <row r="10" spans="1:12" x14ac:dyDescent="0.3">
      <c r="A10" s="25">
        <v>2001</v>
      </c>
      <c r="B10" s="25" t="s">
        <v>9</v>
      </c>
      <c r="C10" s="25" t="s">
        <v>10</v>
      </c>
      <c r="D10" s="25">
        <f t="shared" si="0"/>
        <v>0</v>
      </c>
      <c r="E10" s="25">
        <v>0</v>
      </c>
      <c r="F10" s="25">
        <v>0</v>
      </c>
      <c r="G10" s="25">
        <v>0</v>
      </c>
      <c r="H10" s="25">
        <v>0</v>
      </c>
      <c r="I10" s="25">
        <f t="shared" si="1"/>
        <v>0</v>
      </c>
    </row>
    <row r="11" spans="1:12" x14ac:dyDescent="0.3">
      <c r="A11" s="25">
        <v>2002</v>
      </c>
      <c r="B11" s="25" t="s">
        <v>9</v>
      </c>
      <c r="C11" s="25" t="s">
        <v>10</v>
      </c>
      <c r="D11" s="25">
        <f t="shared" si="0"/>
        <v>3</v>
      </c>
      <c r="E11" s="25">
        <v>0</v>
      </c>
      <c r="F11" s="25">
        <v>0</v>
      </c>
      <c r="G11" s="25">
        <v>3</v>
      </c>
      <c r="H11" s="25">
        <v>0</v>
      </c>
      <c r="I11" s="25">
        <f t="shared" si="1"/>
        <v>0</v>
      </c>
    </row>
    <row r="12" spans="1:12" x14ac:dyDescent="0.3">
      <c r="A12" s="25">
        <v>2003</v>
      </c>
      <c r="B12" s="25" t="s">
        <v>9</v>
      </c>
      <c r="C12" s="25" t="s">
        <v>10</v>
      </c>
      <c r="D12" s="25">
        <f t="shared" si="0"/>
        <v>9</v>
      </c>
      <c r="E12" s="25">
        <v>0</v>
      </c>
      <c r="F12" s="25">
        <v>9</v>
      </c>
      <c r="G12" s="25">
        <v>9</v>
      </c>
      <c r="H12" s="25">
        <v>0</v>
      </c>
      <c r="I12" s="25">
        <f t="shared" si="1"/>
        <v>0</v>
      </c>
    </row>
    <row r="13" spans="1:12" x14ac:dyDescent="0.3">
      <c r="A13" s="25">
        <v>2004</v>
      </c>
      <c r="B13" s="25" t="s">
        <v>9</v>
      </c>
      <c r="C13" s="25" t="s">
        <v>10</v>
      </c>
      <c r="D13" s="25">
        <f t="shared" si="0"/>
        <v>0</v>
      </c>
      <c r="E13" s="25">
        <v>0</v>
      </c>
      <c r="F13" s="25">
        <v>0</v>
      </c>
      <c r="G13" s="25">
        <v>0</v>
      </c>
      <c r="H13" s="25">
        <v>0</v>
      </c>
      <c r="I13" s="25">
        <f t="shared" si="1"/>
        <v>0</v>
      </c>
    </row>
    <row r="14" spans="1:12" x14ac:dyDescent="0.3">
      <c r="A14" s="25">
        <v>2005</v>
      </c>
      <c r="B14" s="25" t="s">
        <v>9</v>
      </c>
      <c r="C14" s="25" t="s">
        <v>10</v>
      </c>
      <c r="D14" s="25">
        <f t="shared" si="0"/>
        <v>0</v>
      </c>
      <c r="E14" s="25">
        <v>0</v>
      </c>
      <c r="F14" s="25">
        <v>0</v>
      </c>
      <c r="G14" s="25">
        <v>0</v>
      </c>
      <c r="H14" s="25">
        <v>0</v>
      </c>
      <c r="I14" s="25">
        <f t="shared" si="1"/>
        <v>0</v>
      </c>
    </row>
    <row r="15" spans="1:12" x14ac:dyDescent="0.3">
      <c r="A15" s="25">
        <v>2006</v>
      </c>
      <c r="B15" s="25" t="s">
        <v>9</v>
      </c>
      <c r="C15" s="25" t="s">
        <v>10</v>
      </c>
      <c r="D15" s="25">
        <f t="shared" si="0"/>
        <v>0</v>
      </c>
      <c r="E15" s="25">
        <v>0</v>
      </c>
      <c r="F15" s="25">
        <v>0</v>
      </c>
      <c r="G15" s="25">
        <v>0</v>
      </c>
      <c r="H15" s="25">
        <v>0</v>
      </c>
      <c r="I15" s="25">
        <f t="shared" si="1"/>
        <v>0</v>
      </c>
    </row>
    <row r="16" spans="1:12" x14ac:dyDescent="0.3">
      <c r="A16" s="25">
        <v>2007</v>
      </c>
      <c r="B16" s="25" t="s">
        <v>9</v>
      </c>
      <c r="C16" s="25" t="s">
        <v>10</v>
      </c>
      <c r="D16" s="25">
        <f t="shared" si="0"/>
        <v>13</v>
      </c>
      <c r="E16" s="25">
        <v>0</v>
      </c>
      <c r="F16" s="25">
        <v>13</v>
      </c>
      <c r="G16" s="25">
        <v>13</v>
      </c>
      <c r="H16" s="25">
        <v>0</v>
      </c>
      <c r="I16" s="25">
        <f t="shared" si="1"/>
        <v>0</v>
      </c>
    </row>
    <row r="17" spans="1:9" x14ac:dyDescent="0.3">
      <c r="A17" s="25">
        <v>2008</v>
      </c>
      <c r="B17" s="25" t="s">
        <v>9</v>
      </c>
      <c r="C17" s="25" t="s">
        <v>10</v>
      </c>
      <c r="D17" s="25">
        <f t="shared" si="0"/>
        <v>0</v>
      </c>
      <c r="E17" s="25">
        <v>0</v>
      </c>
      <c r="F17" s="25">
        <v>0</v>
      </c>
      <c r="G17" s="25">
        <v>0</v>
      </c>
      <c r="H17" s="25">
        <v>0</v>
      </c>
      <c r="I17" s="25">
        <f t="shared" si="1"/>
        <v>0</v>
      </c>
    </row>
    <row r="18" spans="1:9" x14ac:dyDescent="0.3">
      <c r="A18" s="25">
        <v>2009</v>
      </c>
      <c r="B18" s="25" t="s">
        <v>9</v>
      </c>
      <c r="C18" s="25" t="s">
        <v>10</v>
      </c>
      <c r="D18" s="25">
        <f t="shared" si="0"/>
        <v>31</v>
      </c>
      <c r="E18" s="25">
        <v>1</v>
      </c>
      <c r="F18" s="25">
        <v>30</v>
      </c>
      <c r="G18" s="25">
        <v>30</v>
      </c>
      <c r="H18" s="25">
        <v>1</v>
      </c>
      <c r="I18" s="25">
        <f t="shared" si="1"/>
        <v>0</v>
      </c>
    </row>
    <row r="19" spans="1:9" x14ac:dyDescent="0.3">
      <c r="A19" s="25">
        <v>2010</v>
      </c>
      <c r="B19" s="25" t="s">
        <v>9</v>
      </c>
      <c r="C19" s="25" t="s">
        <v>10</v>
      </c>
      <c r="D19" s="25">
        <f t="shared" si="0"/>
        <v>18</v>
      </c>
      <c r="E19" s="25">
        <v>0</v>
      </c>
      <c r="F19" s="25">
        <v>18</v>
      </c>
      <c r="G19" s="25">
        <v>18</v>
      </c>
      <c r="H19" s="25">
        <v>0</v>
      </c>
      <c r="I19" s="25">
        <f t="shared" si="1"/>
        <v>0</v>
      </c>
    </row>
    <row r="20" spans="1:9" x14ac:dyDescent="0.3">
      <c r="A20" s="25">
        <v>2011</v>
      </c>
      <c r="B20" s="25" t="s">
        <v>9</v>
      </c>
      <c r="C20" s="25" t="s">
        <v>10</v>
      </c>
      <c r="D20" s="25">
        <f t="shared" si="0"/>
        <v>13</v>
      </c>
      <c r="E20" s="25">
        <v>6</v>
      </c>
      <c r="F20" s="25">
        <v>5</v>
      </c>
      <c r="G20" s="25">
        <v>7</v>
      </c>
      <c r="H20" s="25">
        <v>6</v>
      </c>
      <c r="I20" s="25">
        <f t="shared" si="1"/>
        <v>0</v>
      </c>
    </row>
    <row r="21" spans="1:9" x14ac:dyDescent="0.3">
      <c r="A21" s="25">
        <v>2012</v>
      </c>
      <c r="B21" s="25" t="s">
        <v>9</v>
      </c>
      <c r="C21" s="25" t="s">
        <v>10</v>
      </c>
      <c r="D21" s="25">
        <f t="shared" si="0"/>
        <v>20</v>
      </c>
      <c r="E21" s="25">
        <v>0</v>
      </c>
      <c r="F21" s="25">
        <v>20</v>
      </c>
      <c r="G21" s="25">
        <v>20</v>
      </c>
      <c r="H21" s="25">
        <v>0</v>
      </c>
      <c r="I21" s="25">
        <f t="shared" si="1"/>
        <v>0</v>
      </c>
    </row>
    <row r="22" spans="1:9" x14ac:dyDescent="0.3">
      <c r="A22" s="25">
        <v>2013</v>
      </c>
      <c r="B22" s="25" t="s">
        <v>9</v>
      </c>
      <c r="C22" s="25" t="s">
        <v>10</v>
      </c>
      <c r="D22" s="25">
        <f t="shared" si="0"/>
        <v>0</v>
      </c>
      <c r="E22" s="25">
        <v>0</v>
      </c>
      <c r="F22" s="25">
        <v>0</v>
      </c>
      <c r="G22" s="25">
        <v>0</v>
      </c>
      <c r="H22" s="25">
        <v>0</v>
      </c>
      <c r="I22" s="25">
        <f t="shared" si="1"/>
        <v>0</v>
      </c>
    </row>
    <row r="23" spans="1:9" x14ac:dyDescent="0.3">
      <c r="A23" s="25">
        <v>2014</v>
      </c>
      <c r="B23" s="25" t="s">
        <v>9</v>
      </c>
      <c r="C23" s="25" t="s">
        <v>10</v>
      </c>
      <c r="D23" s="25">
        <f t="shared" si="0"/>
        <v>32</v>
      </c>
      <c r="E23" s="25">
        <v>2</v>
      </c>
      <c r="F23" s="25">
        <v>12</v>
      </c>
      <c r="G23" s="25">
        <f>16+12</f>
        <v>28</v>
      </c>
      <c r="H23" s="25">
        <f>2+2</f>
        <v>4</v>
      </c>
      <c r="I23" s="25">
        <f t="shared" si="1"/>
        <v>2</v>
      </c>
    </row>
    <row r="24" spans="1:9" x14ac:dyDescent="0.3">
      <c r="A24" s="25">
        <v>2015</v>
      </c>
      <c r="B24" s="25" t="s">
        <v>9</v>
      </c>
      <c r="C24" s="25" t="s">
        <v>10</v>
      </c>
      <c r="D24" s="25">
        <f t="shared" si="0"/>
        <v>54</v>
      </c>
      <c r="E24" s="25">
        <v>6</v>
      </c>
      <c r="F24" s="25">
        <v>29</v>
      </c>
      <c r="G24" s="25">
        <f>F24+3+15</f>
        <v>47</v>
      </c>
      <c r="H24" s="25">
        <f>E24+1</f>
        <v>7</v>
      </c>
      <c r="I24" s="25">
        <f t="shared" si="1"/>
        <v>1</v>
      </c>
    </row>
    <row r="25" spans="1:9" x14ac:dyDescent="0.3">
      <c r="A25" s="25">
        <v>2016</v>
      </c>
      <c r="B25" s="25" t="s">
        <v>9</v>
      </c>
      <c r="C25" s="25" t="s">
        <v>10</v>
      </c>
      <c r="D25" s="25">
        <f t="shared" si="0"/>
        <v>28</v>
      </c>
      <c r="E25" s="25">
        <v>12</v>
      </c>
      <c r="F25" s="25">
        <v>10</v>
      </c>
      <c r="G25" s="25">
        <v>11</v>
      </c>
      <c r="H25" s="25">
        <v>17</v>
      </c>
      <c r="I25" s="25">
        <f t="shared" si="1"/>
        <v>5</v>
      </c>
    </row>
    <row r="26" spans="1:9" x14ac:dyDescent="0.3">
      <c r="A26" s="25">
        <v>2017</v>
      </c>
      <c r="B26" s="25" t="s">
        <v>9</v>
      </c>
      <c r="C26" s="25" t="s">
        <v>10</v>
      </c>
      <c r="D26" s="25">
        <f t="shared" si="0"/>
        <v>20</v>
      </c>
      <c r="E26" s="25">
        <v>6</v>
      </c>
      <c r="F26" s="25">
        <v>14</v>
      </c>
      <c r="G26" s="25">
        <f>F26</f>
        <v>14</v>
      </c>
      <c r="H26" s="25">
        <f>E26</f>
        <v>6</v>
      </c>
      <c r="I26" s="25">
        <f t="shared" si="1"/>
        <v>0</v>
      </c>
    </row>
    <row r="27" spans="1:9" x14ac:dyDescent="0.3">
      <c r="A27" s="25">
        <v>2018</v>
      </c>
      <c r="B27" s="25" t="s">
        <v>9</v>
      </c>
      <c r="C27" s="25" t="s">
        <v>10</v>
      </c>
      <c r="D27" s="25">
        <f t="shared" si="0"/>
        <v>98</v>
      </c>
      <c r="E27" s="25">
        <v>12</v>
      </c>
      <c r="F27" s="25">
        <v>46</v>
      </c>
      <c r="G27" s="25">
        <f>F27+23+14</f>
        <v>83</v>
      </c>
      <c r="H27" s="25">
        <f>E27+1+2</f>
        <v>15</v>
      </c>
      <c r="I27" s="25">
        <f t="shared" si="1"/>
        <v>3</v>
      </c>
    </row>
    <row r="28" spans="1:9" x14ac:dyDescent="0.3">
      <c r="A28" s="25">
        <v>2019</v>
      </c>
      <c r="B28" s="25" t="s">
        <v>9</v>
      </c>
      <c r="C28" s="25" t="s">
        <v>10</v>
      </c>
      <c r="D28" s="25">
        <f t="shared" si="0"/>
        <v>5</v>
      </c>
      <c r="E28" s="25">
        <v>5</v>
      </c>
      <c r="F28" s="25">
        <v>0</v>
      </c>
      <c r="G28" s="25">
        <v>0</v>
      </c>
      <c r="H28" s="25">
        <v>5</v>
      </c>
      <c r="I28" s="25">
        <f t="shared" si="1"/>
        <v>0</v>
      </c>
    </row>
    <row r="29" spans="1:9" x14ac:dyDescent="0.3">
      <c r="A29" s="25">
        <v>2020</v>
      </c>
      <c r="B29" s="25" t="s">
        <v>9</v>
      </c>
      <c r="C29" s="25" t="s">
        <v>10</v>
      </c>
      <c r="D29" s="25">
        <f t="shared" si="0"/>
        <v>5</v>
      </c>
      <c r="E29" s="25">
        <v>0</v>
      </c>
      <c r="F29" s="25">
        <v>0</v>
      </c>
      <c r="G29" s="25">
        <v>5</v>
      </c>
      <c r="H29" s="25">
        <v>0</v>
      </c>
      <c r="I29" s="25">
        <f t="shared" si="1"/>
        <v>0</v>
      </c>
    </row>
    <row r="30" spans="1:9" x14ac:dyDescent="0.3">
      <c r="A30" s="25">
        <v>2021</v>
      </c>
      <c r="B30" s="25" t="s">
        <v>9</v>
      </c>
      <c r="C30" s="25" t="s">
        <v>10</v>
      </c>
      <c r="D30" s="25">
        <f t="shared" si="0"/>
        <v>109</v>
      </c>
      <c r="E30" s="25">
        <v>8</v>
      </c>
      <c r="F30" s="25">
        <v>28</v>
      </c>
      <c r="G30" s="25">
        <v>96</v>
      </c>
      <c r="H30" s="25">
        <v>13</v>
      </c>
      <c r="I30" s="25">
        <f t="shared" si="1"/>
        <v>5</v>
      </c>
    </row>
    <row r="31" spans="1:9" x14ac:dyDescent="0.3">
      <c r="A31">
        <v>1993</v>
      </c>
      <c r="B31" t="s">
        <v>11</v>
      </c>
      <c r="C31" t="s">
        <v>10</v>
      </c>
      <c r="D31">
        <f t="shared" si="0"/>
        <v>16</v>
      </c>
      <c r="E31">
        <v>0</v>
      </c>
      <c r="F31">
        <v>13</v>
      </c>
      <c r="G31">
        <v>16</v>
      </c>
      <c r="H31">
        <v>0</v>
      </c>
      <c r="I31">
        <f t="shared" si="1"/>
        <v>0</v>
      </c>
    </row>
    <row r="32" spans="1:9" x14ac:dyDescent="0.3">
      <c r="A32">
        <v>1994</v>
      </c>
      <c r="B32" t="s">
        <v>11</v>
      </c>
      <c r="C32" t="s">
        <v>10</v>
      </c>
      <c r="D32">
        <f t="shared" si="0"/>
        <v>0</v>
      </c>
      <c r="E32">
        <v>0</v>
      </c>
      <c r="F32">
        <v>0</v>
      </c>
      <c r="G32">
        <v>0</v>
      </c>
      <c r="H32">
        <v>0</v>
      </c>
      <c r="I32">
        <f t="shared" si="1"/>
        <v>0</v>
      </c>
    </row>
    <row r="33" spans="1:9" x14ac:dyDescent="0.3">
      <c r="A33">
        <v>1995</v>
      </c>
      <c r="B33" t="s">
        <v>11</v>
      </c>
      <c r="C33" t="s">
        <v>10</v>
      </c>
      <c r="D33">
        <f t="shared" si="0"/>
        <v>0</v>
      </c>
      <c r="E33">
        <v>0</v>
      </c>
      <c r="F33">
        <v>0</v>
      </c>
      <c r="G33">
        <v>0</v>
      </c>
      <c r="H33">
        <v>0</v>
      </c>
      <c r="I33">
        <f t="shared" si="1"/>
        <v>0</v>
      </c>
    </row>
    <row r="34" spans="1:9" x14ac:dyDescent="0.3">
      <c r="A34">
        <v>1996</v>
      </c>
      <c r="B34" t="s">
        <v>11</v>
      </c>
      <c r="C34" t="s">
        <v>10</v>
      </c>
      <c r="D34">
        <f t="shared" si="0"/>
        <v>0</v>
      </c>
      <c r="E34">
        <v>0</v>
      </c>
      <c r="F34">
        <v>0</v>
      </c>
      <c r="G34">
        <v>0</v>
      </c>
      <c r="H34">
        <v>0</v>
      </c>
      <c r="I34">
        <f t="shared" si="1"/>
        <v>0</v>
      </c>
    </row>
    <row r="35" spans="1:9" x14ac:dyDescent="0.3">
      <c r="A35">
        <v>1997</v>
      </c>
      <c r="B35" t="s">
        <v>11</v>
      </c>
      <c r="C35" t="s">
        <v>10</v>
      </c>
      <c r="D35">
        <f>G35+H35</f>
        <v>0</v>
      </c>
      <c r="E35">
        <v>0</v>
      </c>
      <c r="F35">
        <v>0</v>
      </c>
      <c r="G35">
        <v>0</v>
      </c>
      <c r="H35">
        <v>0</v>
      </c>
      <c r="I35">
        <f t="shared" si="1"/>
        <v>0</v>
      </c>
    </row>
    <row r="36" spans="1:9" x14ac:dyDescent="0.3">
      <c r="A36">
        <v>1998</v>
      </c>
      <c r="B36" t="s">
        <v>11</v>
      </c>
      <c r="C36" t="s">
        <v>10</v>
      </c>
      <c r="D36">
        <f t="shared" si="0"/>
        <v>0</v>
      </c>
      <c r="E36">
        <v>0</v>
      </c>
      <c r="F36">
        <v>0</v>
      </c>
      <c r="G36">
        <v>0</v>
      </c>
      <c r="H36">
        <v>0</v>
      </c>
      <c r="I36">
        <f t="shared" si="1"/>
        <v>0</v>
      </c>
    </row>
    <row r="37" spans="1:9" x14ac:dyDescent="0.3">
      <c r="A37">
        <v>1999</v>
      </c>
      <c r="B37" t="s">
        <v>11</v>
      </c>
      <c r="C37" t="s">
        <v>10</v>
      </c>
      <c r="D37">
        <f t="shared" si="0"/>
        <v>0</v>
      </c>
      <c r="E37">
        <v>0</v>
      </c>
      <c r="F37">
        <v>0</v>
      </c>
      <c r="G37">
        <v>0</v>
      </c>
      <c r="H37">
        <v>0</v>
      </c>
      <c r="I37">
        <f t="shared" si="1"/>
        <v>0</v>
      </c>
    </row>
    <row r="38" spans="1:9" x14ac:dyDescent="0.3">
      <c r="A38">
        <v>2000</v>
      </c>
      <c r="B38" t="s">
        <v>11</v>
      </c>
      <c r="C38" t="s">
        <v>10</v>
      </c>
      <c r="D38">
        <f t="shared" si="0"/>
        <v>28</v>
      </c>
      <c r="E38">
        <v>7</v>
      </c>
      <c r="F38">
        <v>4</v>
      </c>
      <c r="G38">
        <f>F38+17</f>
        <v>21</v>
      </c>
      <c r="H38">
        <f>E38</f>
        <v>7</v>
      </c>
      <c r="I38">
        <f t="shared" si="1"/>
        <v>0</v>
      </c>
    </row>
    <row r="39" spans="1:9" x14ac:dyDescent="0.3">
      <c r="A39">
        <v>2001</v>
      </c>
      <c r="B39" t="s">
        <v>11</v>
      </c>
      <c r="C39" t="s">
        <v>10</v>
      </c>
      <c r="D39">
        <f t="shared" si="0"/>
        <v>0</v>
      </c>
      <c r="E39">
        <v>0</v>
      </c>
      <c r="F39">
        <v>0</v>
      </c>
      <c r="G39">
        <v>0</v>
      </c>
      <c r="H39">
        <v>0</v>
      </c>
      <c r="I39">
        <f t="shared" si="1"/>
        <v>0</v>
      </c>
    </row>
    <row r="40" spans="1:9" x14ac:dyDescent="0.3">
      <c r="A40">
        <v>2002</v>
      </c>
      <c r="B40" t="s">
        <v>11</v>
      </c>
      <c r="C40" t="s">
        <v>10</v>
      </c>
      <c r="D40">
        <f t="shared" si="0"/>
        <v>7</v>
      </c>
      <c r="E40">
        <v>0</v>
      </c>
      <c r="F40">
        <v>4</v>
      </c>
      <c r="G40">
        <v>7</v>
      </c>
      <c r="H40">
        <v>0</v>
      </c>
      <c r="I40">
        <f t="shared" si="1"/>
        <v>0</v>
      </c>
    </row>
    <row r="41" spans="1:9" x14ac:dyDescent="0.3">
      <c r="A41">
        <v>2003</v>
      </c>
      <c r="B41" t="s">
        <v>11</v>
      </c>
      <c r="C41" t="s">
        <v>10</v>
      </c>
      <c r="D41">
        <f t="shared" si="0"/>
        <v>6</v>
      </c>
      <c r="E41">
        <v>6</v>
      </c>
      <c r="F41">
        <v>0</v>
      </c>
      <c r="G41">
        <v>0</v>
      </c>
      <c r="H41">
        <v>6</v>
      </c>
      <c r="I41">
        <f t="shared" si="1"/>
        <v>0</v>
      </c>
    </row>
    <row r="42" spans="1:9" x14ac:dyDescent="0.3">
      <c r="A42">
        <v>2004</v>
      </c>
      <c r="B42" t="s">
        <v>11</v>
      </c>
      <c r="C42" t="s">
        <v>10</v>
      </c>
      <c r="D42">
        <f t="shared" si="0"/>
        <v>5</v>
      </c>
      <c r="E42">
        <v>0</v>
      </c>
      <c r="F42">
        <v>4</v>
      </c>
      <c r="G42">
        <v>5</v>
      </c>
      <c r="H42">
        <v>0</v>
      </c>
      <c r="I42">
        <f t="shared" si="1"/>
        <v>0</v>
      </c>
    </row>
    <row r="43" spans="1:9" x14ac:dyDescent="0.3">
      <c r="A43">
        <v>2005</v>
      </c>
      <c r="B43" t="s">
        <v>11</v>
      </c>
      <c r="C43" t="s">
        <v>10</v>
      </c>
      <c r="D43">
        <f t="shared" si="0"/>
        <v>0</v>
      </c>
      <c r="E43">
        <v>0</v>
      </c>
      <c r="F43">
        <v>0</v>
      </c>
      <c r="G43">
        <v>0</v>
      </c>
      <c r="H43">
        <v>0</v>
      </c>
      <c r="I43">
        <f t="shared" si="1"/>
        <v>0</v>
      </c>
    </row>
    <row r="44" spans="1:9" x14ac:dyDescent="0.3">
      <c r="A44">
        <v>2006</v>
      </c>
      <c r="B44" t="s">
        <v>11</v>
      </c>
      <c r="C44" t="s">
        <v>10</v>
      </c>
      <c r="D44">
        <f t="shared" si="0"/>
        <v>0</v>
      </c>
      <c r="E44">
        <v>0</v>
      </c>
      <c r="F44">
        <v>0</v>
      </c>
      <c r="G44">
        <v>0</v>
      </c>
      <c r="H44">
        <v>0</v>
      </c>
      <c r="I44">
        <f t="shared" si="1"/>
        <v>0</v>
      </c>
    </row>
    <row r="45" spans="1:9" x14ac:dyDescent="0.3">
      <c r="A45">
        <v>2007</v>
      </c>
      <c r="B45" t="s">
        <v>11</v>
      </c>
      <c r="C45" t="s">
        <v>10</v>
      </c>
      <c r="D45">
        <f t="shared" si="0"/>
        <v>0</v>
      </c>
      <c r="E45">
        <v>0</v>
      </c>
      <c r="F45">
        <v>0</v>
      </c>
      <c r="G45">
        <v>0</v>
      </c>
      <c r="H45">
        <v>0</v>
      </c>
      <c r="I45">
        <f t="shared" si="1"/>
        <v>0</v>
      </c>
    </row>
    <row r="46" spans="1:9" x14ac:dyDescent="0.3">
      <c r="A46">
        <v>2008</v>
      </c>
      <c r="B46" t="s">
        <v>11</v>
      </c>
      <c r="C46" t="s">
        <v>10</v>
      </c>
      <c r="D46">
        <f t="shared" si="0"/>
        <v>0</v>
      </c>
      <c r="E46">
        <v>0</v>
      </c>
      <c r="F46">
        <v>0</v>
      </c>
      <c r="G46">
        <v>0</v>
      </c>
      <c r="H46">
        <v>0</v>
      </c>
      <c r="I46">
        <f t="shared" si="1"/>
        <v>0</v>
      </c>
    </row>
    <row r="47" spans="1:9" x14ac:dyDescent="0.3">
      <c r="A47">
        <v>2009</v>
      </c>
      <c r="B47" t="s">
        <v>11</v>
      </c>
      <c r="C47" t="s">
        <v>10</v>
      </c>
      <c r="D47">
        <f t="shared" si="0"/>
        <v>7</v>
      </c>
      <c r="E47">
        <v>0</v>
      </c>
      <c r="F47">
        <v>1</v>
      </c>
      <c r="G47">
        <v>7</v>
      </c>
      <c r="H47">
        <v>0</v>
      </c>
      <c r="I47">
        <f t="shared" si="1"/>
        <v>0</v>
      </c>
    </row>
    <row r="48" spans="1:9" x14ac:dyDescent="0.3">
      <c r="A48">
        <v>2010</v>
      </c>
      <c r="B48" t="s">
        <v>11</v>
      </c>
      <c r="C48" t="s">
        <v>10</v>
      </c>
      <c r="D48">
        <f t="shared" si="0"/>
        <v>0</v>
      </c>
      <c r="E48">
        <v>0</v>
      </c>
      <c r="F48">
        <v>0</v>
      </c>
      <c r="G48">
        <v>0</v>
      </c>
      <c r="H48">
        <v>0</v>
      </c>
      <c r="I48">
        <f t="shared" si="1"/>
        <v>0</v>
      </c>
    </row>
    <row r="49" spans="1:9" x14ac:dyDescent="0.3">
      <c r="A49">
        <v>2011</v>
      </c>
      <c r="B49" t="s">
        <v>11</v>
      </c>
      <c r="C49" t="s">
        <v>10</v>
      </c>
      <c r="D49">
        <f>G49+H49</f>
        <v>2</v>
      </c>
      <c r="E49">
        <v>0</v>
      </c>
      <c r="F49">
        <v>0</v>
      </c>
      <c r="G49">
        <v>2</v>
      </c>
      <c r="H49">
        <v>0</v>
      </c>
      <c r="I49">
        <f t="shared" si="1"/>
        <v>0</v>
      </c>
    </row>
    <row r="50" spans="1:9" x14ac:dyDescent="0.3">
      <c r="A50">
        <v>2012</v>
      </c>
      <c r="B50" t="s">
        <v>11</v>
      </c>
      <c r="C50" t="s">
        <v>10</v>
      </c>
      <c r="D50">
        <f t="shared" si="0"/>
        <v>16</v>
      </c>
      <c r="E50">
        <v>2</v>
      </c>
      <c r="F50">
        <v>14</v>
      </c>
      <c r="G50">
        <v>14</v>
      </c>
      <c r="H50">
        <v>2</v>
      </c>
      <c r="I50">
        <f t="shared" si="1"/>
        <v>0</v>
      </c>
    </row>
    <row r="51" spans="1:9" x14ac:dyDescent="0.3">
      <c r="A51">
        <v>2013</v>
      </c>
      <c r="B51" t="s">
        <v>11</v>
      </c>
      <c r="C51" t="s">
        <v>10</v>
      </c>
      <c r="D51">
        <f t="shared" si="0"/>
        <v>20</v>
      </c>
      <c r="E51">
        <v>0</v>
      </c>
      <c r="F51">
        <v>12</v>
      </c>
      <c r="G51">
        <v>20</v>
      </c>
      <c r="H51">
        <v>0</v>
      </c>
      <c r="I51">
        <f t="shared" si="1"/>
        <v>0</v>
      </c>
    </row>
    <row r="52" spans="1:9" x14ac:dyDescent="0.3">
      <c r="A52">
        <v>2014</v>
      </c>
      <c r="B52" t="s">
        <v>11</v>
      </c>
      <c r="C52" t="s">
        <v>10</v>
      </c>
      <c r="D52">
        <f t="shared" si="0"/>
        <v>8</v>
      </c>
      <c r="E52">
        <v>1</v>
      </c>
      <c r="F52">
        <v>7</v>
      </c>
      <c r="G52">
        <v>7</v>
      </c>
      <c r="H52">
        <v>1</v>
      </c>
      <c r="I52">
        <f t="shared" si="1"/>
        <v>0</v>
      </c>
    </row>
    <row r="53" spans="1:9" x14ac:dyDescent="0.3">
      <c r="A53">
        <v>2015</v>
      </c>
      <c r="B53" t="s">
        <v>11</v>
      </c>
      <c r="C53" t="s">
        <v>10</v>
      </c>
      <c r="D53">
        <f>G53+H53</f>
        <v>4</v>
      </c>
      <c r="E53">
        <v>3</v>
      </c>
      <c r="F53">
        <v>0</v>
      </c>
      <c r="G53">
        <v>1</v>
      </c>
      <c r="H53">
        <v>3</v>
      </c>
      <c r="I53">
        <f t="shared" si="1"/>
        <v>0</v>
      </c>
    </row>
    <row r="54" spans="1:9" x14ac:dyDescent="0.3">
      <c r="A54">
        <v>2016</v>
      </c>
      <c r="B54" t="s">
        <v>11</v>
      </c>
      <c r="C54" t="s">
        <v>10</v>
      </c>
      <c r="D54">
        <f t="shared" si="0"/>
        <v>0</v>
      </c>
      <c r="E54">
        <v>0</v>
      </c>
      <c r="F54">
        <v>0</v>
      </c>
      <c r="G54">
        <v>0</v>
      </c>
      <c r="H54">
        <v>0</v>
      </c>
      <c r="I54">
        <f t="shared" si="1"/>
        <v>0</v>
      </c>
    </row>
    <row r="55" spans="1:9" x14ac:dyDescent="0.3">
      <c r="A55">
        <v>2017</v>
      </c>
      <c r="B55" t="s">
        <v>11</v>
      </c>
      <c r="C55" t="s">
        <v>10</v>
      </c>
      <c r="D55">
        <f t="shared" si="0"/>
        <v>0</v>
      </c>
      <c r="E55">
        <v>0</v>
      </c>
      <c r="F55">
        <v>0</v>
      </c>
      <c r="G55">
        <v>0</v>
      </c>
      <c r="H55">
        <v>0</v>
      </c>
      <c r="I55">
        <f t="shared" si="1"/>
        <v>0</v>
      </c>
    </row>
    <row r="56" spans="1:9" x14ac:dyDescent="0.3">
      <c r="A56">
        <v>2018</v>
      </c>
      <c r="B56" t="s">
        <v>11</v>
      </c>
      <c r="C56" t="s">
        <v>10</v>
      </c>
      <c r="D56">
        <f t="shared" si="0"/>
        <v>31</v>
      </c>
      <c r="E56">
        <v>1</v>
      </c>
      <c r="F56">
        <v>17</v>
      </c>
      <c r="G56">
        <v>28</v>
      </c>
      <c r="H56">
        <v>3</v>
      </c>
      <c r="I56">
        <f t="shared" si="1"/>
        <v>2</v>
      </c>
    </row>
    <row r="57" spans="1:9" x14ac:dyDescent="0.3">
      <c r="A57">
        <v>2019</v>
      </c>
      <c r="B57" t="s">
        <v>11</v>
      </c>
      <c r="C57" t="s">
        <v>10</v>
      </c>
      <c r="D57">
        <f>G57+H57</f>
        <v>27</v>
      </c>
      <c r="E57">
        <v>17</v>
      </c>
      <c r="F57">
        <v>7</v>
      </c>
      <c r="G57">
        <v>10</v>
      </c>
      <c r="H57">
        <v>17</v>
      </c>
      <c r="I57">
        <f t="shared" si="1"/>
        <v>0</v>
      </c>
    </row>
    <row r="58" spans="1:9" x14ac:dyDescent="0.3">
      <c r="A58">
        <v>2020</v>
      </c>
      <c r="B58" t="s">
        <v>11</v>
      </c>
      <c r="C58" t="s">
        <v>10</v>
      </c>
      <c r="D58">
        <f t="shared" si="0"/>
        <v>1</v>
      </c>
      <c r="E58">
        <v>0</v>
      </c>
      <c r="F58">
        <v>1</v>
      </c>
      <c r="G58">
        <v>1</v>
      </c>
      <c r="H58">
        <v>0</v>
      </c>
      <c r="I58">
        <f t="shared" si="1"/>
        <v>0</v>
      </c>
    </row>
    <row r="59" spans="1:9" x14ac:dyDescent="0.3">
      <c r="A59">
        <v>2021</v>
      </c>
      <c r="B59" t="s">
        <v>11</v>
      </c>
      <c r="C59" t="s">
        <v>10</v>
      </c>
      <c r="D59">
        <f t="shared" si="0"/>
        <v>0</v>
      </c>
      <c r="E59">
        <v>0</v>
      </c>
      <c r="F59">
        <v>0</v>
      </c>
      <c r="G59">
        <v>0</v>
      </c>
      <c r="H59">
        <v>0</v>
      </c>
      <c r="I59">
        <f t="shared" si="1"/>
        <v>0</v>
      </c>
    </row>
    <row r="60" spans="1:9" x14ac:dyDescent="0.3">
      <c r="A60" s="25">
        <v>1993</v>
      </c>
      <c r="B60" s="25" t="s">
        <v>9</v>
      </c>
      <c r="C60" s="25" t="s">
        <v>12</v>
      </c>
      <c r="D60" s="25">
        <f t="shared" si="0"/>
        <v>42</v>
      </c>
      <c r="E60" s="25">
        <v>6</v>
      </c>
      <c r="F60" s="25">
        <v>14</v>
      </c>
      <c r="G60" s="25">
        <f>F60+22</f>
        <v>36</v>
      </c>
      <c r="H60" s="25">
        <f>E60</f>
        <v>6</v>
      </c>
      <c r="I60" s="25">
        <f t="shared" si="1"/>
        <v>0</v>
      </c>
    </row>
    <row r="61" spans="1:9" x14ac:dyDescent="0.3">
      <c r="A61" s="25">
        <v>1994</v>
      </c>
      <c r="B61" s="25" t="s">
        <v>9</v>
      </c>
      <c r="C61" s="25" t="s">
        <v>12</v>
      </c>
      <c r="D61" s="25">
        <f t="shared" si="0"/>
        <v>2</v>
      </c>
      <c r="E61" s="25">
        <v>0</v>
      </c>
      <c r="F61" s="25">
        <v>1</v>
      </c>
      <c r="G61" s="25">
        <v>2</v>
      </c>
      <c r="H61" s="25">
        <v>0</v>
      </c>
      <c r="I61" s="25">
        <f t="shared" si="1"/>
        <v>0</v>
      </c>
    </row>
    <row r="62" spans="1:9" x14ac:dyDescent="0.3">
      <c r="A62" s="25">
        <v>1995</v>
      </c>
      <c r="B62" s="25" t="s">
        <v>9</v>
      </c>
      <c r="C62" s="25" t="s">
        <v>12</v>
      </c>
      <c r="D62" s="25">
        <f t="shared" si="0"/>
        <v>0</v>
      </c>
      <c r="E62" s="25">
        <v>0</v>
      </c>
      <c r="F62" s="25">
        <v>0</v>
      </c>
      <c r="G62" s="25">
        <v>0</v>
      </c>
      <c r="H62" s="25">
        <v>0</v>
      </c>
      <c r="I62" s="25">
        <f t="shared" si="1"/>
        <v>0</v>
      </c>
    </row>
    <row r="63" spans="1:9" x14ac:dyDescent="0.3">
      <c r="A63" s="25">
        <v>1996</v>
      </c>
      <c r="B63" s="25" t="s">
        <v>9</v>
      </c>
      <c r="C63" s="25" t="s">
        <v>12</v>
      </c>
      <c r="D63" s="25">
        <f t="shared" si="0"/>
        <v>16</v>
      </c>
      <c r="E63" s="25">
        <v>1</v>
      </c>
      <c r="F63" s="25">
        <v>7</v>
      </c>
      <c r="G63" s="25">
        <v>13</v>
      </c>
      <c r="H63" s="25">
        <v>3</v>
      </c>
      <c r="I63" s="25">
        <f t="shared" si="1"/>
        <v>2</v>
      </c>
    </row>
    <row r="64" spans="1:9" x14ac:dyDescent="0.3">
      <c r="A64" s="25">
        <v>1997</v>
      </c>
      <c r="B64" s="25" t="s">
        <v>9</v>
      </c>
      <c r="C64" s="25" t="s">
        <v>12</v>
      </c>
      <c r="D64" s="25">
        <f t="shared" si="0"/>
        <v>20</v>
      </c>
      <c r="E64" s="25">
        <v>6</v>
      </c>
      <c r="F64" s="25">
        <v>10</v>
      </c>
      <c r="G64" s="25">
        <v>12</v>
      </c>
      <c r="H64" s="25">
        <v>8</v>
      </c>
      <c r="I64" s="25">
        <f t="shared" si="1"/>
        <v>2</v>
      </c>
    </row>
    <row r="65" spans="1:9" x14ac:dyDescent="0.3">
      <c r="A65" s="25">
        <v>1998</v>
      </c>
      <c r="B65" s="25" t="s">
        <v>9</v>
      </c>
      <c r="C65" s="25" t="s">
        <v>12</v>
      </c>
      <c r="D65" s="25">
        <f t="shared" si="0"/>
        <v>6</v>
      </c>
      <c r="E65" s="25">
        <v>0</v>
      </c>
      <c r="F65" s="25">
        <v>2</v>
      </c>
      <c r="G65" s="25">
        <v>2</v>
      </c>
      <c r="H65" s="25">
        <v>4</v>
      </c>
      <c r="I65" s="25">
        <f t="shared" si="1"/>
        <v>4</v>
      </c>
    </row>
    <row r="66" spans="1:9" x14ac:dyDescent="0.3">
      <c r="A66" s="25">
        <v>1999</v>
      </c>
      <c r="B66" s="25" t="s">
        <v>9</v>
      </c>
      <c r="C66" s="25" t="s">
        <v>12</v>
      </c>
      <c r="D66" s="25">
        <f t="shared" si="0"/>
        <v>40</v>
      </c>
      <c r="E66" s="25">
        <v>3</v>
      </c>
      <c r="F66" s="25">
        <v>31</v>
      </c>
      <c r="G66" s="25">
        <v>36</v>
      </c>
      <c r="H66" s="25">
        <v>4</v>
      </c>
      <c r="I66" s="25">
        <f t="shared" si="1"/>
        <v>1</v>
      </c>
    </row>
    <row r="67" spans="1:9" x14ac:dyDescent="0.3">
      <c r="A67" s="25">
        <v>2000</v>
      </c>
      <c r="B67" s="25" t="s">
        <v>9</v>
      </c>
      <c r="C67" s="25" t="s">
        <v>12</v>
      </c>
      <c r="D67" s="25">
        <f t="shared" si="0"/>
        <v>40</v>
      </c>
      <c r="E67" s="25">
        <v>2</v>
      </c>
      <c r="F67" s="25">
        <v>12</v>
      </c>
      <c r="G67" s="25">
        <v>30</v>
      </c>
      <c r="H67" s="25">
        <v>10</v>
      </c>
      <c r="I67" s="25">
        <f t="shared" si="1"/>
        <v>8</v>
      </c>
    </row>
    <row r="68" spans="1:9" x14ac:dyDescent="0.3">
      <c r="A68" s="25">
        <v>2001</v>
      </c>
      <c r="B68" s="25" t="s">
        <v>9</v>
      </c>
      <c r="C68" s="25" t="s">
        <v>12</v>
      </c>
      <c r="D68" s="25">
        <f t="shared" si="0"/>
        <v>9</v>
      </c>
      <c r="E68" s="25">
        <v>0</v>
      </c>
      <c r="F68" s="25">
        <v>9</v>
      </c>
      <c r="G68" s="25">
        <v>9</v>
      </c>
      <c r="H68" s="25">
        <v>0</v>
      </c>
      <c r="I68" s="25">
        <f>H68-E68</f>
        <v>0</v>
      </c>
    </row>
    <row r="69" spans="1:9" x14ac:dyDescent="0.3">
      <c r="A69" s="25">
        <v>2002</v>
      </c>
      <c r="B69" s="25" t="s">
        <v>9</v>
      </c>
      <c r="C69" s="25" t="s">
        <v>12</v>
      </c>
      <c r="D69" s="25">
        <f t="shared" si="0"/>
        <v>35</v>
      </c>
      <c r="E69" s="25">
        <v>3</v>
      </c>
      <c r="F69" s="25">
        <v>11</v>
      </c>
      <c r="G69" s="25">
        <v>31</v>
      </c>
      <c r="H69" s="25">
        <v>4</v>
      </c>
      <c r="I69" s="25">
        <f t="shared" si="1"/>
        <v>1</v>
      </c>
    </row>
    <row r="70" spans="1:9" x14ac:dyDescent="0.3">
      <c r="A70" s="25">
        <v>2003</v>
      </c>
      <c r="B70" s="25" t="s">
        <v>9</v>
      </c>
      <c r="C70" s="25" t="s">
        <v>12</v>
      </c>
      <c r="D70" s="25">
        <f t="shared" si="0"/>
        <v>61</v>
      </c>
      <c r="E70" s="25">
        <v>4</v>
      </c>
      <c r="F70" s="25">
        <v>31</v>
      </c>
      <c r="G70" s="25">
        <v>52</v>
      </c>
      <c r="H70" s="25">
        <v>9</v>
      </c>
      <c r="I70" s="25">
        <f t="shared" si="1"/>
        <v>5</v>
      </c>
    </row>
    <row r="71" spans="1:9" x14ac:dyDescent="0.3">
      <c r="A71" s="25">
        <v>2004</v>
      </c>
      <c r="B71" s="25" t="s">
        <v>9</v>
      </c>
      <c r="C71" s="25" t="s">
        <v>12</v>
      </c>
      <c r="D71" s="25">
        <f t="shared" ref="D71:D140" si="2">G71+H71</f>
        <v>12</v>
      </c>
      <c r="E71" s="25">
        <v>0</v>
      </c>
      <c r="F71" s="25">
        <v>6</v>
      </c>
      <c r="G71" s="25">
        <v>12</v>
      </c>
      <c r="H71" s="25">
        <v>0</v>
      </c>
      <c r="I71" s="25">
        <f t="shared" ref="I71:I89" si="3">H71-E71</f>
        <v>0</v>
      </c>
    </row>
    <row r="72" spans="1:9" x14ac:dyDescent="0.3">
      <c r="A72" s="25">
        <v>2005</v>
      </c>
      <c r="B72" s="25" t="s">
        <v>9</v>
      </c>
      <c r="C72" s="25" t="s">
        <v>12</v>
      </c>
      <c r="D72" s="25">
        <f t="shared" si="2"/>
        <v>64</v>
      </c>
      <c r="E72" s="25">
        <v>0</v>
      </c>
      <c r="F72" s="25">
        <v>29</v>
      </c>
      <c r="G72" s="25">
        <v>62</v>
      </c>
      <c r="H72" s="25">
        <v>2</v>
      </c>
      <c r="I72" s="25">
        <f t="shared" si="3"/>
        <v>2</v>
      </c>
    </row>
    <row r="73" spans="1:9" x14ac:dyDescent="0.3">
      <c r="A73" s="25">
        <v>2006</v>
      </c>
      <c r="B73" s="25" t="s">
        <v>9</v>
      </c>
      <c r="C73" s="25" t="s">
        <v>12</v>
      </c>
      <c r="D73" s="25">
        <f t="shared" si="2"/>
        <v>25</v>
      </c>
      <c r="E73" s="25">
        <v>2</v>
      </c>
      <c r="F73" s="25">
        <v>10</v>
      </c>
      <c r="G73" s="25">
        <v>20</v>
      </c>
      <c r="H73" s="25">
        <v>5</v>
      </c>
      <c r="I73" s="25">
        <f t="shared" si="3"/>
        <v>3</v>
      </c>
    </row>
    <row r="74" spans="1:9" x14ac:dyDescent="0.3">
      <c r="A74" s="25">
        <v>2007</v>
      </c>
      <c r="B74" s="25" t="s">
        <v>9</v>
      </c>
      <c r="C74" s="25" t="s">
        <v>12</v>
      </c>
      <c r="D74" s="25">
        <f t="shared" si="2"/>
        <v>35</v>
      </c>
      <c r="E74" s="25">
        <v>0</v>
      </c>
      <c r="F74" s="25">
        <v>10</v>
      </c>
      <c r="G74" s="25">
        <v>30</v>
      </c>
      <c r="H74" s="25">
        <v>5</v>
      </c>
      <c r="I74" s="25">
        <f t="shared" si="3"/>
        <v>5</v>
      </c>
    </row>
    <row r="75" spans="1:9" x14ac:dyDescent="0.3">
      <c r="A75" s="25">
        <v>2008</v>
      </c>
      <c r="B75" s="25" t="s">
        <v>9</v>
      </c>
      <c r="C75" s="25" t="s">
        <v>12</v>
      </c>
      <c r="D75" s="25">
        <f t="shared" si="2"/>
        <v>6</v>
      </c>
      <c r="E75" s="25">
        <v>2</v>
      </c>
      <c r="F75" s="25">
        <v>2</v>
      </c>
      <c r="G75" s="25">
        <v>4</v>
      </c>
      <c r="H75" s="25">
        <v>2</v>
      </c>
      <c r="I75" s="25">
        <f t="shared" si="3"/>
        <v>0</v>
      </c>
    </row>
    <row r="76" spans="1:9" x14ac:dyDescent="0.3">
      <c r="A76" s="25">
        <v>2009</v>
      </c>
      <c r="B76" s="25" t="s">
        <v>9</v>
      </c>
      <c r="C76" s="25" t="s">
        <v>12</v>
      </c>
      <c r="D76" s="25">
        <f t="shared" si="2"/>
        <v>71</v>
      </c>
      <c r="E76" s="25">
        <v>16</v>
      </c>
      <c r="F76" s="25">
        <v>23</v>
      </c>
      <c r="G76" s="25">
        <v>54</v>
      </c>
      <c r="H76" s="25">
        <v>17</v>
      </c>
      <c r="I76" s="25">
        <f t="shared" si="3"/>
        <v>1</v>
      </c>
    </row>
    <row r="77" spans="1:9" x14ac:dyDescent="0.3">
      <c r="A77" s="25">
        <v>2010</v>
      </c>
      <c r="B77" s="25" t="s">
        <v>9</v>
      </c>
      <c r="C77" s="25" t="s">
        <v>12</v>
      </c>
      <c r="D77" s="25">
        <f t="shared" si="2"/>
        <v>330</v>
      </c>
      <c r="E77" s="25">
        <v>2</v>
      </c>
      <c r="F77" s="25">
        <v>84</v>
      </c>
      <c r="G77" s="25">
        <v>321</v>
      </c>
      <c r="H77" s="25">
        <v>9</v>
      </c>
      <c r="I77" s="25">
        <f t="shared" si="3"/>
        <v>7</v>
      </c>
    </row>
    <row r="78" spans="1:9" x14ac:dyDescent="0.3">
      <c r="A78" s="25">
        <v>2011</v>
      </c>
      <c r="B78" s="25" t="s">
        <v>9</v>
      </c>
      <c r="C78" s="25" t="s">
        <v>12</v>
      </c>
      <c r="D78" s="25">
        <f t="shared" si="2"/>
        <v>92</v>
      </c>
      <c r="E78" s="25">
        <v>6</v>
      </c>
      <c r="F78" s="25">
        <v>30</v>
      </c>
      <c r="G78" s="25">
        <v>82</v>
      </c>
      <c r="H78" s="25">
        <v>10</v>
      </c>
      <c r="I78" s="25">
        <f t="shared" si="3"/>
        <v>4</v>
      </c>
    </row>
    <row r="79" spans="1:9" x14ac:dyDescent="0.3">
      <c r="A79" s="25">
        <v>2012</v>
      </c>
      <c r="B79" s="25" t="s">
        <v>9</v>
      </c>
      <c r="C79" s="25" t="s">
        <v>12</v>
      </c>
      <c r="D79" s="25">
        <f t="shared" si="2"/>
        <v>210</v>
      </c>
      <c r="E79" s="25">
        <v>8</v>
      </c>
      <c r="F79" s="25">
        <v>35</v>
      </c>
      <c r="G79" s="25">
        <v>190</v>
      </c>
      <c r="H79" s="25">
        <v>20</v>
      </c>
      <c r="I79" s="25">
        <f t="shared" si="3"/>
        <v>12</v>
      </c>
    </row>
    <row r="80" spans="1:9" x14ac:dyDescent="0.3">
      <c r="A80" s="25">
        <v>2013</v>
      </c>
      <c r="B80" s="25" t="s">
        <v>9</v>
      </c>
      <c r="C80" s="25" t="s">
        <v>12</v>
      </c>
      <c r="D80" s="25">
        <f t="shared" si="2"/>
        <v>74</v>
      </c>
      <c r="E80" s="25">
        <v>0</v>
      </c>
      <c r="F80" s="25">
        <v>28</v>
      </c>
      <c r="G80" s="25">
        <v>69</v>
      </c>
      <c r="H80" s="25">
        <v>5</v>
      </c>
      <c r="I80" s="25">
        <f t="shared" si="3"/>
        <v>5</v>
      </c>
    </row>
    <row r="81" spans="1:9" x14ac:dyDescent="0.3">
      <c r="A81" s="25">
        <v>2014</v>
      </c>
      <c r="B81" s="25" t="s">
        <v>9</v>
      </c>
      <c r="C81" s="25" t="s">
        <v>12</v>
      </c>
      <c r="D81" s="25">
        <f t="shared" si="2"/>
        <v>153</v>
      </c>
      <c r="E81" s="25">
        <v>2</v>
      </c>
      <c r="F81" s="25">
        <v>59</v>
      </c>
      <c r="G81" s="25">
        <v>146</v>
      </c>
      <c r="H81" s="25">
        <v>7</v>
      </c>
      <c r="I81" s="25">
        <f t="shared" si="3"/>
        <v>5</v>
      </c>
    </row>
    <row r="82" spans="1:9" x14ac:dyDescent="0.3">
      <c r="A82" s="25">
        <v>2015</v>
      </c>
      <c r="B82" s="25" t="s">
        <v>9</v>
      </c>
      <c r="C82" s="25" t="s">
        <v>12</v>
      </c>
      <c r="D82" s="25">
        <f t="shared" si="2"/>
        <v>63</v>
      </c>
      <c r="E82" s="25">
        <v>0</v>
      </c>
      <c r="F82" s="25">
        <v>27</v>
      </c>
      <c r="G82" s="25">
        <v>63</v>
      </c>
      <c r="H82" s="25">
        <v>0</v>
      </c>
      <c r="I82" s="25">
        <f t="shared" si="3"/>
        <v>0</v>
      </c>
    </row>
    <row r="83" spans="1:9" x14ac:dyDescent="0.3">
      <c r="A83" s="25">
        <v>2016</v>
      </c>
      <c r="B83" s="25" t="s">
        <v>9</v>
      </c>
      <c r="C83" s="25" t="s">
        <v>12</v>
      </c>
      <c r="D83" s="25">
        <f t="shared" si="2"/>
        <v>110</v>
      </c>
      <c r="E83" s="25">
        <v>0</v>
      </c>
      <c r="F83" s="25">
        <v>41</v>
      </c>
      <c r="G83" s="25">
        <v>105</v>
      </c>
      <c r="H83" s="25">
        <v>5</v>
      </c>
      <c r="I83" s="25">
        <f t="shared" si="3"/>
        <v>5</v>
      </c>
    </row>
    <row r="84" spans="1:9" x14ac:dyDescent="0.3">
      <c r="A84" s="25">
        <v>2017</v>
      </c>
      <c r="B84" s="25" t="s">
        <v>9</v>
      </c>
      <c r="C84" s="25" t="s">
        <v>12</v>
      </c>
      <c r="D84" s="25">
        <f t="shared" si="2"/>
        <v>77</v>
      </c>
      <c r="E84" s="25">
        <v>2</v>
      </c>
      <c r="F84" s="25">
        <v>45</v>
      </c>
      <c r="G84" s="25">
        <v>74</v>
      </c>
      <c r="H84" s="25">
        <v>3</v>
      </c>
      <c r="I84" s="25">
        <f t="shared" si="3"/>
        <v>1</v>
      </c>
    </row>
    <row r="85" spans="1:9" x14ac:dyDescent="0.3">
      <c r="A85" s="25">
        <v>2018</v>
      </c>
      <c r="B85" s="25" t="s">
        <v>9</v>
      </c>
      <c r="C85" s="25" t="s">
        <v>12</v>
      </c>
      <c r="D85" s="25">
        <f t="shared" si="2"/>
        <v>307</v>
      </c>
      <c r="E85" s="25">
        <v>12</v>
      </c>
      <c r="F85" s="25">
        <v>140</v>
      </c>
      <c r="G85" s="25">
        <v>287</v>
      </c>
      <c r="H85" s="25">
        <v>20</v>
      </c>
      <c r="I85" s="25">
        <f t="shared" si="3"/>
        <v>8</v>
      </c>
    </row>
    <row r="86" spans="1:9" x14ac:dyDescent="0.3">
      <c r="A86" s="25">
        <v>2019</v>
      </c>
      <c r="B86" s="25" t="s">
        <v>9</v>
      </c>
      <c r="C86" s="25" t="s">
        <v>12</v>
      </c>
      <c r="D86" s="25">
        <f t="shared" ref="D86" si="4">G86+H86</f>
        <v>281</v>
      </c>
      <c r="E86" s="25">
        <v>5</v>
      </c>
      <c r="F86" s="25">
        <v>216</v>
      </c>
      <c r="G86" s="25">
        <v>270</v>
      </c>
      <c r="H86" s="25">
        <v>11</v>
      </c>
      <c r="I86" s="25">
        <f t="shared" si="3"/>
        <v>6</v>
      </c>
    </row>
    <row r="87" spans="1:9" x14ac:dyDescent="0.3">
      <c r="A87" s="25">
        <v>2020</v>
      </c>
      <c r="B87" s="25" t="s">
        <v>9</v>
      </c>
      <c r="C87" s="25" t="s">
        <v>12</v>
      </c>
      <c r="D87" s="25">
        <f t="shared" si="2"/>
        <v>159</v>
      </c>
      <c r="E87" s="25">
        <v>3</v>
      </c>
      <c r="F87" s="25">
        <v>123</v>
      </c>
      <c r="G87" s="25">
        <v>151</v>
      </c>
      <c r="H87" s="25">
        <v>8</v>
      </c>
      <c r="I87" s="25">
        <f t="shared" si="3"/>
        <v>5</v>
      </c>
    </row>
    <row r="88" spans="1:9" x14ac:dyDescent="0.3">
      <c r="A88" s="25">
        <v>2021</v>
      </c>
      <c r="B88" s="25" t="s">
        <v>9</v>
      </c>
      <c r="C88" s="25" t="s">
        <v>12</v>
      </c>
      <c r="D88" s="25">
        <f t="shared" si="2"/>
        <v>103</v>
      </c>
      <c r="E88" s="25">
        <v>2</v>
      </c>
      <c r="F88" s="25">
        <v>83</v>
      </c>
      <c r="G88" s="25">
        <v>99</v>
      </c>
      <c r="H88" s="25">
        <v>4</v>
      </c>
      <c r="I88" s="25">
        <f t="shared" si="3"/>
        <v>2</v>
      </c>
    </row>
    <row r="89" spans="1:9" x14ac:dyDescent="0.3">
      <c r="A89">
        <v>1993</v>
      </c>
      <c r="B89" t="s">
        <v>11</v>
      </c>
      <c r="C89" t="s">
        <v>12</v>
      </c>
      <c r="D89">
        <f t="shared" si="2"/>
        <v>6</v>
      </c>
      <c r="E89">
        <v>0</v>
      </c>
      <c r="F89">
        <v>4</v>
      </c>
      <c r="G89">
        <v>6</v>
      </c>
      <c r="H89">
        <v>0</v>
      </c>
      <c r="I89">
        <f t="shared" si="3"/>
        <v>0</v>
      </c>
    </row>
    <row r="90" spans="1:9" x14ac:dyDescent="0.3">
      <c r="A90">
        <v>1994</v>
      </c>
      <c r="B90" t="s">
        <v>11</v>
      </c>
      <c r="C90" t="s">
        <v>12</v>
      </c>
      <c r="D90">
        <f t="shared" si="2"/>
        <v>0</v>
      </c>
      <c r="E90">
        <v>0</v>
      </c>
      <c r="F90">
        <v>0</v>
      </c>
      <c r="G90">
        <v>0</v>
      </c>
      <c r="H90">
        <v>0</v>
      </c>
      <c r="I90">
        <f>H90-E90</f>
        <v>0</v>
      </c>
    </row>
    <row r="91" spans="1:9" x14ac:dyDescent="0.3">
      <c r="A91">
        <v>1995</v>
      </c>
      <c r="B91" t="s">
        <v>11</v>
      </c>
      <c r="C91" t="s">
        <v>12</v>
      </c>
      <c r="D91">
        <f t="shared" si="2"/>
        <v>7</v>
      </c>
      <c r="E91">
        <v>0</v>
      </c>
      <c r="F91">
        <v>3</v>
      </c>
      <c r="G91">
        <v>7</v>
      </c>
      <c r="H91">
        <v>0</v>
      </c>
      <c r="I91">
        <f t="shared" ref="I91:I119" si="5">H91-E91</f>
        <v>0</v>
      </c>
    </row>
    <row r="92" spans="1:9" x14ac:dyDescent="0.3">
      <c r="A92">
        <v>1996</v>
      </c>
      <c r="B92" t="s">
        <v>11</v>
      </c>
      <c r="C92" t="s">
        <v>12</v>
      </c>
      <c r="D92">
        <f t="shared" si="2"/>
        <v>13</v>
      </c>
      <c r="E92">
        <v>0</v>
      </c>
      <c r="F92">
        <v>2</v>
      </c>
      <c r="G92">
        <v>13</v>
      </c>
      <c r="H92">
        <v>0</v>
      </c>
      <c r="I92">
        <f t="shared" si="5"/>
        <v>0</v>
      </c>
    </row>
    <row r="93" spans="1:9" x14ac:dyDescent="0.3">
      <c r="A93">
        <v>1997</v>
      </c>
      <c r="B93" t="s">
        <v>11</v>
      </c>
      <c r="C93" t="s">
        <v>12</v>
      </c>
      <c r="D93">
        <f t="shared" si="2"/>
        <v>32</v>
      </c>
      <c r="E93">
        <v>2</v>
      </c>
      <c r="F93">
        <v>17</v>
      </c>
      <c r="G93">
        <v>30</v>
      </c>
      <c r="H93">
        <v>2</v>
      </c>
      <c r="I93">
        <f t="shared" si="5"/>
        <v>0</v>
      </c>
    </row>
    <row r="94" spans="1:9" x14ac:dyDescent="0.3">
      <c r="A94">
        <v>1998</v>
      </c>
      <c r="B94" t="s">
        <v>11</v>
      </c>
      <c r="C94" t="s">
        <v>12</v>
      </c>
      <c r="D94">
        <f t="shared" si="2"/>
        <v>27</v>
      </c>
      <c r="E94">
        <v>0</v>
      </c>
      <c r="F94">
        <v>16</v>
      </c>
      <c r="G94">
        <v>27</v>
      </c>
      <c r="H94">
        <v>0</v>
      </c>
      <c r="I94">
        <f t="shared" si="5"/>
        <v>0</v>
      </c>
    </row>
    <row r="95" spans="1:9" x14ac:dyDescent="0.3">
      <c r="A95">
        <v>1999</v>
      </c>
      <c r="B95" t="s">
        <v>11</v>
      </c>
      <c r="C95" t="s">
        <v>12</v>
      </c>
      <c r="D95">
        <f t="shared" si="2"/>
        <v>60</v>
      </c>
      <c r="E95">
        <v>0</v>
      </c>
      <c r="F95">
        <v>39</v>
      </c>
      <c r="G95">
        <v>59</v>
      </c>
      <c r="H95">
        <v>1</v>
      </c>
      <c r="I95">
        <f t="shared" si="5"/>
        <v>1</v>
      </c>
    </row>
    <row r="96" spans="1:9" x14ac:dyDescent="0.3">
      <c r="A96">
        <v>2000</v>
      </c>
      <c r="B96" t="s">
        <v>11</v>
      </c>
      <c r="C96" t="s">
        <v>12</v>
      </c>
      <c r="D96">
        <f t="shared" si="2"/>
        <v>41</v>
      </c>
      <c r="E96">
        <v>0</v>
      </c>
      <c r="F96">
        <v>27</v>
      </c>
      <c r="G96">
        <v>41</v>
      </c>
      <c r="H96">
        <v>0</v>
      </c>
      <c r="I96">
        <f t="shared" si="5"/>
        <v>0</v>
      </c>
    </row>
    <row r="97" spans="1:9" x14ac:dyDescent="0.3">
      <c r="A97">
        <v>2001</v>
      </c>
      <c r="B97" t="s">
        <v>11</v>
      </c>
      <c r="C97" t="s">
        <v>12</v>
      </c>
      <c r="D97">
        <f t="shared" si="2"/>
        <v>56</v>
      </c>
      <c r="E97">
        <v>0</v>
      </c>
      <c r="F97">
        <v>30</v>
      </c>
      <c r="G97">
        <v>55</v>
      </c>
      <c r="H97">
        <v>1</v>
      </c>
      <c r="I97">
        <f t="shared" si="5"/>
        <v>1</v>
      </c>
    </row>
    <row r="98" spans="1:9" x14ac:dyDescent="0.3">
      <c r="A98">
        <v>2002</v>
      </c>
      <c r="B98" t="s">
        <v>11</v>
      </c>
      <c r="C98" t="s">
        <v>12</v>
      </c>
      <c r="D98">
        <f t="shared" si="2"/>
        <v>32</v>
      </c>
      <c r="E98">
        <v>0</v>
      </c>
      <c r="F98">
        <v>10</v>
      </c>
      <c r="G98">
        <v>32</v>
      </c>
      <c r="H98">
        <v>0</v>
      </c>
      <c r="I98">
        <f t="shared" si="5"/>
        <v>0</v>
      </c>
    </row>
    <row r="99" spans="1:9" x14ac:dyDescent="0.3">
      <c r="A99">
        <v>2003</v>
      </c>
      <c r="B99" t="s">
        <v>11</v>
      </c>
      <c r="C99" t="s">
        <v>12</v>
      </c>
      <c r="D99">
        <f t="shared" si="2"/>
        <v>41</v>
      </c>
      <c r="E99">
        <v>0</v>
      </c>
      <c r="F99">
        <v>26</v>
      </c>
      <c r="G99">
        <v>40</v>
      </c>
      <c r="H99">
        <v>1</v>
      </c>
      <c r="I99">
        <f t="shared" si="5"/>
        <v>1</v>
      </c>
    </row>
    <row r="100" spans="1:9" x14ac:dyDescent="0.3">
      <c r="A100">
        <v>2004</v>
      </c>
      <c r="B100" t="s">
        <v>11</v>
      </c>
      <c r="C100" t="s">
        <v>12</v>
      </c>
      <c r="D100">
        <f t="shared" si="2"/>
        <v>30</v>
      </c>
      <c r="E100">
        <v>1</v>
      </c>
      <c r="F100">
        <v>5</v>
      </c>
      <c r="G100">
        <v>27</v>
      </c>
      <c r="H100">
        <v>3</v>
      </c>
      <c r="I100">
        <f t="shared" si="5"/>
        <v>2</v>
      </c>
    </row>
    <row r="101" spans="1:9" x14ac:dyDescent="0.3">
      <c r="A101">
        <v>2005</v>
      </c>
      <c r="B101" t="s">
        <v>11</v>
      </c>
      <c r="C101" t="s">
        <v>12</v>
      </c>
      <c r="D101">
        <f t="shared" si="2"/>
        <v>25</v>
      </c>
      <c r="E101">
        <v>1</v>
      </c>
      <c r="F101">
        <v>14</v>
      </c>
      <c r="G101">
        <v>24</v>
      </c>
      <c r="H101">
        <v>1</v>
      </c>
      <c r="I101">
        <f t="shared" si="5"/>
        <v>0</v>
      </c>
    </row>
    <row r="102" spans="1:9" x14ac:dyDescent="0.3">
      <c r="A102">
        <v>2006</v>
      </c>
      <c r="B102" t="s">
        <v>11</v>
      </c>
      <c r="C102" t="s">
        <v>12</v>
      </c>
      <c r="D102">
        <f t="shared" si="2"/>
        <v>12</v>
      </c>
      <c r="E102">
        <v>1</v>
      </c>
      <c r="F102">
        <v>2</v>
      </c>
      <c r="G102">
        <v>10</v>
      </c>
      <c r="H102">
        <v>2</v>
      </c>
      <c r="I102">
        <f t="shared" si="5"/>
        <v>1</v>
      </c>
    </row>
    <row r="103" spans="1:9" x14ac:dyDescent="0.3">
      <c r="A103">
        <v>2007</v>
      </c>
      <c r="B103" t="s">
        <v>11</v>
      </c>
      <c r="C103" t="s">
        <v>12</v>
      </c>
      <c r="D103">
        <f t="shared" si="2"/>
        <v>22</v>
      </c>
      <c r="E103">
        <v>0</v>
      </c>
      <c r="F103">
        <v>8</v>
      </c>
      <c r="G103">
        <v>22</v>
      </c>
      <c r="H103">
        <v>0</v>
      </c>
      <c r="I103">
        <f t="shared" si="5"/>
        <v>0</v>
      </c>
    </row>
    <row r="104" spans="1:9" x14ac:dyDescent="0.3">
      <c r="A104">
        <v>2008</v>
      </c>
      <c r="B104" t="s">
        <v>11</v>
      </c>
      <c r="C104" t="s">
        <v>12</v>
      </c>
      <c r="D104">
        <f t="shared" si="2"/>
        <v>26</v>
      </c>
      <c r="E104">
        <v>0</v>
      </c>
      <c r="F104">
        <v>14</v>
      </c>
      <c r="G104">
        <v>26</v>
      </c>
      <c r="H104">
        <v>0</v>
      </c>
      <c r="I104">
        <f t="shared" si="5"/>
        <v>0</v>
      </c>
    </row>
    <row r="105" spans="1:9" x14ac:dyDescent="0.3">
      <c r="A105">
        <v>2009</v>
      </c>
      <c r="B105" t="s">
        <v>11</v>
      </c>
      <c r="C105" t="s">
        <v>12</v>
      </c>
      <c r="D105">
        <f t="shared" si="2"/>
        <v>103</v>
      </c>
      <c r="E105">
        <v>0</v>
      </c>
      <c r="F105">
        <v>14</v>
      </c>
      <c r="G105">
        <v>103</v>
      </c>
      <c r="H105">
        <v>0</v>
      </c>
      <c r="I105">
        <f t="shared" si="5"/>
        <v>0</v>
      </c>
    </row>
    <row r="106" spans="1:9" x14ac:dyDescent="0.3">
      <c r="A106">
        <v>2010</v>
      </c>
      <c r="B106" t="s">
        <v>11</v>
      </c>
      <c r="C106" t="s">
        <v>12</v>
      </c>
      <c r="D106">
        <f t="shared" si="2"/>
        <v>165</v>
      </c>
      <c r="E106">
        <v>0</v>
      </c>
      <c r="F106">
        <v>37</v>
      </c>
      <c r="G106">
        <v>164</v>
      </c>
      <c r="H106">
        <v>1</v>
      </c>
      <c r="I106">
        <f t="shared" si="5"/>
        <v>1</v>
      </c>
    </row>
    <row r="107" spans="1:9" x14ac:dyDescent="0.3">
      <c r="A107">
        <v>2011</v>
      </c>
      <c r="B107" t="s">
        <v>11</v>
      </c>
      <c r="C107" t="s">
        <v>12</v>
      </c>
      <c r="D107">
        <f t="shared" si="2"/>
        <v>150</v>
      </c>
      <c r="E107">
        <v>3</v>
      </c>
      <c r="F107">
        <v>52</v>
      </c>
      <c r="G107">
        <v>141</v>
      </c>
      <c r="H107">
        <v>9</v>
      </c>
      <c r="I107">
        <f t="shared" si="5"/>
        <v>6</v>
      </c>
    </row>
    <row r="108" spans="1:9" x14ac:dyDescent="0.3">
      <c r="A108">
        <v>2012</v>
      </c>
      <c r="B108" t="s">
        <v>11</v>
      </c>
      <c r="C108" t="s">
        <v>12</v>
      </c>
      <c r="D108">
        <f t="shared" si="2"/>
        <v>63</v>
      </c>
      <c r="E108">
        <v>1</v>
      </c>
      <c r="F108">
        <v>32</v>
      </c>
      <c r="G108">
        <v>62</v>
      </c>
      <c r="H108">
        <v>1</v>
      </c>
      <c r="I108">
        <f t="shared" si="5"/>
        <v>0</v>
      </c>
    </row>
    <row r="109" spans="1:9" x14ac:dyDescent="0.3">
      <c r="A109">
        <v>2013</v>
      </c>
      <c r="B109" t="s">
        <v>11</v>
      </c>
      <c r="C109" t="s">
        <v>12</v>
      </c>
      <c r="D109">
        <f t="shared" si="2"/>
        <v>78</v>
      </c>
      <c r="E109">
        <v>4</v>
      </c>
      <c r="F109">
        <v>31</v>
      </c>
      <c r="G109">
        <v>71</v>
      </c>
      <c r="H109">
        <v>7</v>
      </c>
      <c r="I109">
        <f t="shared" si="5"/>
        <v>3</v>
      </c>
    </row>
    <row r="110" spans="1:9" x14ac:dyDescent="0.3">
      <c r="A110">
        <v>2014</v>
      </c>
      <c r="B110" t="s">
        <v>11</v>
      </c>
      <c r="C110" t="s">
        <v>12</v>
      </c>
      <c r="D110">
        <f t="shared" si="2"/>
        <v>121</v>
      </c>
      <c r="E110">
        <v>4</v>
      </c>
      <c r="F110">
        <v>37</v>
      </c>
      <c r="G110">
        <v>117</v>
      </c>
      <c r="H110">
        <v>4</v>
      </c>
      <c r="I110">
        <f t="shared" si="5"/>
        <v>0</v>
      </c>
    </row>
    <row r="111" spans="1:9" x14ac:dyDescent="0.3">
      <c r="A111">
        <v>2015</v>
      </c>
      <c r="B111" t="s">
        <v>11</v>
      </c>
      <c r="C111" t="s">
        <v>12</v>
      </c>
      <c r="D111">
        <f t="shared" si="2"/>
        <v>158</v>
      </c>
      <c r="E111">
        <v>4</v>
      </c>
      <c r="F111">
        <v>50</v>
      </c>
      <c r="G111">
        <v>152</v>
      </c>
      <c r="H111">
        <v>6</v>
      </c>
      <c r="I111">
        <f t="shared" si="5"/>
        <v>2</v>
      </c>
    </row>
    <row r="112" spans="1:9" x14ac:dyDescent="0.3">
      <c r="A112">
        <v>2016</v>
      </c>
      <c r="B112" t="s">
        <v>11</v>
      </c>
      <c r="C112" t="s">
        <v>12</v>
      </c>
      <c r="D112">
        <f t="shared" si="2"/>
        <v>107</v>
      </c>
      <c r="E112">
        <v>0</v>
      </c>
      <c r="F112">
        <v>39</v>
      </c>
      <c r="G112">
        <v>105</v>
      </c>
      <c r="H112">
        <v>2</v>
      </c>
      <c r="I112">
        <f t="shared" si="5"/>
        <v>2</v>
      </c>
    </row>
    <row r="113" spans="1:9" x14ac:dyDescent="0.3">
      <c r="A113">
        <v>2017</v>
      </c>
      <c r="B113" t="s">
        <v>11</v>
      </c>
      <c r="C113" t="s">
        <v>12</v>
      </c>
      <c r="D113">
        <f t="shared" si="2"/>
        <v>81</v>
      </c>
      <c r="E113">
        <v>3</v>
      </c>
      <c r="F113">
        <v>34</v>
      </c>
      <c r="G113">
        <v>75</v>
      </c>
      <c r="H113">
        <v>6</v>
      </c>
      <c r="I113">
        <f t="shared" si="5"/>
        <v>3</v>
      </c>
    </row>
    <row r="114" spans="1:9" x14ac:dyDescent="0.3">
      <c r="A114">
        <v>2018</v>
      </c>
      <c r="B114" t="s">
        <v>11</v>
      </c>
      <c r="C114" t="s">
        <v>12</v>
      </c>
      <c r="D114">
        <f t="shared" si="2"/>
        <v>171</v>
      </c>
      <c r="E114">
        <v>3</v>
      </c>
      <c r="F114">
        <v>98</v>
      </c>
      <c r="G114">
        <v>164</v>
      </c>
      <c r="H114">
        <v>7</v>
      </c>
      <c r="I114">
        <f t="shared" si="5"/>
        <v>4</v>
      </c>
    </row>
    <row r="115" spans="1:9" x14ac:dyDescent="0.3">
      <c r="A115">
        <v>2019</v>
      </c>
      <c r="B115" t="s">
        <v>11</v>
      </c>
      <c r="C115" t="s">
        <v>12</v>
      </c>
      <c r="D115">
        <f t="shared" ref="D115:D117" si="6">G115+H115</f>
        <v>228</v>
      </c>
      <c r="E115">
        <v>2</v>
      </c>
      <c r="F115">
        <v>168</v>
      </c>
      <c r="G115">
        <v>222</v>
      </c>
      <c r="H115">
        <v>6</v>
      </c>
      <c r="I115">
        <f t="shared" si="5"/>
        <v>4</v>
      </c>
    </row>
    <row r="116" spans="1:9" x14ac:dyDescent="0.3">
      <c r="A116">
        <v>2020</v>
      </c>
      <c r="B116" t="s">
        <v>11</v>
      </c>
      <c r="C116" t="s">
        <v>12</v>
      </c>
      <c r="D116">
        <f t="shared" si="6"/>
        <v>76</v>
      </c>
      <c r="E116">
        <v>4</v>
      </c>
      <c r="F116">
        <v>65</v>
      </c>
      <c r="G116">
        <v>72</v>
      </c>
      <c r="H116">
        <v>4</v>
      </c>
      <c r="I116">
        <f t="shared" si="5"/>
        <v>0</v>
      </c>
    </row>
    <row r="117" spans="1:9" x14ac:dyDescent="0.3">
      <c r="A117">
        <v>2021</v>
      </c>
      <c r="B117" t="s">
        <v>11</v>
      </c>
      <c r="C117" t="s">
        <v>12</v>
      </c>
      <c r="D117">
        <f t="shared" si="6"/>
        <v>82</v>
      </c>
      <c r="E117">
        <v>2</v>
      </c>
      <c r="F117">
        <v>48</v>
      </c>
      <c r="G117">
        <v>76</v>
      </c>
      <c r="H117">
        <v>6</v>
      </c>
      <c r="I117">
        <f t="shared" si="5"/>
        <v>4</v>
      </c>
    </row>
    <row r="118" spans="1:9" x14ac:dyDescent="0.3">
      <c r="A118" s="25">
        <v>1993</v>
      </c>
      <c r="B118" s="25" t="s">
        <v>9</v>
      </c>
      <c r="C118" s="25" t="s">
        <v>13</v>
      </c>
      <c r="D118" s="25">
        <f t="shared" si="2"/>
        <v>0</v>
      </c>
      <c r="E118" s="25">
        <v>0</v>
      </c>
      <c r="F118" s="25">
        <v>0</v>
      </c>
      <c r="G118" s="25">
        <v>0</v>
      </c>
      <c r="H118" s="25">
        <v>0</v>
      </c>
      <c r="I118" s="25">
        <f t="shared" si="5"/>
        <v>0</v>
      </c>
    </row>
    <row r="119" spans="1:9" x14ac:dyDescent="0.3">
      <c r="A119" s="25">
        <v>1994</v>
      </c>
      <c r="B119" s="25" t="s">
        <v>9</v>
      </c>
      <c r="C119" s="25" t="s">
        <v>13</v>
      </c>
      <c r="D119" s="25">
        <f t="shared" si="2"/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f t="shared" si="5"/>
        <v>0</v>
      </c>
    </row>
    <row r="120" spans="1:9" x14ac:dyDescent="0.3">
      <c r="A120" s="25">
        <v>1995</v>
      </c>
      <c r="B120" s="25" t="s">
        <v>9</v>
      </c>
      <c r="C120" s="25" t="s">
        <v>13</v>
      </c>
      <c r="D120" s="25">
        <f t="shared" si="2"/>
        <v>0</v>
      </c>
      <c r="E120" s="25">
        <v>0</v>
      </c>
      <c r="F120" s="25">
        <v>0</v>
      </c>
      <c r="G120" s="25">
        <v>0</v>
      </c>
      <c r="H120" s="25">
        <v>0</v>
      </c>
      <c r="I120" s="25">
        <f>H120-E120</f>
        <v>0</v>
      </c>
    </row>
    <row r="121" spans="1:9" x14ac:dyDescent="0.3">
      <c r="A121" s="25">
        <v>1996</v>
      </c>
      <c r="B121" s="25" t="s">
        <v>9</v>
      </c>
      <c r="C121" s="25" t="s">
        <v>13</v>
      </c>
      <c r="D121" s="25">
        <f t="shared" si="2"/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f t="shared" ref="I121" si="7">H121-E121</f>
        <v>0</v>
      </c>
    </row>
    <row r="122" spans="1:9" x14ac:dyDescent="0.3">
      <c r="A122" s="25">
        <v>1997</v>
      </c>
      <c r="B122" s="25" t="s">
        <v>9</v>
      </c>
      <c r="C122" s="25" t="s">
        <v>13</v>
      </c>
      <c r="D122" s="25">
        <f t="shared" si="2"/>
        <v>5</v>
      </c>
      <c r="E122" s="25">
        <v>0</v>
      </c>
      <c r="F122" s="25">
        <v>5</v>
      </c>
      <c r="G122" s="25">
        <v>5</v>
      </c>
      <c r="H122" s="25">
        <v>0</v>
      </c>
      <c r="I122" s="25">
        <f>H122-E122</f>
        <v>0</v>
      </c>
    </row>
    <row r="123" spans="1:9" x14ac:dyDescent="0.3">
      <c r="A123" s="25">
        <v>1998</v>
      </c>
      <c r="B123" s="25" t="s">
        <v>9</v>
      </c>
      <c r="C123" s="25" t="s">
        <v>13</v>
      </c>
      <c r="D123" s="25">
        <f t="shared" si="2"/>
        <v>9</v>
      </c>
      <c r="E123" s="25">
        <v>0</v>
      </c>
      <c r="F123" s="25">
        <v>8</v>
      </c>
      <c r="G123" s="25">
        <v>9</v>
      </c>
      <c r="H123" s="25">
        <v>0</v>
      </c>
      <c r="I123" s="25">
        <f t="shared" ref="I123:I192" si="8">H123-E123</f>
        <v>0</v>
      </c>
    </row>
    <row r="124" spans="1:9" x14ac:dyDescent="0.3">
      <c r="A124" s="25">
        <v>1999</v>
      </c>
      <c r="B124" s="25" t="s">
        <v>9</v>
      </c>
      <c r="C124" s="25" t="s">
        <v>13</v>
      </c>
      <c r="D124" s="25">
        <f t="shared" si="2"/>
        <v>4</v>
      </c>
      <c r="E124" s="25">
        <v>0</v>
      </c>
      <c r="F124" s="25">
        <v>4</v>
      </c>
      <c r="G124" s="25">
        <v>4</v>
      </c>
      <c r="H124" s="25">
        <v>0</v>
      </c>
      <c r="I124" s="25">
        <f t="shared" si="8"/>
        <v>0</v>
      </c>
    </row>
    <row r="125" spans="1:9" x14ac:dyDescent="0.3">
      <c r="A125" s="25">
        <v>2000</v>
      </c>
      <c r="B125" s="25" t="s">
        <v>9</v>
      </c>
      <c r="C125" s="25" t="s">
        <v>13</v>
      </c>
      <c r="D125" s="25">
        <f t="shared" si="2"/>
        <v>22</v>
      </c>
      <c r="E125" s="25">
        <v>0</v>
      </c>
      <c r="F125" s="25">
        <v>21</v>
      </c>
      <c r="G125" s="25">
        <v>22</v>
      </c>
      <c r="H125" s="25">
        <v>0</v>
      </c>
      <c r="I125" s="25">
        <f t="shared" si="8"/>
        <v>0</v>
      </c>
    </row>
    <row r="126" spans="1:9" x14ac:dyDescent="0.3">
      <c r="A126" s="25">
        <v>2001</v>
      </c>
      <c r="B126" s="25" t="s">
        <v>9</v>
      </c>
      <c r="C126" s="25" t="s">
        <v>13</v>
      </c>
      <c r="D126" s="25">
        <f t="shared" si="2"/>
        <v>2</v>
      </c>
      <c r="E126" s="25">
        <v>0</v>
      </c>
      <c r="F126" s="25">
        <v>2</v>
      </c>
      <c r="G126" s="25">
        <v>2</v>
      </c>
      <c r="H126" s="25">
        <v>0</v>
      </c>
      <c r="I126" s="25">
        <f t="shared" si="8"/>
        <v>0</v>
      </c>
    </row>
    <row r="127" spans="1:9" x14ac:dyDescent="0.3">
      <c r="A127" s="25">
        <v>2002</v>
      </c>
      <c r="B127" s="25" t="s">
        <v>9</v>
      </c>
      <c r="C127" s="25" t="s">
        <v>13</v>
      </c>
      <c r="D127" s="25">
        <f t="shared" si="2"/>
        <v>0</v>
      </c>
      <c r="E127" s="25">
        <v>0</v>
      </c>
      <c r="F127" s="25">
        <v>0</v>
      </c>
      <c r="G127" s="25">
        <v>0</v>
      </c>
      <c r="H127" s="25">
        <v>0</v>
      </c>
      <c r="I127" s="25">
        <f t="shared" si="8"/>
        <v>0</v>
      </c>
    </row>
    <row r="128" spans="1:9" x14ac:dyDescent="0.3">
      <c r="A128" s="25">
        <v>2003</v>
      </c>
      <c r="B128" s="25" t="s">
        <v>9</v>
      </c>
      <c r="C128" s="25" t="s">
        <v>13</v>
      </c>
      <c r="D128" s="25">
        <f t="shared" si="2"/>
        <v>13</v>
      </c>
      <c r="E128" s="25">
        <v>0</v>
      </c>
      <c r="F128" s="25">
        <v>12</v>
      </c>
      <c r="G128" s="25">
        <v>13</v>
      </c>
      <c r="H128" s="25">
        <v>0</v>
      </c>
      <c r="I128" s="25">
        <f t="shared" si="8"/>
        <v>0</v>
      </c>
    </row>
    <row r="129" spans="1:9" x14ac:dyDescent="0.3">
      <c r="A129" s="25">
        <v>2004</v>
      </c>
      <c r="B129" s="25" t="s">
        <v>9</v>
      </c>
      <c r="C129" s="25" t="s">
        <v>13</v>
      </c>
      <c r="D129" s="25">
        <f t="shared" si="2"/>
        <v>2</v>
      </c>
      <c r="E129" s="25">
        <v>0</v>
      </c>
      <c r="F129" s="25">
        <v>2</v>
      </c>
      <c r="G129" s="25">
        <v>2</v>
      </c>
      <c r="H129" s="25">
        <v>0</v>
      </c>
      <c r="I129" s="25">
        <f t="shared" si="8"/>
        <v>0</v>
      </c>
    </row>
    <row r="130" spans="1:9" x14ac:dyDescent="0.3">
      <c r="A130" s="25">
        <v>2005</v>
      </c>
      <c r="B130" s="25" t="s">
        <v>9</v>
      </c>
      <c r="C130" s="25" t="s">
        <v>13</v>
      </c>
      <c r="D130" s="25">
        <f t="shared" si="2"/>
        <v>0</v>
      </c>
      <c r="E130" s="25">
        <v>0</v>
      </c>
      <c r="F130" s="25">
        <v>0</v>
      </c>
      <c r="G130" s="25">
        <v>0</v>
      </c>
      <c r="H130" s="25">
        <v>0</v>
      </c>
      <c r="I130" s="25">
        <f t="shared" si="8"/>
        <v>0</v>
      </c>
    </row>
    <row r="131" spans="1:9" x14ac:dyDescent="0.3">
      <c r="A131" s="25">
        <v>2006</v>
      </c>
      <c r="B131" s="25" t="s">
        <v>9</v>
      </c>
      <c r="C131" s="25" t="s">
        <v>13</v>
      </c>
      <c r="D131" s="25">
        <f t="shared" si="2"/>
        <v>20</v>
      </c>
      <c r="E131" s="25">
        <v>3</v>
      </c>
      <c r="F131" s="25">
        <v>13</v>
      </c>
      <c r="G131" s="25">
        <v>17</v>
      </c>
      <c r="H131" s="25">
        <v>3</v>
      </c>
      <c r="I131" s="25">
        <f t="shared" si="8"/>
        <v>0</v>
      </c>
    </row>
    <row r="132" spans="1:9" x14ac:dyDescent="0.3">
      <c r="A132" s="25">
        <v>2007</v>
      </c>
      <c r="B132" s="25" t="s">
        <v>9</v>
      </c>
      <c r="C132" s="25" t="s">
        <v>13</v>
      </c>
      <c r="D132" s="25">
        <f t="shared" si="2"/>
        <v>26</v>
      </c>
      <c r="E132" s="25">
        <v>0</v>
      </c>
      <c r="F132" s="25">
        <v>26</v>
      </c>
      <c r="G132" s="25">
        <v>26</v>
      </c>
      <c r="H132" s="25">
        <v>0</v>
      </c>
      <c r="I132" s="25">
        <f t="shared" si="8"/>
        <v>0</v>
      </c>
    </row>
    <row r="133" spans="1:9" x14ac:dyDescent="0.3">
      <c r="A133" s="25">
        <v>2008</v>
      </c>
      <c r="B133" s="25" t="s">
        <v>9</v>
      </c>
      <c r="C133" s="25" t="s">
        <v>13</v>
      </c>
      <c r="D133" s="25">
        <f t="shared" si="2"/>
        <v>1</v>
      </c>
      <c r="E133" s="25">
        <v>1</v>
      </c>
      <c r="F133" s="25">
        <v>0</v>
      </c>
      <c r="G133" s="25">
        <v>0</v>
      </c>
      <c r="H133" s="25">
        <v>1</v>
      </c>
      <c r="I133" s="25">
        <f t="shared" si="8"/>
        <v>0</v>
      </c>
    </row>
    <row r="134" spans="1:9" x14ac:dyDescent="0.3">
      <c r="A134" s="25">
        <v>2009</v>
      </c>
      <c r="B134" s="25" t="s">
        <v>9</v>
      </c>
      <c r="C134" s="25" t="s">
        <v>13</v>
      </c>
      <c r="D134" s="25">
        <f t="shared" si="2"/>
        <v>50</v>
      </c>
      <c r="E134" s="25">
        <v>0</v>
      </c>
      <c r="F134" s="25">
        <v>50</v>
      </c>
      <c r="G134" s="25">
        <v>50</v>
      </c>
      <c r="H134" s="25">
        <v>0</v>
      </c>
      <c r="I134" s="25">
        <f t="shared" si="8"/>
        <v>0</v>
      </c>
    </row>
    <row r="135" spans="1:9" x14ac:dyDescent="0.3">
      <c r="A135" s="25">
        <v>2010</v>
      </c>
      <c r="B135" s="25" t="s">
        <v>9</v>
      </c>
      <c r="C135" s="25" t="s">
        <v>13</v>
      </c>
      <c r="D135" s="25">
        <f t="shared" si="2"/>
        <v>0</v>
      </c>
      <c r="E135" s="25">
        <v>0</v>
      </c>
      <c r="F135" s="25">
        <v>0</v>
      </c>
      <c r="G135" s="25">
        <v>0</v>
      </c>
      <c r="H135" s="25">
        <v>0</v>
      </c>
      <c r="I135" s="25">
        <f t="shared" si="8"/>
        <v>0</v>
      </c>
    </row>
    <row r="136" spans="1:9" x14ac:dyDescent="0.3">
      <c r="A136" s="25">
        <v>2011</v>
      </c>
      <c r="B136" s="25" t="s">
        <v>9</v>
      </c>
      <c r="C136" s="25" t="s">
        <v>13</v>
      </c>
      <c r="D136" s="25">
        <f t="shared" si="2"/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f t="shared" si="8"/>
        <v>0</v>
      </c>
    </row>
    <row r="137" spans="1:9" x14ac:dyDescent="0.3">
      <c r="A137" s="25">
        <v>2012</v>
      </c>
      <c r="B137" s="25" t="s">
        <v>9</v>
      </c>
      <c r="C137" s="25" t="s">
        <v>13</v>
      </c>
      <c r="D137" s="25">
        <f t="shared" si="2"/>
        <v>25</v>
      </c>
      <c r="E137" s="25">
        <v>0</v>
      </c>
      <c r="F137" s="25">
        <v>21</v>
      </c>
      <c r="G137" s="25">
        <v>25</v>
      </c>
      <c r="H137" s="25">
        <v>0</v>
      </c>
      <c r="I137" s="25">
        <f t="shared" si="8"/>
        <v>0</v>
      </c>
    </row>
    <row r="138" spans="1:9" x14ac:dyDescent="0.3">
      <c r="A138" s="25">
        <v>2013</v>
      </c>
      <c r="B138" s="25" t="s">
        <v>9</v>
      </c>
      <c r="C138" s="25" t="s">
        <v>13</v>
      </c>
      <c r="D138" s="25">
        <f t="shared" si="2"/>
        <v>0</v>
      </c>
      <c r="E138" s="25">
        <v>0</v>
      </c>
      <c r="F138" s="25">
        <v>0</v>
      </c>
      <c r="G138" s="25">
        <v>0</v>
      </c>
      <c r="H138" s="25">
        <v>0</v>
      </c>
      <c r="I138" s="25">
        <f t="shared" si="8"/>
        <v>0</v>
      </c>
    </row>
    <row r="139" spans="1:9" x14ac:dyDescent="0.3">
      <c r="A139" s="25">
        <v>2014</v>
      </c>
      <c r="B139" s="25" t="s">
        <v>9</v>
      </c>
      <c r="C139" s="25" t="s">
        <v>13</v>
      </c>
      <c r="D139" s="25">
        <f t="shared" si="2"/>
        <v>0</v>
      </c>
      <c r="E139" s="25">
        <v>0</v>
      </c>
      <c r="F139" s="25">
        <v>0</v>
      </c>
      <c r="G139" s="25">
        <v>0</v>
      </c>
      <c r="H139" s="25">
        <v>0</v>
      </c>
      <c r="I139" s="25">
        <f t="shared" si="8"/>
        <v>0</v>
      </c>
    </row>
    <row r="140" spans="1:9" x14ac:dyDescent="0.3">
      <c r="A140" s="25">
        <v>2015</v>
      </c>
      <c r="B140" s="25" t="s">
        <v>9</v>
      </c>
      <c r="C140" s="25" t="s">
        <v>13</v>
      </c>
      <c r="D140" s="25">
        <f t="shared" si="2"/>
        <v>26</v>
      </c>
      <c r="E140" s="25">
        <v>0</v>
      </c>
      <c r="F140" s="25">
        <v>21</v>
      </c>
      <c r="G140" s="25">
        <v>25</v>
      </c>
      <c r="H140" s="25">
        <v>1</v>
      </c>
      <c r="I140" s="25">
        <f t="shared" si="8"/>
        <v>1</v>
      </c>
    </row>
    <row r="141" spans="1:9" x14ac:dyDescent="0.3">
      <c r="A141" s="25">
        <v>2016</v>
      </c>
      <c r="B141" s="25" t="s">
        <v>9</v>
      </c>
      <c r="C141" s="25" t="s">
        <v>13</v>
      </c>
      <c r="D141" s="25">
        <f t="shared" ref="D141:D155" si="9">G141+H141</f>
        <v>56</v>
      </c>
      <c r="E141" s="25">
        <v>3</v>
      </c>
      <c r="F141" s="25">
        <v>47</v>
      </c>
      <c r="G141" s="25">
        <v>52</v>
      </c>
      <c r="H141" s="25">
        <v>4</v>
      </c>
      <c r="I141" s="25">
        <f t="shared" si="8"/>
        <v>1</v>
      </c>
    </row>
    <row r="142" spans="1:9" x14ac:dyDescent="0.3">
      <c r="A142" s="25">
        <v>2017</v>
      </c>
      <c r="B142" s="25" t="s">
        <v>9</v>
      </c>
      <c r="C142" s="25" t="s">
        <v>13</v>
      </c>
      <c r="D142" s="25">
        <f t="shared" si="9"/>
        <v>119</v>
      </c>
      <c r="E142" s="25">
        <v>2</v>
      </c>
      <c r="F142" s="25">
        <v>108</v>
      </c>
      <c r="G142" s="25">
        <v>117</v>
      </c>
      <c r="H142" s="25">
        <v>2</v>
      </c>
      <c r="I142" s="25">
        <f t="shared" si="8"/>
        <v>0</v>
      </c>
    </row>
    <row r="143" spans="1:9" x14ac:dyDescent="0.3">
      <c r="A143" s="25">
        <v>2018</v>
      </c>
      <c r="B143" s="25" t="s">
        <v>9</v>
      </c>
      <c r="C143" s="25" t="s">
        <v>13</v>
      </c>
      <c r="D143" s="25">
        <f t="shared" si="9"/>
        <v>37</v>
      </c>
      <c r="E143" s="25">
        <v>0</v>
      </c>
      <c r="F143" s="25">
        <v>36</v>
      </c>
      <c r="G143" s="25">
        <v>37</v>
      </c>
      <c r="H143" s="25">
        <v>0</v>
      </c>
      <c r="I143" s="25">
        <f t="shared" si="8"/>
        <v>0</v>
      </c>
    </row>
    <row r="144" spans="1:9" x14ac:dyDescent="0.3">
      <c r="A144" s="25">
        <v>2019</v>
      </c>
      <c r="B144" s="25" t="s">
        <v>9</v>
      </c>
      <c r="C144" s="25" t="s">
        <v>13</v>
      </c>
      <c r="D144" s="25">
        <f t="shared" si="9"/>
        <v>35</v>
      </c>
      <c r="E144" s="25">
        <v>0</v>
      </c>
      <c r="F144" s="25">
        <v>34</v>
      </c>
      <c r="G144" s="25">
        <v>35</v>
      </c>
      <c r="H144" s="25">
        <v>0</v>
      </c>
      <c r="I144" s="25">
        <f t="shared" si="8"/>
        <v>0</v>
      </c>
    </row>
    <row r="145" spans="1:9" x14ac:dyDescent="0.3">
      <c r="A145" s="25">
        <v>2020</v>
      </c>
      <c r="B145" s="25" t="s">
        <v>9</v>
      </c>
      <c r="C145" s="25" t="s">
        <v>13</v>
      </c>
      <c r="D145" s="25">
        <f t="shared" si="9"/>
        <v>0</v>
      </c>
      <c r="E145" s="25">
        <v>0</v>
      </c>
      <c r="F145" s="25">
        <v>0</v>
      </c>
      <c r="G145" s="25">
        <v>0</v>
      </c>
      <c r="H145" s="25">
        <v>0</v>
      </c>
      <c r="I145" s="25">
        <f t="shared" si="8"/>
        <v>0</v>
      </c>
    </row>
    <row r="146" spans="1:9" x14ac:dyDescent="0.3">
      <c r="A146" s="25">
        <v>2021</v>
      </c>
      <c r="B146" s="25" t="s">
        <v>9</v>
      </c>
      <c r="C146" s="25" t="s">
        <v>13</v>
      </c>
      <c r="D146" s="25">
        <f t="shared" si="9"/>
        <v>20</v>
      </c>
      <c r="E146" s="25">
        <v>0</v>
      </c>
      <c r="F146" s="25">
        <v>9</v>
      </c>
      <c r="G146" s="25">
        <v>20</v>
      </c>
      <c r="H146" s="25">
        <v>0</v>
      </c>
      <c r="I146" s="25">
        <f t="shared" si="8"/>
        <v>0</v>
      </c>
    </row>
    <row r="147" spans="1:9" x14ac:dyDescent="0.3">
      <c r="A147">
        <v>1993</v>
      </c>
      <c r="B147" t="s">
        <v>11</v>
      </c>
      <c r="C147" t="s">
        <v>13</v>
      </c>
      <c r="D147">
        <f t="shared" si="9"/>
        <v>0</v>
      </c>
      <c r="E147">
        <v>0</v>
      </c>
      <c r="F147">
        <v>0</v>
      </c>
      <c r="G147">
        <v>0</v>
      </c>
      <c r="H147">
        <v>0</v>
      </c>
      <c r="I147">
        <f t="shared" si="8"/>
        <v>0</v>
      </c>
    </row>
    <row r="148" spans="1:9" x14ac:dyDescent="0.3">
      <c r="A148">
        <v>1994</v>
      </c>
      <c r="B148" t="s">
        <v>11</v>
      </c>
      <c r="C148" t="s">
        <v>13</v>
      </c>
      <c r="D148">
        <f t="shared" si="9"/>
        <v>0</v>
      </c>
      <c r="E148">
        <v>0</v>
      </c>
      <c r="F148">
        <v>0</v>
      </c>
      <c r="G148">
        <v>0</v>
      </c>
      <c r="H148">
        <v>0</v>
      </c>
      <c r="I148">
        <f t="shared" si="8"/>
        <v>0</v>
      </c>
    </row>
    <row r="149" spans="1:9" x14ac:dyDescent="0.3">
      <c r="A149">
        <v>1995</v>
      </c>
      <c r="B149" t="s">
        <v>11</v>
      </c>
      <c r="C149" t="s">
        <v>13</v>
      </c>
      <c r="D149">
        <f t="shared" si="9"/>
        <v>0</v>
      </c>
      <c r="E149">
        <v>0</v>
      </c>
      <c r="F149">
        <v>0</v>
      </c>
      <c r="G149">
        <v>0</v>
      </c>
      <c r="H149">
        <v>0</v>
      </c>
      <c r="I149">
        <f t="shared" si="8"/>
        <v>0</v>
      </c>
    </row>
    <row r="150" spans="1:9" x14ac:dyDescent="0.3">
      <c r="A150">
        <v>1996</v>
      </c>
      <c r="B150" t="s">
        <v>11</v>
      </c>
      <c r="C150" t="s">
        <v>13</v>
      </c>
      <c r="D150">
        <f t="shared" si="9"/>
        <v>0</v>
      </c>
      <c r="E150">
        <v>0</v>
      </c>
      <c r="F150">
        <v>0</v>
      </c>
      <c r="G150">
        <v>0</v>
      </c>
      <c r="H150">
        <v>0</v>
      </c>
      <c r="I150">
        <f t="shared" si="8"/>
        <v>0</v>
      </c>
    </row>
    <row r="151" spans="1:9" x14ac:dyDescent="0.3">
      <c r="A151">
        <v>1997</v>
      </c>
      <c r="B151" t="s">
        <v>11</v>
      </c>
      <c r="C151" t="s">
        <v>13</v>
      </c>
      <c r="D151">
        <f t="shared" si="9"/>
        <v>0</v>
      </c>
      <c r="E151">
        <v>0</v>
      </c>
      <c r="F151">
        <v>0</v>
      </c>
      <c r="G151">
        <v>0</v>
      </c>
      <c r="H151">
        <v>0</v>
      </c>
      <c r="I151">
        <f t="shared" si="8"/>
        <v>0</v>
      </c>
    </row>
    <row r="152" spans="1:9" x14ac:dyDescent="0.3">
      <c r="A152">
        <v>1998</v>
      </c>
      <c r="B152" t="s">
        <v>11</v>
      </c>
      <c r="C152" t="s">
        <v>13</v>
      </c>
      <c r="D152">
        <f t="shared" si="9"/>
        <v>0</v>
      </c>
      <c r="E152">
        <v>0</v>
      </c>
      <c r="F152">
        <v>0</v>
      </c>
      <c r="G152">
        <v>0</v>
      </c>
      <c r="H152">
        <v>0</v>
      </c>
      <c r="I152">
        <f t="shared" si="8"/>
        <v>0</v>
      </c>
    </row>
    <row r="153" spans="1:9" x14ac:dyDescent="0.3">
      <c r="A153">
        <v>1999</v>
      </c>
      <c r="B153" t="s">
        <v>11</v>
      </c>
      <c r="C153" t="s">
        <v>13</v>
      </c>
      <c r="D153">
        <f t="shared" si="9"/>
        <v>1</v>
      </c>
      <c r="E153">
        <v>0</v>
      </c>
      <c r="F153">
        <v>1</v>
      </c>
      <c r="G153">
        <v>1</v>
      </c>
      <c r="H153">
        <v>0</v>
      </c>
      <c r="I153">
        <f t="shared" si="8"/>
        <v>0</v>
      </c>
    </row>
    <row r="154" spans="1:9" x14ac:dyDescent="0.3">
      <c r="A154">
        <v>2000</v>
      </c>
      <c r="B154" t="s">
        <v>11</v>
      </c>
      <c r="C154" t="s">
        <v>13</v>
      </c>
      <c r="D154">
        <f t="shared" si="9"/>
        <v>11</v>
      </c>
      <c r="E154">
        <v>0</v>
      </c>
      <c r="F154">
        <v>11</v>
      </c>
      <c r="G154">
        <v>11</v>
      </c>
      <c r="H154">
        <v>0</v>
      </c>
      <c r="I154">
        <f t="shared" si="8"/>
        <v>0</v>
      </c>
    </row>
    <row r="155" spans="1:9" x14ac:dyDescent="0.3">
      <c r="A155">
        <v>2001</v>
      </c>
      <c r="B155" t="s">
        <v>11</v>
      </c>
      <c r="C155" t="s">
        <v>13</v>
      </c>
      <c r="D155">
        <f t="shared" si="9"/>
        <v>10</v>
      </c>
      <c r="E155">
        <v>0</v>
      </c>
      <c r="F155">
        <v>10</v>
      </c>
      <c r="G155">
        <v>10</v>
      </c>
      <c r="H155">
        <v>0</v>
      </c>
      <c r="I155">
        <f t="shared" si="8"/>
        <v>0</v>
      </c>
    </row>
    <row r="156" spans="1:9" x14ac:dyDescent="0.3">
      <c r="A156">
        <v>2002</v>
      </c>
      <c r="B156" t="s">
        <v>11</v>
      </c>
      <c r="C156" t="s">
        <v>13</v>
      </c>
      <c r="D156">
        <f>G156+H156</f>
        <v>0</v>
      </c>
      <c r="E156">
        <v>0</v>
      </c>
      <c r="F156">
        <v>0</v>
      </c>
      <c r="G156">
        <v>0</v>
      </c>
      <c r="H156">
        <v>0</v>
      </c>
      <c r="I156">
        <f t="shared" si="8"/>
        <v>0</v>
      </c>
    </row>
    <row r="157" spans="1:9" x14ac:dyDescent="0.3">
      <c r="A157">
        <v>2003</v>
      </c>
      <c r="B157" t="s">
        <v>11</v>
      </c>
      <c r="C157" t="s">
        <v>13</v>
      </c>
      <c r="D157">
        <f t="shared" ref="D157:D226" si="10">G157+H157</f>
        <v>4</v>
      </c>
      <c r="E157">
        <v>0</v>
      </c>
      <c r="F157">
        <v>4</v>
      </c>
      <c r="G157">
        <v>4</v>
      </c>
      <c r="H157">
        <v>0</v>
      </c>
      <c r="I157">
        <f t="shared" si="8"/>
        <v>0</v>
      </c>
    </row>
    <row r="158" spans="1:9" x14ac:dyDescent="0.3">
      <c r="A158">
        <v>2004</v>
      </c>
      <c r="B158" t="s">
        <v>11</v>
      </c>
      <c r="C158" t="s">
        <v>13</v>
      </c>
      <c r="D158">
        <f t="shared" si="10"/>
        <v>1</v>
      </c>
      <c r="E158">
        <v>0</v>
      </c>
      <c r="F158">
        <v>1</v>
      </c>
      <c r="G158">
        <v>1</v>
      </c>
      <c r="H158">
        <v>0</v>
      </c>
      <c r="I158">
        <f t="shared" si="8"/>
        <v>0</v>
      </c>
    </row>
    <row r="159" spans="1:9" x14ac:dyDescent="0.3">
      <c r="A159">
        <v>2005</v>
      </c>
      <c r="B159" t="s">
        <v>11</v>
      </c>
      <c r="C159" t="s">
        <v>13</v>
      </c>
      <c r="D159">
        <f t="shared" si="10"/>
        <v>0</v>
      </c>
      <c r="E159">
        <v>0</v>
      </c>
      <c r="F159">
        <v>0</v>
      </c>
      <c r="G159">
        <v>0</v>
      </c>
      <c r="H159">
        <v>0</v>
      </c>
      <c r="I159">
        <f t="shared" si="8"/>
        <v>0</v>
      </c>
    </row>
    <row r="160" spans="1:9" x14ac:dyDescent="0.3">
      <c r="A160">
        <v>2006</v>
      </c>
      <c r="B160" t="s">
        <v>11</v>
      </c>
      <c r="C160" t="s">
        <v>13</v>
      </c>
      <c r="D160">
        <f t="shared" si="10"/>
        <v>0</v>
      </c>
      <c r="E160">
        <v>0</v>
      </c>
      <c r="F160">
        <v>0</v>
      </c>
      <c r="G160">
        <v>0</v>
      </c>
      <c r="H160">
        <v>0</v>
      </c>
      <c r="I160">
        <f t="shared" si="8"/>
        <v>0</v>
      </c>
    </row>
    <row r="161" spans="1:9" x14ac:dyDescent="0.3">
      <c r="A161">
        <v>2007</v>
      </c>
      <c r="B161" t="s">
        <v>11</v>
      </c>
      <c r="C161" t="s">
        <v>13</v>
      </c>
      <c r="D161">
        <f t="shared" si="10"/>
        <v>0</v>
      </c>
      <c r="E161">
        <v>0</v>
      </c>
      <c r="F161">
        <v>0</v>
      </c>
      <c r="G161">
        <v>0</v>
      </c>
      <c r="H161">
        <v>0</v>
      </c>
      <c r="I161">
        <f t="shared" si="8"/>
        <v>0</v>
      </c>
    </row>
    <row r="162" spans="1:9" x14ac:dyDescent="0.3">
      <c r="A162">
        <v>2008</v>
      </c>
      <c r="B162" t="s">
        <v>11</v>
      </c>
      <c r="C162" t="s">
        <v>13</v>
      </c>
      <c r="D162">
        <f t="shared" si="10"/>
        <v>0</v>
      </c>
      <c r="E162">
        <v>0</v>
      </c>
      <c r="F162">
        <v>0</v>
      </c>
      <c r="G162">
        <v>0</v>
      </c>
      <c r="H162">
        <v>0</v>
      </c>
      <c r="I162">
        <f t="shared" si="8"/>
        <v>0</v>
      </c>
    </row>
    <row r="163" spans="1:9" x14ac:dyDescent="0.3">
      <c r="A163">
        <v>2009</v>
      </c>
      <c r="B163" t="s">
        <v>11</v>
      </c>
      <c r="C163" t="s">
        <v>13</v>
      </c>
      <c r="D163">
        <f t="shared" si="10"/>
        <v>0</v>
      </c>
      <c r="E163">
        <v>0</v>
      </c>
      <c r="F163">
        <v>0</v>
      </c>
      <c r="G163">
        <v>0</v>
      </c>
      <c r="H163">
        <v>0</v>
      </c>
      <c r="I163">
        <f t="shared" si="8"/>
        <v>0</v>
      </c>
    </row>
    <row r="164" spans="1:9" x14ac:dyDescent="0.3">
      <c r="A164">
        <v>2010</v>
      </c>
      <c r="B164" t="s">
        <v>11</v>
      </c>
      <c r="C164" t="s">
        <v>13</v>
      </c>
      <c r="D164">
        <f t="shared" si="10"/>
        <v>0</v>
      </c>
      <c r="E164">
        <v>0</v>
      </c>
      <c r="F164">
        <v>0</v>
      </c>
      <c r="G164">
        <v>0</v>
      </c>
      <c r="H164">
        <v>0</v>
      </c>
      <c r="I164">
        <f t="shared" si="8"/>
        <v>0</v>
      </c>
    </row>
    <row r="165" spans="1:9" x14ac:dyDescent="0.3">
      <c r="A165">
        <v>2011</v>
      </c>
      <c r="B165" t="s">
        <v>11</v>
      </c>
      <c r="C165" t="s">
        <v>13</v>
      </c>
      <c r="D165">
        <f t="shared" si="10"/>
        <v>0</v>
      </c>
      <c r="E165">
        <v>0</v>
      </c>
      <c r="F165">
        <v>0</v>
      </c>
      <c r="G165">
        <v>0</v>
      </c>
      <c r="H165">
        <v>0</v>
      </c>
      <c r="I165">
        <f t="shared" si="8"/>
        <v>0</v>
      </c>
    </row>
    <row r="166" spans="1:9" x14ac:dyDescent="0.3">
      <c r="A166">
        <v>2012</v>
      </c>
      <c r="B166" t="s">
        <v>11</v>
      </c>
      <c r="C166" t="s">
        <v>13</v>
      </c>
      <c r="D166">
        <f t="shared" si="10"/>
        <v>0</v>
      </c>
      <c r="E166">
        <v>0</v>
      </c>
      <c r="F166">
        <v>0</v>
      </c>
      <c r="G166">
        <v>0</v>
      </c>
      <c r="H166">
        <v>0</v>
      </c>
      <c r="I166">
        <f t="shared" si="8"/>
        <v>0</v>
      </c>
    </row>
    <row r="167" spans="1:9" x14ac:dyDescent="0.3">
      <c r="A167">
        <v>2013</v>
      </c>
      <c r="B167" t="s">
        <v>11</v>
      </c>
      <c r="C167" t="s">
        <v>13</v>
      </c>
      <c r="D167">
        <f t="shared" si="10"/>
        <v>0</v>
      </c>
      <c r="E167">
        <v>0</v>
      </c>
      <c r="F167">
        <v>0</v>
      </c>
      <c r="G167">
        <v>0</v>
      </c>
      <c r="H167">
        <v>0</v>
      </c>
      <c r="I167">
        <f t="shared" si="8"/>
        <v>0</v>
      </c>
    </row>
    <row r="168" spans="1:9" x14ac:dyDescent="0.3">
      <c r="A168">
        <v>2014</v>
      </c>
      <c r="B168" t="s">
        <v>11</v>
      </c>
      <c r="C168" t="s">
        <v>13</v>
      </c>
      <c r="D168">
        <f t="shared" si="10"/>
        <v>0</v>
      </c>
      <c r="E168">
        <v>0</v>
      </c>
      <c r="F168">
        <v>0</v>
      </c>
      <c r="G168">
        <v>0</v>
      </c>
      <c r="H168">
        <v>0</v>
      </c>
      <c r="I168">
        <f t="shared" si="8"/>
        <v>0</v>
      </c>
    </row>
    <row r="169" spans="1:9" x14ac:dyDescent="0.3">
      <c r="A169">
        <v>2015</v>
      </c>
      <c r="B169" t="s">
        <v>11</v>
      </c>
      <c r="C169" t="s">
        <v>13</v>
      </c>
      <c r="D169">
        <f t="shared" si="10"/>
        <v>16</v>
      </c>
      <c r="E169">
        <v>0</v>
      </c>
      <c r="F169">
        <v>16</v>
      </c>
      <c r="G169">
        <v>16</v>
      </c>
      <c r="H169">
        <v>0</v>
      </c>
      <c r="I169">
        <f t="shared" si="8"/>
        <v>0</v>
      </c>
    </row>
    <row r="170" spans="1:9" x14ac:dyDescent="0.3">
      <c r="A170">
        <v>2016</v>
      </c>
      <c r="B170" t="s">
        <v>11</v>
      </c>
      <c r="C170" t="s">
        <v>13</v>
      </c>
      <c r="D170">
        <f t="shared" si="10"/>
        <v>0</v>
      </c>
      <c r="E170">
        <v>0</v>
      </c>
      <c r="F170">
        <v>0</v>
      </c>
      <c r="G170">
        <v>0</v>
      </c>
      <c r="H170">
        <v>0</v>
      </c>
      <c r="I170">
        <f t="shared" si="8"/>
        <v>0</v>
      </c>
    </row>
    <row r="171" spans="1:9" x14ac:dyDescent="0.3">
      <c r="A171">
        <v>2017</v>
      </c>
      <c r="B171" t="s">
        <v>11</v>
      </c>
      <c r="C171" t="s">
        <v>13</v>
      </c>
      <c r="D171">
        <f t="shared" si="10"/>
        <v>25</v>
      </c>
      <c r="E171">
        <v>0</v>
      </c>
      <c r="F171">
        <v>24</v>
      </c>
      <c r="G171">
        <v>25</v>
      </c>
      <c r="H171">
        <v>0</v>
      </c>
      <c r="I171">
        <f t="shared" si="8"/>
        <v>0</v>
      </c>
    </row>
    <row r="172" spans="1:9" x14ac:dyDescent="0.3">
      <c r="A172">
        <v>2018</v>
      </c>
      <c r="B172" t="s">
        <v>11</v>
      </c>
      <c r="C172" t="s">
        <v>13</v>
      </c>
      <c r="D172">
        <f t="shared" si="10"/>
        <v>2</v>
      </c>
      <c r="E172">
        <v>0</v>
      </c>
      <c r="F172">
        <v>2</v>
      </c>
      <c r="G172">
        <v>2</v>
      </c>
      <c r="H172">
        <v>0</v>
      </c>
      <c r="I172">
        <f t="shared" si="8"/>
        <v>0</v>
      </c>
    </row>
    <row r="173" spans="1:9" x14ac:dyDescent="0.3">
      <c r="A173">
        <v>2019</v>
      </c>
      <c r="B173" t="s">
        <v>11</v>
      </c>
      <c r="C173" t="s">
        <v>13</v>
      </c>
      <c r="D173">
        <f t="shared" ref="D173:D175" si="11">G173+H173</f>
        <v>0</v>
      </c>
      <c r="E173">
        <v>0</v>
      </c>
      <c r="F173">
        <v>0</v>
      </c>
      <c r="G173">
        <v>0</v>
      </c>
      <c r="H173">
        <v>0</v>
      </c>
      <c r="I173">
        <f t="shared" si="8"/>
        <v>0</v>
      </c>
    </row>
    <row r="174" spans="1:9" x14ac:dyDescent="0.3">
      <c r="A174">
        <v>2020</v>
      </c>
      <c r="B174" t="s">
        <v>11</v>
      </c>
      <c r="C174" t="s">
        <v>13</v>
      </c>
      <c r="D174">
        <f t="shared" si="11"/>
        <v>0</v>
      </c>
      <c r="E174">
        <v>0</v>
      </c>
      <c r="F174">
        <v>0</v>
      </c>
      <c r="G174">
        <v>0</v>
      </c>
      <c r="H174">
        <v>0</v>
      </c>
      <c r="I174">
        <f t="shared" si="8"/>
        <v>0</v>
      </c>
    </row>
    <row r="175" spans="1:9" x14ac:dyDescent="0.3">
      <c r="A175">
        <v>2021</v>
      </c>
      <c r="B175" t="s">
        <v>11</v>
      </c>
      <c r="C175" t="s">
        <v>13</v>
      </c>
      <c r="D175">
        <f t="shared" si="11"/>
        <v>0</v>
      </c>
      <c r="E175">
        <v>0</v>
      </c>
      <c r="F175">
        <v>0</v>
      </c>
      <c r="G175">
        <v>0</v>
      </c>
      <c r="H175">
        <v>0</v>
      </c>
      <c r="I175">
        <f t="shared" si="8"/>
        <v>0</v>
      </c>
    </row>
    <row r="176" spans="1:9" x14ac:dyDescent="0.3">
      <c r="A176" s="25">
        <v>1993</v>
      </c>
      <c r="B176" s="25" t="s">
        <v>9</v>
      </c>
      <c r="C176" s="25" t="s">
        <v>14</v>
      </c>
      <c r="D176" s="25">
        <f t="shared" si="10"/>
        <v>254</v>
      </c>
      <c r="E176" s="25">
        <v>70</v>
      </c>
      <c r="F176" s="25">
        <v>137</v>
      </c>
      <c r="G176" s="25">
        <v>171</v>
      </c>
      <c r="H176" s="25">
        <v>83</v>
      </c>
      <c r="I176" s="25">
        <f t="shared" si="8"/>
        <v>13</v>
      </c>
    </row>
    <row r="177" spans="1:9" x14ac:dyDescent="0.3">
      <c r="A177" s="25">
        <v>1994</v>
      </c>
      <c r="B177" s="25" t="s">
        <v>9</v>
      </c>
      <c r="C177" s="25" t="s">
        <v>14</v>
      </c>
      <c r="D177" s="25">
        <f t="shared" si="10"/>
        <v>174</v>
      </c>
      <c r="E177" s="25">
        <v>62</v>
      </c>
      <c r="F177" s="25">
        <v>74</v>
      </c>
      <c r="G177" s="25">
        <v>97</v>
      </c>
      <c r="H177" s="25">
        <v>77</v>
      </c>
      <c r="I177" s="25">
        <f t="shared" si="8"/>
        <v>15</v>
      </c>
    </row>
    <row r="178" spans="1:9" x14ac:dyDescent="0.3">
      <c r="A178" s="25">
        <v>1995</v>
      </c>
      <c r="B178" s="25" t="s">
        <v>9</v>
      </c>
      <c r="C178" s="25" t="s">
        <v>14</v>
      </c>
      <c r="D178" s="25">
        <f t="shared" si="10"/>
        <v>215</v>
      </c>
      <c r="E178" s="25">
        <v>74</v>
      </c>
      <c r="F178" s="25">
        <v>94</v>
      </c>
      <c r="G178" s="25">
        <v>120</v>
      </c>
      <c r="H178" s="25">
        <v>95</v>
      </c>
      <c r="I178" s="25">
        <f t="shared" si="8"/>
        <v>21</v>
      </c>
    </row>
    <row r="179" spans="1:9" x14ac:dyDescent="0.3">
      <c r="A179" s="25">
        <v>1996</v>
      </c>
      <c r="B179" s="25" t="s">
        <v>9</v>
      </c>
      <c r="C179" s="25" t="s">
        <v>14</v>
      </c>
      <c r="D179" s="25">
        <f t="shared" si="10"/>
        <v>164</v>
      </c>
      <c r="E179" s="25">
        <v>24</v>
      </c>
      <c r="F179" s="25">
        <v>134</v>
      </c>
      <c r="G179" s="25">
        <v>138</v>
      </c>
      <c r="H179" s="25">
        <v>26</v>
      </c>
      <c r="I179" s="25">
        <f t="shared" si="8"/>
        <v>2</v>
      </c>
    </row>
    <row r="180" spans="1:9" x14ac:dyDescent="0.3">
      <c r="A180" s="25">
        <v>1997</v>
      </c>
      <c r="B180" s="25" t="s">
        <v>9</v>
      </c>
      <c r="C180" s="25" t="s">
        <v>14</v>
      </c>
      <c r="D180" s="25">
        <f t="shared" si="10"/>
        <v>190</v>
      </c>
      <c r="E180" s="25">
        <v>105</v>
      </c>
      <c r="F180" s="25">
        <v>56</v>
      </c>
      <c r="G180" s="25">
        <v>72</v>
      </c>
      <c r="H180" s="25">
        <v>118</v>
      </c>
      <c r="I180" s="25">
        <f t="shared" si="8"/>
        <v>13</v>
      </c>
    </row>
    <row r="181" spans="1:9" x14ac:dyDescent="0.3">
      <c r="A181" s="25">
        <v>1998</v>
      </c>
      <c r="B181" s="25" t="s">
        <v>9</v>
      </c>
      <c r="C181" s="25" t="s">
        <v>14</v>
      </c>
      <c r="D181" s="25">
        <f t="shared" si="10"/>
        <v>144</v>
      </c>
      <c r="E181" s="25">
        <v>38</v>
      </c>
      <c r="F181" s="25">
        <v>89</v>
      </c>
      <c r="G181" s="25">
        <v>101</v>
      </c>
      <c r="H181" s="25">
        <v>43</v>
      </c>
      <c r="I181" s="25">
        <f t="shared" si="8"/>
        <v>5</v>
      </c>
    </row>
    <row r="182" spans="1:9" x14ac:dyDescent="0.3">
      <c r="A182" s="25">
        <v>1999</v>
      </c>
      <c r="B182" s="25" t="s">
        <v>9</v>
      </c>
      <c r="C182" s="25" t="s">
        <v>14</v>
      </c>
      <c r="D182" s="25">
        <f t="shared" si="10"/>
        <v>382</v>
      </c>
      <c r="E182" s="25">
        <v>125</v>
      </c>
      <c r="F182" s="25">
        <v>197</v>
      </c>
      <c r="G182" s="25">
        <v>241</v>
      </c>
      <c r="H182" s="25">
        <v>141</v>
      </c>
      <c r="I182" s="25">
        <f t="shared" si="8"/>
        <v>16</v>
      </c>
    </row>
    <row r="183" spans="1:9" x14ac:dyDescent="0.3">
      <c r="A183" s="25">
        <v>2000</v>
      </c>
      <c r="B183" s="25" t="s">
        <v>9</v>
      </c>
      <c r="C183" s="25" t="s">
        <v>14</v>
      </c>
      <c r="D183" s="25">
        <f t="shared" si="10"/>
        <v>259</v>
      </c>
      <c r="E183" s="25">
        <v>140</v>
      </c>
      <c r="F183" s="25">
        <v>81</v>
      </c>
      <c r="G183" s="25">
        <v>99</v>
      </c>
      <c r="H183" s="25">
        <v>160</v>
      </c>
      <c r="I183" s="25">
        <f t="shared" si="8"/>
        <v>20</v>
      </c>
    </row>
    <row r="184" spans="1:9" x14ac:dyDescent="0.3">
      <c r="A184" s="25">
        <v>2001</v>
      </c>
      <c r="B184" s="25" t="s">
        <v>9</v>
      </c>
      <c r="C184" s="25" t="s">
        <v>14</v>
      </c>
      <c r="D184" s="25">
        <f t="shared" si="10"/>
        <v>272</v>
      </c>
      <c r="E184" s="25">
        <v>89</v>
      </c>
      <c r="F184" s="25">
        <v>131</v>
      </c>
      <c r="G184" s="25">
        <v>163</v>
      </c>
      <c r="H184" s="25">
        <v>109</v>
      </c>
      <c r="I184" s="25">
        <f t="shared" si="8"/>
        <v>20</v>
      </c>
    </row>
    <row r="185" spans="1:9" x14ac:dyDescent="0.3">
      <c r="A185" s="25">
        <v>2002</v>
      </c>
      <c r="B185" s="25" t="s">
        <v>9</v>
      </c>
      <c r="C185" s="25" t="s">
        <v>14</v>
      </c>
      <c r="D185" s="25">
        <f t="shared" si="10"/>
        <v>286</v>
      </c>
      <c r="E185" s="25">
        <v>62</v>
      </c>
      <c r="F185" s="25">
        <v>190</v>
      </c>
      <c r="G185" s="25">
        <v>211</v>
      </c>
      <c r="H185" s="25">
        <v>75</v>
      </c>
      <c r="I185" s="25">
        <f t="shared" si="8"/>
        <v>13</v>
      </c>
    </row>
    <row r="186" spans="1:9" x14ac:dyDescent="0.3">
      <c r="A186" s="25">
        <v>2003</v>
      </c>
      <c r="B186" s="25" t="s">
        <v>9</v>
      </c>
      <c r="C186" s="25" t="s">
        <v>14</v>
      </c>
      <c r="D186" s="25">
        <f t="shared" si="10"/>
        <v>639</v>
      </c>
      <c r="E186" s="25">
        <v>121</v>
      </c>
      <c r="F186" s="25">
        <v>402</v>
      </c>
      <c r="G186" s="25">
        <v>504</v>
      </c>
      <c r="H186" s="25">
        <v>135</v>
      </c>
      <c r="I186" s="25">
        <f t="shared" si="8"/>
        <v>14</v>
      </c>
    </row>
    <row r="187" spans="1:9" x14ac:dyDescent="0.3">
      <c r="A187" s="25">
        <v>2004</v>
      </c>
      <c r="B187" s="25" t="s">
        <v>9</v>
      </c>
      <c r="C187" s="25" t="s">
        <v>14</v>
      </c>
      <c r="D187" s="25">
        <f t="shared" si="10"/>
        <v>825</v>
      </c>
      <c r="E187" s="25">
        <v>160</v>
      </c>
      <c r="F187" s="25">
        <v>572</v>
      </c>
      <c r="G187" s="25">
        <v>636</v>
      </c>
      <c r="H187" s="25">
        <v>189</v>
      </c>
      <c r="I187" s="25">
        <f t="shared" si="8"/>
        <v>29</v>
      </c>
    </row>
    <row r="188" spans="1:9" x14ac:dyDescent="0.3">
      <c r="A188" s="25">
        <v>2005</v>
      </c>
      <c r="B188" s="25" t="s">
        <v>9</v>
      </c>
      <c r="C188" s="25" t="s">
        <v>14</v>
      </c>
      <c r="D188" s="25">
        <f t="shared" si="10"/>
        <v>549</v>
      </c>
      <c r="E188" s="25">
        <v>132</v>
      </c>
      <c r="F188" s="25">
        <v>333</v>
      </c>
      <c r="G188" s="25">
        <v>365</v>
      </c>
      <c r="H188" s="25">
        <v>184</v>
      </c>
      <c r="I188" s="25">
        <f t="shared" si="8"/>
        <v>52</v>
      </c>
    </row>
    <row r="189" spans="1:9" x14ac:dyDescent="0.3">
      <c r="A189" s="25">
        <v>2006</v>
      </c>
      <c r="B189" s="25" t="s">
        <v>9</v>
      </c>
      <c r="C189" s="25" t="s">
        <v>14</v>
      </c>
      <c r="D189" s="25">
        <f t="shared" si="10"/>
        <v>744</v>
      </c>
      <c r="E189" s="25">
        <v>120</v>
      </c>
      <c r="F189" s="25">
        <v>516</v>
      </c>
      <c r="G189" s="25">
        <v>572</v>
      </c>
      <c r="H189" s="25">
        <v>172</v>
      </c>
      <c r="I189" s="25">
        <f t="shared" si="8"/>
        <v>52</v>
      </c>
    </row>
    <row r="190" spans="1:9" x14ac:dyDescent="0.3">
      <c r="A190" s="25">
        <v>2007</v>
      </c>
      <c r="B190" s="25" t="s">
        <v>9</v>
      </c>
      <c r="C190" s="25" t="s">
        <v>14</v>
      </c>
      <c r="D190" s="25">
        <f t="shared" si="10"/>
        <v>615</v>
      </c>
      <c r="E190" s="25">
        <v>54</v>
      </c>
      <c r="F190" s="25">
        <v>508</v>
      </c>
      <c r="G190" s="25">
        <v>532</v>
      </c>
      <c r="H190" s="25">
        <v>83</v>
      </c>
      <c r="I190" s="25">
        <f t="shared" si="8"/>
        <v>29</v>
      </c>
    </row>
    <row r="191" spans="1:9" x14ac:dyDescent="0.3">
      <c r="A191" s="25">
        <v>2008</v>
      </c>
      <c r="B191" s="25" t="s">
        <v>9</v>
      </c>
      <c r="C191" s="25" t="s">
        <v>14</v>
      </c>
      <c r="D191" s="25">
        <f t="shared" si="10"/>
        <v>712</v>
      </c>
      <c r="E191" s="25">
        <v>102</v>
      </c>
      <c r="F191" s="25">
        <v>549</v>
      </c>
      <c r="G191" s="25">
        <v>574</v>
      </c>
      <c r="H191" s="25">
        <v>138</v>
      </c>
      <c r="I191" s="25">
        <f t="shared" si="8"/>
        <v>36</v>
      </c>
    </row>
    <row r="192" spans="1:9" x14ac:dyDescent="0.3">
      <c r="A192" s="25">
        <v>2009</v>
      </c>
      <c r="B192" s="25" t="s">
        <v>9</v>
      </c>
      <c r="C192" s="25" t="s">
        <v>14</v>
      </c>
      <c r="D192" s="25">
        <f t="shared" si="10"/>
        <v>952</v>
      </c>
      <c r="E192" s="25">
        <v>101</v>
      </c>
      <c r="F192" s="25">
        <v>651</v>
      </c>
      <c r="G192" s="25">
        <v>791</v>
      </c>
      <c r="H192" s="25">
        <v>161</v>
      </c>
      <c r="I192" s="25">
        <f t="shared" si="8"/>
        <v>60</v>
      </c>
    </row>
    <row r="193" spans="1:9" x14ac:dyDescent="0.3">
      <c r="A193" s="25">
        <v>2010</v>
      </c>
      <c r="B193" s="25" t="s">
        <v>9</v>
      </c>
      <c r="C193" s="25" t="s">
        <v>14</v>
      </c>
      <c r="D193" s="25">
        <f t="shared" si="10"/>
        <v>1144</v>
      </c>
      <c r="E193" s="25">
        <v>207</v>
      </c>
      <c r="F193" s="25">
        <v>716</v>
      </c>
      <c r="G193" s="25">
        <v>861</v>
      </c>
      <c r="H193" s="25">
        <v>283</v>
      </c>
      <c r="I193" s="25">
        <f t="shared" ref="I193:I265" si="12">H193-E193</f>
        <v>76</v>
      </c>
    </row>
    <row r="194" spans="1:9" x14ac:dyDescent="0.3">
      <c r="A194" s="25">
        <v>2011</v>
      </c>
      <c r="B194" s="25" t="s">
        <v>9</v>
      </c>
      <c r="C194" s="25" t="s">
        <v>14</v>
      </c>
      <c r="D194" s="25">
        <f t="shared" si="10"/>
        <v>859</v>
      </c>
      <c r="E194" s="25">
        <v>98</v>
      </c>
      <c r="F194" s="25">
        <v>562</v>
      </c>
      <c r="G194" s="25">
        <v>707</v>
      </c>
      <c r="H194" s="25">
        <v>152</v>
      </c>
      <c r="I194" s="25">
        <f t="shared" si="12"/>
        <v>54</v>
      </c>
    </row>
    <row r="195" spans="1:9" x14ac:dyDescent="0.3">
      <c r="A195" s="25">
        <v>2012</v>
      </c>
      <c r="B195" s="25" t="s">
        <v>9</v>
      </c>
      <c r="C195" s="25" t="s">
        <v>14</v>
      </c>
      <c r="D195" s="25">
        <f t="shared" si="10"/>
        <v>823</v>
      </c>
      <c r="E195" s="25">
        <v>104</v>
      </c>
      <c r="F195" s="25">
        <v>582</v>
      </c>
      <c r="G195" s="25">
        <v>653</v>
      </c>
      <c r="H195" s="25">
        <v>170</v>
      </c>
      <c r="I195" s="25">
        <f t="shared" si="12"/>
        <v>66</v>
      </c>
    </row>
    <row r="196" spans="1:9" x14ac:dyDescent="0.3">
      <c r="A196" s="25">
        <v>2013</v>
      </c>
      <c r="B196" s="25" t="s">
        <v>9</v>
      </c>
      <c r="C196" s="25" t="s">
        <v>14</v>
      </c>
      <c r="D196" s="25">
        <f t="shared" si="10"/>
        <v>1190</v>
      </c>
      <c r="E196" s="25">
        <v>131</v>
      </c>
      <c r="F196" s="25">
        <v>788</v>
      </c>
      <c r="G196" s="25">
        <v>978</v>
      </c>
      <c r="H196" s="25">
        <v>212</v>
      </c>
      <c r="I196" s="25">
        <f t="shared" si="12"/>
        <v>81</v>
      </c>
    </row>
    <row r="197" spans="1:9" x14ac:dyDescent="0.3">
      <c r="A197" s="25">
        <v>2014</v>
      </c>
      <c r="B197" s="25" t="s">
        <v>9</v>
      </c>
      <c r="C197" s="25" t="s">
        <v>14</v>
      </c>
      <c r="D197" s="25">
        <f t="shared" si="10"/>
        <v>948</v>
      </c>
      <c r="E197" s="25">
        <v>74</v>
      </c>
      <c r="F197" s="25">
        <v>645</v>
      </c>
      <c r="G197" s="25">
        <v>762</v>
      </c>
      <c r="H197" s="25">
        <v>186</v>
      </c>
      <c r="I197" s="25">
        <f t="shared" si="12"/>
        <v>112</v>
      </c>
    </row>
    <row r="198" spans="1:9" x14ac:dyDescent="0.3">
      <c r="A198" s="25">
        <v>2015</v>
      </c>
      <c r="B198" s="25" t="s">
        <v>9</v>
      </c>
      <c r="C198" s="25" t="s">
        <v>14</v>
      </c>
      <c r="D198" s="25">
        <f t="shared" si="10"/>
        <v>494</v>
      </c>
      <c r="E198" s="25">
        <v>30</v>
      </c>
      <c r="F198" s="25">
        <v>357</v>
      </c>
      <c r="G198" s="25">
        <v>422</v>
      </c>
      <c r="H198" s="25">
        <v>72</v>
      </c>
      <c r="I198" s="25">
        <f t="shared" si="12"/>
        <v>42</v>
      </c>
    </row>
    <row r="199" spans="1:9" x14ac:dyDescent="0.3">
      <c r="A199" s="25">
        <v>2016</v>
      </c>
      <c r="B199" s="25" t="s">
        <v>9</v>
      </c>
      <c r="C199" s="25" t="s">
        <v>14</v>
      </c>
      <c r="D199" s="25">
        <f t="shared" si="10"/>
        <v>1364</v>
      </c>
      <c r="E199" s="25">
        <v>75</v>
      </c>
      <c r="F199" s="25">
        <v>1010</v>
      </c>
      <c r="G199" s="25">
        <v>1187</v>
      </c>
      <c r="H199" s="25">
        <v>177</v>
      </c>
      <c r="I199" s="25">
        <f t="shared" si="12"/>
        <v>102</v>
      </c>
    </row>
    <row r="200" spans="1:9" x14ac:dyDescent="0.3">
      <c r="A200" s="25">
        <v>2017</v>
      </c>
      <c r="B200" s="25" t="s">
        <v>9</v>
      </c>
      <c r="C200" s="25" t="s">
        <v>14</v>
      </c>
      <c r="D200" s="25">
        <f t="shared" si="10"/>
        <v>618</v>
      </c>
      <c r="E200" s="25">
        <v>48</v>
      </c>
      <c r="F200" s="25">
        <v>395</v>
      </c>
      <c r="G200" s="25">
        <v>471</v>
      </c>
      <c r="H200" s="25">
        <v>147</v>
      </c>
      <c r="I200" s="25">
        <f t="shared" si="12"/>
        <v>99</v>
      </c>
    </row>
    <row r="201" spans="1:9" x14ac:dyDescent="0.3">
      <c r="A201" s="25">
        <v>2018</v>
      </c>
      <c r="B201" s="25" t="s">
        <v>9</v>
      </c>
      <c r="C201" s="25" t="s">
        <v>14</v>
      </c>
      <c r="D201" s="25">
        <f t="shared" si="10"/>
        <v>1044</v>
      </c>
      <c r="E201" s="25">
        <v>92</v>
      </c>
      <c r="F201" s="25">
        <v>719</v>
      </c>
      <c r="G201" s="25">
        <v>850</v>
      </c>
      <c r="H201" s="25">
        <v>194</v>
      </c>
      <c r="I201" s="25">
        <f t="shared" si="12"/>
        <v>102</v>
      </c>
    </row>
    <row r="202" spans="1:9" x14ac:dyDescent="0.3">
      <c r="A202" s="25">
        <v>2019</v>
      </c>
      <c r="B202" s="25" t="s">
        <v>9</v>
      </c>
      <c r="C202" s="25" t="s">
        <v>14</v>
      </c>
      <c r="D202" s="25">
        <f t="shared" ref="D202" si="13">G202+H202</f>
        <v>1077</v>
      </c>
      <c r="E202" s="25">
        <v>95</v>
      </c>
      <c r="F202" s="25">
        <v>692</v>
      </c>
      <c r="G202" s="25">
        <v>909</v>
      </c>
      <c r="H202" s="25">
        <v>168</v>
      </c>
      <c r="I202" s="25">
        <f t="shared" si="12"/>
        <v>73</v>
      </c>
    </row>
    <row r="203" spans="1:9" x14ac:dyDescent="0.3">
      <c r="A203" s="25">
        <v>2020</v>
      </c>
      <c r="B203" s="25" t="s">
        <v>9</v>
      </c>
      <c r="C203" s="25" t="s">
        <v>14</v>
      </c>
      <c r="D203" s="25">
        <f t="shared" si="10"/>
        <v>611</v>
      </c>
      <c r="E203" s="25">
        <v>85</v>
      </c>
      <c r="F203" s="25">
        <v>399</v>
      </c>
      <c r="G203" s="25">
        <v>476</v>
      </c>
      <c r="H203" s="25">
        <v>135</v>
      </c>
      <c r="I203" s="25">
        <f t="shared" si="12"/>
        <v>50</v>
      </c>
    </row>
    <row r="204" spans="1:9" x14ac:dyDescent="0.3">
      <c r="A204" s="25">
        <v>2021</v>
      </c>
      <c r="B204" s="25" t="s">
        <v>9</v>
      </c>
      <c r="C204" s="25" t="s">
        <v>14</v>
      </c>
      <c r="D204" s="25">
        <f t="shared" si="10"/>
        <v>769</v>
      </c>
      <c r="E204" s="25">
        <v>47</v>
      </c>
      <c r="F204" s="25">
        <v>608</v>
      </c>
      <c r="G204" s="25">
        <v>667</v>
      </c>
      <c r="H204" s="25">
        <v>102</v>
      </c>
      <c r="I204" s="25">
        <f t="shared" si="12"/>
        <v>55</v>
      </c>
    </row>
    <row r="205" spans="1:9" x14ac:dyDescent="0.3">
      <c r="A205">
        <v>1993</v>
      </c>
      <c r="B205" t="s">
        <v>11</v>
      </c>
      <c r="C205" t="s">
        <v>14</v>
      </c>
      <c r="D205">
        <f t="shared" si="10"/>
        <v>109</v>
      </c>
      <c r="E205">
        <v>17</v>
      </c>
      <c r="F205">
        <v>61</v>
      </c>
      <c r="G205">
        <v>71</v>
      </c>
      <c r="H205">
        <v>38</v>
      </c>
      <c r="I205">
        <f t="shared" si="12"/>
        <v>21</v>
      </c>
    </row>
    <row r="206" spans="1:9" x14ac:dyDescent="0.3">
      <c r="A206">
        <v>1994</v>
      </c>
      <c r="B206" t="s">
        <v>11</v>
      </c>
      <c r="C206" t="s">
        <v>14</v>
      </c>
      <c r="D206">
        <f t="shared" si="10"/>
        <v>68</v>
      </c>
      <c r="E206">
        <v>2</v>
      </c>
      <c r="F206">
        <v>58</v>
      </c>
      <c r="G206">
        <v>59</v>
      </c>
      <c r="H206">
        <v>9</v>
      </c>
      <c r="I206">
        <f t="shared" si="12"/>
        <v>7</v>
      </c>
    </row>
    <row r="207" spans="1:9" x14ac:dyDescent="0.3">
      <c r="A207">
        <v>1995</v>
      </c>
      <c r="B207" t="s">
        <v>11</v>
      </c>
      <c r="C207" t="s">
        <v>14</v>
      </c>
      <c r="D207">
        <f t="shared" si="10"/>
        <v>84</v>
      </c>
      <c r="E207">
        <v>25</v>
      </c>
      <c r="F207">
        <v>31</v>
      </c>
      <c r="G207">
        <v>32</v>
      </c>
      <c r="H207">
        <v>52</v>
      </c>
      <c r="I207">
        <f t="shared" si="12"/>
        <v>27</v>
      </c>
    </row>
    <row r="208" spans="1:9" x14ac:dyDescent="0.3">
      <c r="A208">
        <v>1996</v>
      </c>
      <c r="B208" t="s">
        <v>11</v>
      </c>
      <c r="C208" t="s">
        <v>14</v>
      </c>
      <c r="D208">
        <f t="shared" si="10"/>
        <v>48</v>
      </c>
      <c r="E208">
        <v>5</v>
      </c>
      <c r="F208">
        <v>32</v>
      </c>
      <c r="G208">
        <v>37</v>
      </c>
      <c r="H208">
        <v>11</v>
      </c>
      <c r="I208">
        <f t="shared" si="12"/>
        <v>6</v>
      </c>
    </row>
    <row r="209" spans="1:9" x14ac:dyDescent="0.3">
      <c r="A209">
        <v>1997</v>
      </c>
      <c r="B209" t="s">
        <v>11</v>
      </c>
      <c r="C209" t="s">
        <v>14</v>
      </c>
      <c r="D209">
        <f t="shared" si="10"/>
        <v>132</v>
      </c>
      <c r="E209">
        <v>17</v>
      </c>
      <c r="F209">
        <v>112</v>
      </c>
      <c r="G209">
        <v>114</v>
      </c>
      <c r="H209">
        <v>18</v>
      </c>
      <c r="I209">
        <f t="shared" si="12"/>
        <v>1</v>
      </c>
    </row>
    <row r="210" spans="1:9" x14ac:dyDescent="0.3">
      <c r="A210">
        <v>1998</v>
      </c>
      <c r="B210" t="s">
        <v>11</v>
      </c>
      <c r="C210" t="s">
        <v>14</v>
      </c>
      <c r="D210">
        <f t="shared" si="10"/>
        <v>165</v>
      </c>
      <c r="E210">
        <v>17</v>
      </c>
      <c r="F210">
        <v>123</v>
      </c>
      <c r="G210">
        <v>138</v>
      </c>
      <c r="H210">
        <v>27</v>
      </c>
      <c r="I210">
        <f t="shared" si="12"/>
        <v>10</v>
      </c>
    </row>
    <row r="211" spans="1:9" x14ac:dyDescent="0.3">
      <c r="A211">
        <v>1999</v>
      </c>
      <c r="B211" t="s">
        <v>11</v>
      </c>
      <c r="C211" t="s">
        <v>14</v>
      </c>
      <c r="D211">
        <f t="shared" si="10"/>
        <v>151</v>
      </c>
      <c r="E211">
        <v>20</v>
      </c>
      <c r="F211">
        <v>99</v>
      </c>
      <c r="G211">
        <v>105</v>
      </c>
      <c r="H211">
        <v>46</v>
      </c>
      <c r="I211">
        <f t="shared" si="12"/>
        <v>26</v>
      </c>
    </row>
    <row r="212" spans="1:9" x14ac:dyDescent="0.3">
      <c r="A212">
        <v>2000</v>
      </c>
      <c r="B212" t="s">
        <v>11</v>
      </c>
      <c r="C212" t="s">
        <v>14</v>
      </c>
      <c r="D212">
        <f t="shared" si="10"/>
        <v>136</v>
      </c>
      <c r="E212">
        <v>10</v>
      </c>
      <c r="F212">
        <v>101</v>
      </c>
      <c r="G212">
        <v>112</v>
      </c>
      <c r="H212">
        <v>24</v>
      </c>
      <c r="I212">
        <f t="shared" si="12"/>
        <v>14</v>
      </c>
    </row>
    <row r="213" spans="1:9" x14ac:dyDescent="0.3">
      <c r="A213">
        <v>2001</v>
      </c>
      <c r="B213" t="s">
        <v>11</v>
      </c>
      <c r="C213" t="s">
        <v>14</v>
      </c>
      <c r="D213">
        <f t="shared" si="10"/>
        <v>166</v>
      </c>
      <c r="E213">
        <v>32</v>
      </c>
      <c r="F213">
        <v>122</v>
      </c>
      <c r="G213">
        <v>130</v>
      </c>
      <c r="H213">
        <v>36</v>
      </c>
      <c r="I213">
        <f t="shared" si="12"/>
        <v>4</v>
      </c>
    </row>
    <row r="214" spans="1:9" x14ac:dyDescent="0.3">
      <c r="A214">
        <v>2002</v>
      </c>
      <c r="B214" t="s">
        <v>11</v>
      </c>
      <c r="C214" t="s">
        <v>14</v>
      </c>
      <c r="D214">
        <f t="shared" si="10"/>
        <v>279</v>
      </c>
      <c r="E214">
        <v>17</v>
      </c>
      <c r="F214">
        <v>221</v>
      </c>
      <c r="G214">
        <v>251</v>
      </c>
      <c r="H214">
        <v>28</v>
      </c>
      <c r="I214">
        <f t="shared" si="12"/>
        <v>11</v>
      </c>
    </row>
    <row r="215" spans="1:9" x14ac:dyDescent="0.3">
      <c r="A215">
        <v>2003</v>
      </c>
      <c r="B215" t="s">
        <v>11</v>
      </c>
      <c r="C215" t="s">
        <v>14</v>
      </c>
      <c r="D215">
        <f t="shared" si="10"/>
        <v>307</v>
      </c>
      <c r="E215">
        <v>35</v>
      </c>
      <c r="F215">
        <v>245</v>
      </c>
      <c r="G215">
        <v>269</v>
      </c>
      <c r="H215">
        <v>38</v>
      </c>
      <c r="I215">
        <f t="shared" si="12"/>
        <v>3</v>
      </c>
    </row>
    <row r="216" spans="1:9" x14ac:dyDescent="0.3">
      <c r="A216">
        <v>2004</v>
      </c>
      <c r="B216" t="s">
        <v>11</v>
      </c>
      <c r="C216" t="s">
        <v>14</v>
      </c>
      <c r="D216">
        <f t="shared" si="10"/>
        <v>440</v>
      </c>
      <c r="E216">
        <v>82</v>
      </c>
      <c r="F216">
        <v>303</v>
      </c>
      <c r="G216">
        <v>328</v>
      </c>
      <c r="H216">
        <v>112</v>
      </c>
      <c r="I216">
        <f t="shared" si="12"/>
        <v>30</v>
      </c>
    </row>
    <row r="217" spans="1:9" x14ac:dyDescent="0.3">
      <c r="A217">
        <v>2005</v>
      </c>
      <c r="B217" t="s">
        <v>11</v>
      </c>
      <c r="C217" t="s">
        <v>14</v>
      </c>
      <c r="D217">
        <f t="shared" si="10"/>
        <v>244</v>
      </c>
      <c r="E217">
        <v>37</v>
      </c>
      <c r="F217">
        <v>148</v>
      </c>
      <c r="G217">
        <v>173</v>
      </c>
      <c r="H217">
        <v>71</v>
      </c>
      <c r="I217">
        <f t="shared" si="12"/>
        <v>34</v>
      </c>
    </row>
    <row r="218" spans="1:9" x14ac:dyDescent="0.3">
      <c r="A218">
        <v>2006</v>
      </c>
      <c r="B218" t="s">
        <v>11</v>
      </c>
      <c r="C218" t="s">
        <v>14</v>
      </c>
      <c r="D218">
        <f t="shared" si="10"/>
        <v>312</v>
      </c>
      <c r="E218">
        <v>56</v>
      </c>
      <c r="F218">
        <v>198</v>
      </c>
      <c r="G218">
        <v>217</v>
      </c>
      <c r="H218">
        <v>95</v>
      </c>
      <c r="I218">
        <f t="shared" si="12"/>
        <v>39</v>
      </c>
    </row>
    <row r="219" spans="1:9" x14ac:dyDescent="0.3">
      <c r="A219">
        <v>2007</v>
      </c>
      <c r="B219" t="s">
        <v>11</v>
      </c>
      <c r="C219" t="s">
        <v>14</v>
      </c>
      <c r="D219">
        <f t="shared" si="10"/>
        <v>256</v>
      </c>
      <c r="E219">
        <v>30</v>
      </c>
      <c r="F219">
        <v>177</v>
      </c>
      <c r="G219">
        <v>203</v>
      </c>
      <c r="H219">
        <v>53</v>
      </c>
      <c r="I219">
        <f t="shared" si="12"/>
        <v>23</v>
      </c>
    </row>
    <row r="220" spans="1:9" x14ac:dyDescent="0.3">
      <c r="A220">
        <v>2008</v>
      </c>
      <c r="B220" t="s">
        <v>11</v>
      </c>
      <c r="C220" t="s">
        <v>14</v>
      </c>
      <c r="D220">
        <f t="shared" si="10"/>
        <v>219</v>
      </c>
      <c r="E220">
        <v>28</v>
      </c>
      <c r="F220">
        <v>152</v>
      </c>
      <c r="G220">
        <v>167</v>
      </c>
      <c r="H220">
        <v>52</v>
      </c>
      <c r="I220">
        <f t="shared" si="12"/>
        <v>24</v>
      </c>
    </row>
    <row r="221" spans="1:9" x14ac:dyDescent="0.3">
      <c r="A221">
        <v>2009</v>
      </c>
      <c r="B221" t="s">
        <v>11</v>
      </c>
      <c r="C221" t="s">
        <v>14</v>
      </c>
      <c r="D221">
        <f t="shared" si="10"/>
        <v>554</v>
      </c>
      <c r="E221">
        <v>41</v>
      </c>
      <c r="F221">
        <v>401</v>
      </c>
      <c r="G221">
        <v>453</v>
      </c>
      <c r="H221">
        <v>101</v>
      </c>
      <c r="I221">
        <f t="shared" si="12"/>
        <v>60</v>
      </c>
    </row>
    <row r="222" spans="1:9" x14ac:dyDescent="0.3">
      <c r="A222">
        <v>2010</v>
      </c>
      <c r="B222" t="s">
        <v>11</v>
      </c>
      <c r="C222" t="s">
        <v>14</v>
      </c>
      <c r="D222">
        <f t="shared" si="10"/>
        <v>546</v>
      </c>
      <c r="E222">
        <v>68</v>
      </c>
      <c r="F222">
        <v>365</v>
      </c>
      <c r="G222">
        <v>414</v>
      </c>
      <c r="H222">
        <v>132</v>
      </c>
      <c r="I222">
        <f t="shared" si="12"/>
        <v>64</v>
      </c>
    </row>
    <row r="223" spans="1:9" x14ac:dyDescent="0.3">
      <c r="A223">
        <v>2011</v>
      </c>
      <c r="B223" t="s">
        <v>11</v>
      </c>
      <c r="C223" t="s">
        <v>14</v>
      </c>
      <c r="D223">
        <f t="shared" si="10"/>
        <v>387</v>
      </c>
      <c r="E223">
        <v>60</v>
      </c>
      <c r="F223">
        <v>239</v>
      </c>
      <c r="G223">
        <v>268</v>
      </c>
      <c r="H223">
        <v>119</v>
      </c>
      <c r="I223">
        <f t="shared" si="12"/>
        <v>59</v>
      </c>
    </row>
    <row r="224" spans="1:9" x14ac:dyDescent="0.3">
      <c r="A224">
        <v>2012</v>
      </c>
      <c r="B224" t="s">
        <v>11</v>
      </c>
      <c r="C224" t="s">
        <v>14</v>
      </c>
      <c r="D224">
        <f t="shared" si="10"/>
        <v>522</v>
      </c>
      <c r="E224">
        <v>73</v>
      </c>
      <c r="F224">
        <v>383</v>
      </c>
      <c r="G224">
        <v>404</v>
      </c>
      <c r="H224">
        <v>118</v>
      </c>
      <c r="I224">
        <f t="shared" si="12"/>
        <v>45</v>
      </c>
    </row>
    <row r="225" spans="1:9" x14ac:dyDescent="0.3">
      <c r="A225">
        <v>2013</v>
      </c>
      <c r="B225" t="s">
        <v>11</v>
      </c>
      <c r="C225" t="s">
        <v>14</v>
      </c>
      <c r="D225">
        <f t="shared" si="10"/>
        <v>646</v>
      </c>
      <c r="E225">
        <v>67</v>
      </c>
      <c r="F225">
        <v>507</v>
      </c>
      <c r="G225">
        <v>548</v>
      </c>
      <c r="H225">
        <v>98</v>
      </c>
      <c r="I225">
        <f t="shared" si="12"/>
        <v>31</v>
      </c>
    </row>
    <row r="226" spans="1:9" x14ac:dyDescent="0.3">
      <c r="A226">
        <v>2014</v>
      </c>
      <c r="B226" t="s">
        <v>11</v>
      </c>
      <c r="C226" t="s">
        <v>14</v>
      </c>
      <c r="D226">
        <f t="shared" si="10"/>
        <v>529</v>
      </c>
      <c r="E226">
        <v>75</v>
      </c>
      <c r="F226">
        <v>363</v>
      </c>
      <c r="G226">
        <v>403</v>
      </c>
      <c r="H226">
        <v>126</v>
      </c>
      <c r="I226">
        <f t="shared" si="12"/>
        <v>51</v>
      </c>
    </row>
    <row r="227" spans="1:9" x14ac:dyDescent="0.3">
      <c r="A227">
        <v>2015</v>
      </c>
      <c r="B227" t="s">
        <v>11</v>
      </c>
      <c r="C227" t="s">
        <v>14</v>
      </c>
      <c r="D227">
        <f t="shared" ref="D227:D299" si="14">G227+H227</f>
        <v>517</v>
      </c>
      <c r="E227">
        <v>59</v>
      </c>
      <c r="F227">
        <v>376</v>
      </c>
      <c r="G227">
        <v>420</v>
      </c>
      <c r="H227">
        <v>97</v>
      </c>
      <c r="I227">
        <f t="shared" si="12"/>
        <v>38</v>
      </c>
    </row>
    <row r="228" spans="1:9" x14ac:dyDescent="0.3">
      <c r="A228">
        <v>2016</v>
      </c>
      <c r="B228" t="s">
        <v>11</v>
      </c>
      <c r="C228" t="s">
        <v>14</v>
      </c>
      <c r="D228">
        <f t="shared" si="14"/>
        <v>451</v>
      </c>
      <c r="E228">
        <v>52</v>
      </c>
      <c r="F228">
        <v>306</v>
      </c>
      <c r="G228">
        <v>356</v>
      </c>
      <c r="H228">
        <v>95</v>
      </c>
      <c r="I228">
        <f t="shared" si="12"/>
        <v>43</v>
      </c>
    </row>
    <row r="229" spans="1:9" x14ac:dyDescent="0.3">
      <c r="A229">
        <v>2017</v>
      </c>
      <c r="B229" t="s">
        <v>11</v>
      </c>
      <c r="C229" t="s">
        <v>14</v>
      </c>
      <c r="D229">
        <f t="shared" si="14"/>
        <v>213</v>
      </c>
      <c r="E229">
        <v>20</v>
      </c>
      <c r="F229">
        <v>145</v>
      </c>
      <c r="G229">
        <v>173</v>
      </c>
      <c r="H229">
        <v>40</v>
      </c>
      <c r="I229">
        <f t="shared" si="12"/>
        <v>20</v>
      </c>
    </row>
    <row r="230" spans="1:9" x14ac:dyDescent="0.3">
      <c r="A230">
        <v>2018</v>
      </c>
      <c r="B230" t="s">
        <v>11</v>
      </c>
      <c r="C230" t="s">
        <v>14</v>
      </c>
      <c r="D230">
        <f t="shared" si="14"/>
        <v>366</v>
      </c>
      <c r="E230">
        <v>67</v>
      </c>
      <c r="F230">
        <v>200</v>
      </c>
      <c r="G230">
        <v>256</v>
      </c>
      <c r="H230">
        <v>110</v>
      </c>
      <c r="I230">
        <f t="shared" si="12"/>
        <v>43</v>
      </c>
    </row>
    <row r="231" spans="1:9" x14ac:dyDescent="0.3">
      <c r="A231">
        <v>2019</v>
      </c>
      <c r="B231" t="s">
        <v>11</v>
      </c>
      <c r="C231" t="s">
        <v>14</v>
      </c>
      <c r="D231">
        <f t="shared" si="14"/>
        <v>360</v>
      </c>
      <c r="E231">
        <v>68</v>
      </c>
      <c r="F231">
        <v>192</v>
      </c>
      <c r="G231">
        <v>254</v>
      </c>
      <c r="H231">
        <v>106</v>
      </c>
      <c r="I231">
        <f t="shared" si="12"/>
        <v>38</v>
      </c>
    </row>
    <row r="232" spans="1:9" x14ac:dyDescent="0.3">
      <c r="A232">
        <v>2020</v>
      </c>
      <c r="B232" t="s">
        <v>11</v>
      </c>
      <c r="C232" t="s">
        <v>14</v>
      </c>
      <c r="D232">
        <f t="shared" ref="D232:D233" si="15">G232+H232</f>
        <v>265</v>
      </c>
      <c r="E232">
        <v>55</v>
      </c>
      <c r="F232">
        <v>150</v>
      </c>
      <c r="G232">
        <v>171</v>
      </c>
      <c r="H232">
        <v>94</v>
      </c>
      <c r="I232">
        <f t="shared" si="12"/>
        <v>39</v>
      </c>
    </row>
    <row r="233" spans="1:9" x14ac:dyDescent="0.3">
      <c r="A233">
        <v>2021</v>
      </c>
      <c r="B233" t="s">
        <v>11</v>
      </c>
      <c r="C233" t="s">
        <v>14</v>
      </c>
      <c r="D233">
        <f t="shared" si="15"/>
        <v>170</v>
      </c>
      <c r="E233">
        <v>23</v>
      </c>
      <c r="F233">
        <v>122</v>
      </c>
      <c r="G233">
        <v>135</v>
      </c>
      <c r="H233">
        <v>35</v>
      </c>
      <c r="I233">
        <f t="shared" si="12"/>
        <v>12</v>
      </c>
    </row>
    <row r="234" spans="1:9" x14ac:dyDescent="0.3">
      <c r="A234" s="25">
        <v>1993</v>
      </c>
      <c r="B234" s="25" t="s">
        <v>9</v>
      </c>
      <c r="C234" s="25" t="s">
        <v>15</v>
      </c>
      <c r="D234" s="25">
        <f t="shared" si="14"/>
        <v>78</v>
      </c>
      <c r="E234" s="25">
        <v>0</v>
      </c>
      <c r="F234" s="25">
        <v>55</v>
      </c>
      <c r="G234" s="25">
        <v>78</v>
      </c>
      <c r="H234" s="25">
        <v>0</v>
      </c>
      <c r="I234" s="25">
        <f t="shared" si="12"/>
        <v>0</v>
      </c>
    </row>
    <row r="235" spans="1:9" x14ac:dyDescent="0.3">
      <c r="A235" s="25">
        <v>1994</v>
      </c>
      <c r="B235" s="25" t="s">
        <v>9</v>
      </c>
      <c r="C235" s="25" t="s">
        <v>15</v>
      </c>
      <c r="D235" s="25">
        <f t="shared" si="14"/>
        <v>127</v>
      </c>
      <c r="E235" s="25">
        <v>1</v>
      </c>
      <c r="F235" s="25">
        <v>100</v>
      </c>
      <c r="G235" s="25">
        <v>126</v>
      </c>
      <c r="H235" s="25">
        <v>1</v>
      </c>
      <c r="I235" s="25">
        <f t="shared" si="12"/>
        <v>0</v>
      </c>
    </row>
    <row r="236" spans="1:9" x14ac:dyDescent="0.3">
      <c r="A236" s="25">
        <v>1995</v>
      </c>
      <c r="B236" s="25" t="s">
        <v>9</v>
      </c>
      <c r="C236" s="25" t="s">
        <v>15</v>
      </c>
      <c r="D236" s="25">
        <f t="shared" si="14"/>
        <v>156</v>
      </c>
      <c r="E236" s="25">
        <v>2</v>
      </c>
      <c r="F236" s="25">
        <v>121</v>
      </c>
      <c r="G236" s="25">
        <v>153</v>
      </c>
      <c r="H236" s="25">
        <v>3</v>
      </c>
      <c r="I236" s="25">
        <f t="shared" si="12"/>
        <v>1</v>
      </c>
    </row>
    <row r="237" spans="1:9" x14ac:dyDescent="0.3">
      <c r="A237" s="25">
        <v>1996</v>
      </c>
      <c r="B237" s="25" t="s">
        <v>9</v>
      </c>
      <c r="C237" s="25" t="s">
        <v>15</v>
      </c>
      <c r="D237" s="25">
        <f t="shared" si="14"/>
        <v>81</v>
      </c>
      <c r="E237" s="25">
        <v>2</v>
      </c>
      <c r="F237" s="25">
        <v>74</v>
      </c>
      <c r="G237" s="25">
        <v>78</v>
      </c>
      <c r="H237" s="25">
        <v>3</v>
      </c>
      <c r="I237" s="25">
        <f t="shared" si="12"/>
        <v>1</v>
      </c>
    </row>
    <row r="238" spans="1:9" x14ac:dyDescent="0.3">
      <c r="A238" s="25">
        <v>1997</v>
      </c>
      <c r="B238" s="25" t="s">
        <v>9</v>
      </c>
      <c r="C238" s="25" t="s">
        <v>15</v>
      </c>
      <c r="D238" s="25">
        <f t="shared" si="14"/>
        <v>38</v>
      </c>
      <c r="E238" s="25">
        <v>5</v>
      </c>
      <c r="F238" s="25">
        <v>30</v>
      </c>
      <c r="G238" s="25">
        <v>33</v>
      </c>
      <c r="H238" s="25">
        <v>5</v>
      </c>
      <c r="I238" s="25">
        <f t="shared" si="12"/>
        <v>0</v>
      </c>
    </row>
    <row r="239" spans="1:9" x14ac:dyDescent="0.3">
      <c r="A239" s="25">
        <v>1998</v>
      </c>
      <c r="B239" s="25" t="s">
        <v>9</v>
      </c>
      <c r="C239" s="25" t="s">
        <v>15</v>
      </c>
      <c r="D239" s="25">
        <f t="shared" si="14"/>
        <v>119</v>
      </c>
      <c r="E239" s="25">
        <v>22</v>
      </c>
      <c r="F239" s="25">
        <v>78</v>
      </c>
      <c r="G239" s="25">
        <v>97</v>
      </c>
      <c r="H239" s="25">
        <v>22</v>
      </c>
      <c r="I239" s="25">
        <f t="shared" si="12"/>
        <v>0</v>
      </c>
    </row>
    <row r="240" spans="1:9" x14ac:dyDescent="0.3">
      <c r="A240" s="25">
        <v>1999</v>
      </c>
      <c r="B240" s="25" t="s">
        <v>9</v>
      </c>
      <c r="C240" s="25" t="s">
        <v>15</v>
      </c>
      <c r="D240" s="25">
        <f t="shared" si="14"/>
        <v>110</v>
      </c>
      <c r="E240" s="25">
        <v>5</v>
      </c>
      <c r="F240" s="25">
        <v>93</v>
      </c>
      <c r="G240" s="25">
        <v>105</v>
      </c>
      <c r="H240" s="25">
        <v>5</v>
      </c>
      <c r="I240" s="25">
        <f t="shared" si="12"/>
        <v>0</v>
      </c>
    </row>
    <row r="241" spans="1:9" x14ac:dyDescent="0.3">
      <c r="A241" s="25">
        <v>2000</v>
      </c>
      <c r="B241" s="25" t="s">
        <v>9</v>
      </c>
      <c r="C241" s="25" t="s">
        <v>15</v>
      </c>
      <c r="D241" s="25">
        <f t="shared" si="14"/>
        <v>112</v>
      </c>
      <c r="E241" s="25">
        <v>10</v>
      </c>
      <c r="F241" s="25">
        <v>94</v>
      </c>
      <c r="G241" s="25">
        <v>102</v>
      </c>
      <c r="H241" s="25">
        <v>10</v>
      </c>
      <c r="I241" s="25">
        <f t="shared" si="12"/>
        <v>0</v>
      </c>
    </row>
    <row r="242" spans="1:9" x14ac:dyDescent="0.3">
      <c r="A242" s="25">
        <v>2001</v>
      </c>
      <c r="B242" s="25" t="s">
        <v>9</v>
      </c>
      <c r="C242" s="25" t="s">
        <v>15</v>
      </c>
      <c r="D242" s="25">
        <f t="shared" si="14"/>
        <v>66</v>
      </c>
      <c r="E242" s="25">
        <v>5</v>
      </c>
      <c r="F242" s="25">
        <v>58</v>
      </c>
      <c r="G242" s="25">
        <v>61</v>
      </c>
      <c r="H242" s="25">
        <v>5</v>
      </c>
      <c r="I242" s="25">
        <f t="shared" si="12"/>
        <v>0</v>
      </c>
    </row>
    <row r="243" spans="1:9" x14ac:dyDescent="0.3">
      <c r="A243" s="25">
        <v>2002</v>
      </c>
      <c r="B243" s="25" t="s">
        <v>9</v>
      </c>
      <c r="C243" s="25" t="s">
        <v>15</v>
      </c>
      <c r="D243" s="25">
        <f t="shared" si="14"/>
        <v>60</v>
      </c>
      <c r="E243" s="25">
        <v>2</v>
      </c>
      <c r="F243" s="25">
        <v>50</v>
      </c>
      <c r="G243" s="25">
        <v>57</v>
      </c>
      <c r="H243" s="25">
        <v>3</v>
      </c>
      <c r="I243" s="25">
        <f t="shared" si="12"/>
        <v>1</v>
      </c>
    </row>
    <row r="244" spans="1:9" x14ac:dyDescent="0.3">
      <c r="A244" s="25">
        <v>2003</v>
      </c>
      <c r="B244" s="25" t="s">
        <v>9</v>
      </c>
      <c r="C244" s="25" t="s">
        <v>15</v>
      </c>
      <c r="D244" s="25">
        <f t="shared" si="14"/>
        <v>100</v>
      </c>
      <c r="E244" s="25">
        <v>8</v>
      </c>
      <c r="F244" s="25">
        <v>79</v>
      </c>
      <c r="G244" s="25">
        <v>92</v>
      </c>
      <c r="H244" s="25">
        <v>8</v>
      </c>
      <c r="I244" s="25">
        <f t="shared" si="12"/>
        <v>0</v>
      </c>
    </row>
    <row r="245" spans="1:9" x14ac:dyDescent="0.3">
      <c r="A245" s="25">
        <v>2004</v>
      </c>
      <c r="B245" s="25" t="s">
        <v>9</v>
      </c>
      <c r="C245" s="25" t="s">
        <v>15</v>
      </c>
      <c r="D245" s="25">
        <f t="shared" si="14"/>
        <v>175</v>
      </c>
      <c r="E245" s="25">
        <v>17</v>
      </c>
      <c r="F245" s="25">
        <v>121</v>
      </c>
      <c r="G245" s="25">
        <v>156</v>
      </c>
      <c r="H245" s="25">
        <v>19</v>
      </c>
      <c r="I245" s="25">
        <f t="shared" si="12"/>
        <v>2</v>
      </c>
    </row>
    <row r="246" spans="1:9" x14ac:dyDescent="0.3">
      <c r="A246" s="25">
        <v>2005</v>
      </c>
      <c r="B246" s="25" t="s">
        <v>9</v>
      </c>
      <c r="C246" s="25" t="s">
        <v>15</v>
      </c>
      <c r="D246" s="25">
        <f t="shared" si="14"/>
        <v>155</v>
      </c>
      <c r="E246" s="25">
        <v>34</v>
      </c>
      <c r="F246" s="25">
        <v>111</v>
      </c>
      <c r="G246" s="25">
        <v>119</v>
      </c>
      <c r="H246" s="25">
        <v>36</v>
      </c>
      <c r="I246" s="25">
        <f t="shared" si="12"/>
        <v>2</v>
      </c>
    </row>
    <row r="247" spans="1:9" x14ac:dyDescent="0.3">
      <c r="A247" s="25">
        <v>2006</v>
      </c>
      <c r="B247" s="25" t="s">
        <v>9</v>
      </c>
      <c r="C247" s="25" t="s">
        <v>15</v>
      </c>
      <c r="D247" s="25">
        <f t="shared" si="14"/>
        <v>142</v>
      </c>
      <c r="E247" s="25">
        <v>29</v>
      </c>
      <c r="F247" s="25">
        <v>97</v>
      </c>
      <c r="G247" s="25">
        <v>112</v>
      </c>
      <c r="H247" s="25">
        <v>30</v>
      </c>
      <c r="I247" s="25">
        <f t="shared" si="12"/>
        <v>1</v>
      </c>
    </row>
    <row r="248" spans="1:9" x14ac:dyDescent="0.3">
      <c r="A248" s="25">
        <v>2007</v>
      </c>
      <c r="B248" s="25" t="s">
        <v>9</v>
      </c>
      <c r="C248" s="25" t="s">
        <v>15</v>
      </c>
      <c r="D248" s="25">
        <f t="shared" si="14"/>
        <v>80</v>
      </c>
      <c r="E248" s="25">
        <v>0</v>
      </c>
      <c r="F248" s="25">
        <v>49</v>
      </c>
      <c r="G248" s="25">
        <v>79</v>
      </c>
      <c r="H248" s="25">
        <v>1</v>
      </c>
      <c r="I248" s="25">
        <f t="shared" si="12"/>
        <v>1</v>
      </c>
    </row>
    <row r="249" spans="1:9" x14ac:dyDescent="0.3">
      <c r="A249" s="25">
        <v>2008</v>
      </c>
      <c r="B249" s="25" t="s">
        <v>9</v>
      </c>
      <c r="C249" s="25" t="s">
        <v>15</v>
      </c>
      <c r="D249" s="25">
        <f t="shared" si="14"/>
        <v>144</v>
      </c>
      <c r="E249" s="25">
        <v>16</v>
      </c>
      <c r="F249" s="25">
        <v>107</v>
      </c>
      <c r="G249" s="25">
        <v>127</v>
      </c>
      <c r="H249" s="25">
        <v>17</v>
      </c>
      <c r="I249" s="25">
        <f t="shared" si="12"/>
        <v>1</v>
      </c>
    </row>
    <row r="250" spans="1:9" x14ac:dyDescent="0.3">
      <c r="A250" s="25">
        <v>2009</v>
      </c>
      <c r="B250" s="25" t="s">
        <v>9</v>
      </c>
      <c r="C250" s="25" t="s">
        <v>15</v>
      </c>
      <c r="D250" s="25">
        <f t="shared" si="14"/>
        <v>90</v>
      </c>
      <c r="E250" s="25">
        <v>16</v>
      </c>
      <c r="F250" s="25">
        <v>53</v>
      </c>
      <c r="G250" s="25">
        <v>72</v>
      </c>
      <c r="H250" s="25">
        <v>18</v>
      </c>
      <c r="I250" s="25">
        <f t="shared" si="12"/>
        <v>2</v>
      </c>
    </row>
    <row r="251" spans="1:9" x14ac:dyDescent="0.3">
      <c r="A251" s="25">
        <v>2010</v>
      </c>
      <c r="B251" s="25" t="s">
        <v>9</v>
      </c>
      <c r="C251" s="25" t="s">
        <v>15</v>
      </c>
      <c r="D251" s="25">
        <f t="shared" si="14"/>
        <v>116</v>
      </c>
      <c r="E251" s="25">
        <v>14</v>
      </c>
      <c r="F251" s="25">
        <v>53</v>
      </c>
      <c r="G251" s="25">
        <v>99</v>
      </c>
      <c r="H251" s="25">
        <v>17</v>
      </c>
      <c r="I251" s="25">
        <f t="shared" si="12"/>
        <v>3</v>
      </c>
    </row>
    <row r="252" spans="1:9" x14ac:dyDescent="0.3">
      <c r="A252" s="25">
        <v>2011</v>
      </c>
      <c r="B252" s="25" t="s">
        <v>9</v>
      </c>
      <c r="C252" s="25" t="s">
        <v>15</v>
      </c>
      <c r="D252" s="25">
        <f t="shared" si="14"/>
        <v>145</v>
      </c>
      <c r="E252" s="25">
        <v>7</v>
      </c>
      <c r="F252" s="25">
        <v>119</v>
      </c>
      <c r="G252" s="25">
        <v>138</v>
      </c>
      <c r="H252" s="25">
        <v>7</v>
      </c>
      <c r="I252" s="25">
        <f t="shared" si="12"/>
        <v>0</v>
      </c>
    </row>
    <row r="253" spans="1:9" x14ac:dyDescent="0.3">
      <c r="A253" s="25">
        <v>2012</v>
      </c>
      <c r="B253" s="25" t="s">
        <v>9</v>
      </c>
      <c r="C253" s="25" t="s">
        <v>15</v>
      </c>
      <c r="D253" s="25">
        <f t="shared" si="14"/>
        <v>144</v>
      </c>
      <c r="E253" s="25">
        <v>4</v>
      </c>
      <c r="F253" s="25">
        <v>108</v>
      </c>
      <c r="G253" s="25">
        <v>139</v>
      </c>
      <c r="H253" s="25">
        <v>5</v>
      </c>
      <c r="I253" s="25">
        <f t="shared" si="12"/>
        <v>1</v>
      </c>
    </row>
    <row r="254" spans="1:9" x14ac:dyDescent="0.3">
      <c r="A254" s="25">
        <v>2013</v>
      </c>
      <c r="B254" s="25" t="s">
        <v>9</v>
      </c>
      <c r="C254" s="25" t="s">
        <v>15</v>
      </c>
      <c r="D254" s="25">
        <f t="shared" si="14"/>
        <v>472</v>
      </c>
      <c r="E254" s="25">
        <v>19</v>
      </c>
      <c r="F254" s="25">
        <v>244</v>
      </c>
      <c r="G254" s="25">
        <v>452</v>
      </c>
      <c r="H254" s="25">
        <v>20</v>
      </c>
      <c r="I254" s="25">
        <f t="shared" si="12"/>
        <v>1</v>
      </c>
    </row>
    <row r="255" spans="1:9" x14ac:dyDescent="0.3">
      <c r="A255" s="25">
        <v>2014</v>
      </c>
      <c r="B255" s="25" t="s">
        <v>9</v>
      </c>
      <c r="C255" s="25" t="s">
        <v>15</v>
      </c>
      <c r="D255" s="25">
        <f t="shared" si="14"/>
        <v>322</v>
      </c>
      <c r="E255" s="25">
        <v>13</v>
      </c>
      <c r="F255" s="25">
        <v>251</v>
      </c>
      <c r="G255" s="25">
        <v>308</v>
      </c>
      <c r="H255" s="25">
        <v>14</v>
      </c>
      <c r="I255" s="25">
        <f t="shared" si="12"/>
        <v>1</v>
      </c>
    </row>
    <row r="256" spans="1:9" x14ac:dyDescent="0.3">
      <c r="A256" s="25">
        <v>2015</v>
      </c>
      <c r="B256" s="25" t="s">
        <v>9</v>
      </c>
      <c r="C256" s="25" t="s">
        <v>15</v>
      </c>
      <c r="D256" s="25">
        <f t="shared" si="14"/>
        <v>112</v>
      </c>
      <c r="E256" s="25">
        <v>9</v>
      </c>
      <c r="F256" s="25">
        <v>72</v>
      </c>
      <c r="G256" s="25">
        <v>103</v>
      </c>
      <c r="H256" s="25">
        <v>9</v>
      </c>
      <c r="I256" s="25">
        <f t="shared" si="12"/>
        <v>0</v>
      </c>
    </row>
    <row r="257" spans="1:9" x14ac:dyDescent="0.3">
      <c r="A257" s="25">
        <v>2016</v>
      </c>
      <c r="B257" s="25" t="s">
        <v>9</v>
      </c>
      <c r="C257" s="25" t="s">
        <v>15</v>
      </c>
      <c r="D257" s="25">
        <f t="shared" si="14"/>
        <v>332</v>
      </c>
      <c r="E257" s="25">
        <v>4</v>
      </c>
      <c r="F257" s="25">
        <v>175</v>
      </c>
      <c r="G257" s="25">
        <v>321</v>
      </c>
      <c r="H257" s="25">
        <v>11</v>
      </c>
      <c r="I257" s="25">
        <f t="shared" si="12"/>
        <v>7</v>
      </c>
    </row>
    <row r="258" spans="1:9" x14ac:dyDescent="0.3">
      <c r="A258" s="25">
        <v>2017</v>
      </c>
      <c r="B258" s="25" t="s">
        <v>9</v>
      </c>
      <c r="C258" s="25" t="s">
        <v>15</v>
      </c>
      <c r="D258" s="25">
        <f t="shared" si="14"/>
        <v>245</v>
      </c>
      <c r="E258" s="25">
        <v>5</v>
      </c>
      <c r="F258" s="25">
        <v>150</v>
      </c>
      <c r="G258" s="25">
        <v>239</v>
      </c>
      <c r="H258" s="25">
        <v>6</v>
      </c>
      <c r="I258" s="25">
        <f t="shared" si="12"/>
        <v>1</v>
      </c>
    </row>
    <row r="259" spans="1:9" x14ac:dyDescent="0.3">
      <c r="A259" s="25">
        <v>2018</v>
      </c>
      <c r="B259" s="25" t="s">
        <v>9</v>
      </c>
      <c r="C259" s="25" t="s">
        <v>15</v>
      </c>
      <c r="D259" s="25">
        <f t="shared" si="14"/>
        <v>343</v>
      </c>
      <c r="E259" s="25">
        <v>6</v>
      </c>
      <c r="F259" s="25">
        <v>252</v>
      </c>
      <c r="G259" s="25">
        <v>333</v>
      </c>
      <c r="H259" s="25">
        <v>10</v>
      </c>
      <c r="I259" s="25">
        <f t="shared" si="12"/>
        <v>4</v>
      </c>
    </row>
    <row r="260" spans="1:9" x14ac:dyDescent="0.3">
      <c r="A260" s="25">
        <v>2019</v>
      </c>
      <c r="B260" s="25" t="s">
        <v>9</v>
      </c>
      <c r="C260" s="25" t="s">
        <v>15</v>
      </c>
      <c r="D260" s="25">
        <f t="shared" ref="D260:D262" si="16">G260+H260</f>
        <v>229</v>
      </c>
      <c r="E260" s="25">
        <v>11</v>
      </c>
      <c r="F260" s="25">
        <v>176</v>
      </c>
      <c r="G260" s="25">
        <v>217</v>
      </c>
      <c r="H260" s="25">
        <v>12</v>
      </c>
      <c r="I260" s="25">
        <f t="shared" si="12"/>
        <v>1</v>
      </c>
    </row>
    <row r="261" spans="1:9" x14ac:dyDescent="0.3">
      <c r="A261" s="25">
        <v>2020</v>
      </c>
      <c r="B261" s="25" t="s">
        <v>9</v>
      </c>
      <c r="C261" s="25" t="s">
        <v>15</v>
      </c>
      <c r="D261" s="25">
        <f t="shared" si="16"/>
        <v>77</v>
      </c>
      <c r="E261" s="25">
        <v>3</v>
      </c>
      <c r="F261" s="25">
        <v>55</v>
      </c>
      <c r="G261" s="25">
        <v>74</v>
      </c>
      <c r="H261" s="25">
        <v>3</v>
      </c>
      <c r="I261" s="25">
        <f t="shared" si="12"/>
        <v>0</v>
      </c>
    </row>
    <row r="262" spans="1:9" x14ac:dyDescent="0.3">
      <c r="A262" s="25">
        <v>2021</v>
      </c>
      <c r="B262" s="25" t="s">
        <v>9</v>
      </c>
      <c r="C262" s="25" t="s">
        <v>15</v>
      </c>
      <c r="D262" s="25">
        <f t="shared" si="16"/>
        <v>344</v>
      </c>
      <c r="E262" s="25">
        <v>8</v>
      </c>
      <c r="F262" s="25">
        <v>299</v>
      </c>
      <c r="G262" s="25">
        <v>333</v>
      </c>
      <c r="H262" s="25">
        <v>11</v>
      </c>
      <c r="I262" s="25">
        <f t="shared" si="12"/>
        <v>3</v>
      </c>
    </row>
    <row r="263" spans="1:9" x14ac:dyDescent="0.3">
      <c r="A263">
        <v>1993</v>
      </c>
      <c r="B263" t="s">
        <v>11</v>
      </c>
      <c r="C263" t="s">
        <v>15</v>
      </c>
      <c r="D263">
        <f t="shared" si="14"/>
        <v>186</v>
      </c>
      <c r="E263">
        <v>1</v>
      </c>
      <c r="F263">
        <v>161</v>
      </c>
      <c r="G263">
        <v>185</v>
      </c>
      <c r="H263">
        <v>1</v>
      </c>
      <c r="I263">
        <f t="shared" si="12"/>
        <v>0</v>
      </c>
    </row>
    <row r="264" spans="1:9" x14ac:dyDescent="0.3">
      <c r="A264">
        <v>1994</v>
      </c>
      <c r="B264" t="s">
        <v>11</v>
      </c>
      <c r="C264" t="s">
        <v>15</v>
      </c>
      <c r="D264">
        <f t="shared" si="14"/>
        <v>73</v>
      </c>
      <c r="E264">
        <v>1</v>
      </c>
      <c r="F264">
        <v>58</v>
      </c>
      <c r="G264">
        <v>72</v>
      </c>
      <c r="H264">
        <v>1</v>
      </c>
      <c r="I264">
        <f t="shared" si="12"/>
        <v>0</v>
      </c>
    </row>
    <row r="265" spans="1:9" x14ac:dyDescent="0.3">
      <c r="A265">
        <v>1995</v>
      </c>
      <c r="B265" t="s">
        <v>11</v>
      </c>
      <c r="C265" t="s">
        <v>15</v>
      </c>
      <c r="D265">
        <f t="shared" si="14"/>
        <v>106</v>
      </c>
      <c r="E265">
        <v>9</v>
      </c>
      <c r="F265">
        <v>62</v>
      </c>
      <c r="G265">
        <v>97</v>
      </c>
      <c r="H265">
        <v>9</v>
      </c>
      <c r="I265">
        <f t="shared" si="12"/>
        <v>0</v>
      </c>
    </row>
    <row r="266" spans="1:9" x14ac:dyDescent="0.3">
      <c r="A266">
        <v>1996</v>
      </c>
      <c r="B266" t="s">
        <v>11</v>
      </c>
      <c r="C266" t="s">
        <v>15</v>
      </c>
      <c r="D266">
        <f t="shared" si="14"/>
        <v>74</v>
      </c>
      <c r="E266">
        <v>0</v>
      </c>
      <c r="F266">
        <v>65</v>
      </c>
      <c r="G266">
        <v>73</v>
      </c>
      <c r="H266">
        <v>1</v>
      </c>
      <c r="I266">
        <f t="shared" ref="I266:I335" si="17">H266-E266</f>
        <v>1</v>
      </c>
    </row>
    <row r="267" spans="1:9" x14ac:dyDescent="0.3">
      <c r="A267">
        <v>1997</v>
      </c>
      <c r="B267" t="s">
        <v>11</v>
      </c>
      <c r="C267" t="s">
        <v>15</v>
      </c>
      <c r="D267">
        <f t="shared" si="14"/>
        <v>29</v>
      </c>
      <c r="E267">
        <v>2</v>
      </c>
      <c r="F267">
        <v>26</v>
      </c>
      <c r="G267">
        <v>27</v>
      </c>
      <c r="H267">
        <v>2</v>
      </c>
      <c r="I267">
        <f t="shared" si="17"/>
        <v>0</v>
      </c>
    </row>
    <row r="268" spans="1:9" x14ac:dyDescent="0.3">
      <c r="A268">
        <v>1998</v>
      </c>
      <c r="B268" t="s">
        <v>11</v>
      </c>
      <c r="C268" t="s">
        <v>15</v>
      </c>
      <c r="D268">
        <f t="shared" si="14"/>
        <v>90</v>
      </c>
      <c r="E268">
        <v>3</v>
      </c>
      <c r="F268">
        <v>75</v>
      </c>
      <c r="G268">
        <v>87</v>
      </c>
      <c r="H268">
        <v>3</v>
      </c>
      <c r="I268">
        <f t="shared" si="17"/>
        <v>0</v>
      </c>
    </row>
    <row r="269" spans="1:9" x14ac:dyDescent="0.3">
      <c r="A269">
        <v>1999</v>
      </c>
      <c r="B269" t="s">
        <v>11</v>
      </c>
      <c r="C269" t="s">
        <v>15</v>
      </c>
      <c r="D269">
        <f t="shared" si="14"/>
        <v>223</v>
      </c>
      <c r="E269">
        <v>6</v>
      </c>
      <c r="F269">
        <v>159</v>
      </c>
      <c r="G269">
        <v>217</v>
      </c>
      <c r="H269">
        <v>6</v>
      </c>
      <c r="I269">
        <f t="shared" si="17"/>
        <v>0</v>
      </c>
    </row>
    <row r="270" spans="1:9" x14ac:dyDescent="0.3">
      <c r="A270">
        <v>2000</v>
      </c>
      <c r="B270" t="s">
        <v>11</v>
      </c>
      <c r="C270" t="s">
        <v>15</v>
      </c>
      <c r="D270">
        <f t="shared" si="14"/>
        <v>195</v>
      </c>
      <c r="E270">
        <v>1</v>
      </c>
      <c r="F270">
        <v>145</v>
      </c>
      <c r="G270">
        <v>194</v>
      </c>
      <c r="H270">
        <v>1</v>
      </c>
      <c r="I270">
        <f t="shared" si="17"/>
        <v>0</v>
      </c>
    </row>
    <row r="271" spans="1:9" x14ac:dyDescent="0.3">
      <c r="A271">
        <v>2001</v>
      </c>
      <c r="B271" t="s">
        <v>11</v>
      </c>
      <c r="C271" t="s">
        <v>15</v>
      </c>
      <c r="D271">
        <f t="shared" si="14"/>
        <v>89</v>
      </c>
      <c r="E271">
        <v>0</v>
      </c>
      <c r="F271">
        <v>73</v>
      </c>
      <c r="G271">
        <v>89</v>
      </c>
      <c r="H271">
        <v>0</v>
      </c>
      <c r="I271">
        <f t="shared" si="17"/>
        <v>0</v>
      </c>
    </row>
    <row r="272" spans="1:9" x14ac:dyDescent="0.3">
      <c r="A272">
        <v>2002</v>
      </c>
      <c r="B272" t="s">
        <v>11</v>
      </c>
      <c r="C272" t="s">
        <v>15</v>
      </c>
      <c r="D272">
        <f t="shared" si="14"/>
        <v>166</v>
      </c>
      <c r="E272">
        <v>11</v>
      </c>
      <c r="F272">
        <v>101</v>
      </c>
      <c r="G272">
        <v>154</v>
      </c>
      <c r="H272">
        <v>12</v>
      </c>
      <c r="I272">
        <f t="shared" si="17"/>
        <v>1</v>
      </c>
    </row>
    <row r="273" spans="1:9" x14ac:dyDescent="0.3">
      <c r="A273">
        <v>2003</v>
      </c>
      <c r="B273" t="s">
        <v>11</v>
      </c>
      <c r="C273" t="s">
        <v>15</v>
      </c>
      <c r="D273">
        <f t="shared" si="14"/>
        <v>187</v>
      </c>
      <c r="E273">
        <v>1</v>
      </c>
      <c r="F273">
        <v>137</v>
      </c>
      <c r="G273">
        <v>186</v>
      </c>
      <c r="H273">
        <v>1</v>
      </c>
      <c r="I273">
        <f t="shared" si="17"/>
        <v>0</v>
      </c>
    </row>
    <row r="274" spans="1:9" x14ac:dyDescent="0.3">
      <c r="A274">
        <v>2004</v>
      </c>
      <c r="B274" t="s">
        <v>11</v>
      </c>
      <c r="C274" t="s">
        <v>15</v>
      </c>
      <c r="D274">
        <f t="shared" si="14"/>
        <v>118</v>
      </c>
      <c r="E274">
        <v>5</v>
      </c>
      <c r="F274">
        <v>92</v>
      </c>
      <c r="G274">
        <v>113</v>
      </c>
      <c r="H274">
        <v>5</v>
      </c>
      <c r="I274">
        <f t="shared" si="17"/>
        <v>0</v>
      </c>
    </row>
    <row r="275" spans="1:9" x14ac:dyDescent="0.3">
      <c r="A275">
        <v>2005</v>
      </c>
      <c r="B275" t="s">
        <v>11</v>
      </c>
      <c r="C275" t="s">
        <v>15</v>
      </c>
      <c r="D275">
        <f t="shared" si="14"/>
        <v>174</v>
      </c>
      <c r="E275">
        <v>1</v>
      </c>
      <c r="F275">
        <v>143</v>
      </c>
      <c r="G275">
        <v>173</v>
      </c>
      <c r="H275">
        <v>1</v>
      </c>
      <c r="I275">
        <f t="shared" si="17"/>
        <v>0</v>
      </c>
    </row>
    <row r="276" spans="1:9" x14ac:dyDescent="0.3">
      <c r="A276">
        <v>2006</v>
      </c>
      <c r="B276" t="s">
        <v>11</v>
      </c>
      <c r="C276" t="s">
        <v>15</v>
      </c>
      <c r="D276">
        <f t="shared" si="14"/>
        <v>104</v>
      </c>
      <c r="E276">
        <v>4</v>
      </c>
      <c r="F276">
        <v>83</v>
      </c>
      <c r="G276">
        <v>98</v>
      </c>
      <c r="H276">
        <v>6</v>
      </c>
      <c r="I276">
        <f t="shared" si="17"/>
        <v>2</v>
      </c>
    </row>
    <row r="277" spans="1:9" x14ac:dyDescent="0.3">
      <c r="A277">
        <v>2007</v>
      </c>
      <c r="B277" t="s">
        <v>11</v>
      </c>
      <c r="C277" t="s">
        <v>15</v>
      </c>
      <c r="D277">
        <f t="shared" si="14"/>
        <v>85</v>
      </c>
      <c r="E277">
        <v>1</v>
      </c>
      <c r="F277">
        <v>76</v>
      </c>
      <c r="G277">
        <v>84</v>
      </c>
      <c r="H277">
        <v>1</v>
      </c>
      <c r="I277">
        <f t="shared" si="17"/>
        <v>0</v>
      </c>
    </row>
    <row r="278" spans="1:9" x14ac:dyDescent="0.3">
      <c r="A278">
        <v>2008</v>
      </c>
      <c r="B278" t="s">
        <v>11</v>
      </c>
      <c r="C278" t="s">
        <v>15</v>
      </c>
      <c r="D278">
        <f t="shared" si="14"/>
        <v>75</v>
      </c>
      <c r="E278">
        <v>1</v>
      </c>
      <c r="F278">
        <v>52</v>
      </c>
      <c r="G278">
        <v>73</v>
      </c>
      <c r="H278">
        <v>2</v>
      </c>
      <c r="I278">
        <f t="shared" si="17"/>
        <v>1</v>
      </c>
    </row>
    <row r="279" spans="1:9" x14ac:dyDescent="0.3">
      <c r="A279">
        <v>2009</v>
      </c>
      <c r="B279" t="s">
        <v>11</v>
      </c>
      <c r="C279" t="s">
        <v>15</v>
      </c>
      <c r="D279">
        <f t="shared" si="14"/>
        <v>68</v>
      </c>
      <c r="E279">
        <v>7</v>
      </c>
      <c r="F279">
        <v>38</v>
      </c>
      <c r="G279">
        <v>61</v>
      </c>
      <c r="H279">
        <v>7</v>
      </c>
      <c r="I279">
        <f t="shared" si="17"/>
        <v>0</v>
      </c>
    </row>
    <row r="280" spans="1:9" x14ac:dyDescent="0.3">
      <c r="A280">
        <v>2010</v>
      </c>
      <c r="B280" t="s">
        <v>11</v>
      </c>
      <c r="C280" t="s">
        <v>15</v>
      </c>
      <c r="D280">
        <f t="shared" si="14"/>
        <v>48</v>
      </c>
      <c r="E280">
        <v>0</v>
      </c>
      <c r="F280">
        <v>31</v>
      </c>
      <c r="G280">
        <v>47</v>
      </c>
      <c r="H280">
        <v>1</v>
      </c>
      <c r="I280">
        <f t="shared" si="17"/>
        <v>1</v>
      </c>
    </row>
    <row r="281" spans="1:9" x14ac:dyDescent="0.3">
      <c r="A281">
        <v>2011</v>
      </c>
      <c r="B281" t="s">
        <v>11</v>
      </c>
      <c r="C281" t="s">
        <v>15</v>
      </c>
      <c r="D281">
        <f t="shared" si="14"/>
        <v>71</v>
      </c>
      <c r="E281">
        <v>3</v>
      </c>
      <c r="F281">
        <v>51</v>
      </c>
      <c r="G281">
        <v>67</v>
      </c>
      <c r="H281">
        <v>4</v>
      </c>
      <c r="I281">
        <f t="shared" si="17"/>
        <v>1</v>
      </c>
    </row>
    <row r="282" spans="1:9" x14ac:dyDescent="0.3">
      <c r="A282">
        <v>2012</v>
      </c>
      <c r="B282" t="s">
        <v>11</v>
      </c>
      <c r="C282" t="s">
        <v>15</v>
      </c>
      <c r="D282">
        <f t="shared" si="14"/>
        <v>153</v>
      </c>
      <c r="E282">
        <v>2</v>
      </c>
      <c r="F282">
        <v>114</v>
      </c>
      <c r="G282">
        <v>151</v>
      </c>
      <c r="H282">
        <v>2</v>
      </c>
      <c r="I282">
        <f t="shared" si="17"/>
        <v>0</v>
      </c>
    </row>
    <row r="283" spans="1:9" x14ac:dyDescent="0.3">
      <c r="A283">
        <v>2013</v>
      </c>
      <c r="B283" t="s">
        <v>11</v>
      </c>
      <c r="C283" t="s">
        <v>15</v>
      </c>
      <c r="D283">
        <f t="shared" si="14"/>
        <v>163</v>
      </c>
      <c r="E283">
        <v>6</v>
      </c>
      <c r="F283">
        <v>110</v>
      </c>
      <c r="G283">
        <v>153</v>
      </c>
      <c r="H283">
        <v>10</v>
      </c>
      <c r="I283">
        <f t="shared" si="17"/>
        <v>4</v>
      </c>
    </row>
    <row r="284" spans="1:9" x14ac:dyDescent="0.3">
      <c r="A284">
        <v>2014</v>
      </c>
      <c r="B284" t="s">
        <v>11</v>
      </c>
      <c r="C284" t="s">
        <v>15</v>
      </c>
      <c r="D284">
        <f t="shared" si="14"/>
        <v>126</v>
      </c>
      <c r="E284">
        <v>10</v>
      </c>
      <c r="F284">
        <v>98</v>
      </c>
      <c r="G284">
        <v>115</v>
      </c>
      <c r="H284">
        <v>11</v>
      </c>
      <c r="I284">
        <f t="shared" si="17"/>
        <v>1</v>
      </c>
    </row>
    <row r="285" spans="1:9" x14ac:dyDescent="0.3">
      <c r="A285">
        <v>2015</v>
      </c>
      <c r="B285" t="s">
        <v>11</v>
      </c>
      <c r="C285" t="s">
        <v>15</v>
      </c>
      <c r="D285">
        <f t="shared" si="14"/>
        <v>380</v>
      </c>
      <c r="E285">
        <v>11</v>
      </c>
      <c r="F285">
        <v>281</v>
      </c>
      <c r="G285">
        <v>365</v>
      </c>
      <c r="H285">
        <v>15</v>
      </c>
      <c r="I285">
        <f t="shared" si="17"/>
        <v>4</v>
      </c>
    </row>
    <row r="286" spans="1:9" x14ac:dyDescent="0.3">
      <c r="A286">
        <v>2016</v>
      </c>
      <c r="B286" t="s">
        <v>11</v>
      </c>
      <c r="C286" t="s">
        <v>15</v>
      </c>
      <c r="D286">
        <f t="shared" si="14"/>
        <v>320</v>
      </c>
      <c r="E286">
        <v>5</v>
      </c>
      <c r="F286">
        <v>267</v>
      </c>
      <c r="G286">
        <v>314</v>
      </c>
      <c r="H286">
        <v>6</v>
      </c>
      <c r="I286">
        <f t="shared" si="17"/>
        <v>1</v>
      </c>
    </row>
    <row r="287" spans="1:9" x14ac:dyDescent="0.3">
      <c r="A287">
        <v>2017</v>
      </c>
      <c r="B287" t="s">
        <v>11</v>
      </c>
      <c r="C287" t="s">
        <v>15</v>
      </c>
      <c r="D287">
        <f t="shared" si="14"/>
        <v>330</v>
      </c>
      <c r="E287">
        <v>6</v>
      </c>
      <c r="F287">
        <v>236</v>
      </c>
      <c r="G287">
        <v>320</v>
      </c>
      <c r="H287">
        <v>10</v>
      </c>
      <c r="I287">
        <f t="shared" si="17"/>
        <v>4</v>
      </c>
    </row>
    <row r="288" spans="1:9" x14ac:dyDescent="0.3">
      <c r="A288">
        <v>2018</v>
      </c>
      <c r="B288" t="s">
        <v>11</v>
      </c>
      <c r="C288" t="s">
        <v>15</v>
      </c>
      <c r="D288">
        <f t="shared" si="14"/>
        <v>299</v>
      </c>
      <c r="E288">
        <v>6</v>
      </c>
      <c r="F288">
        <v>227</v>
      </c>
      <c r="G288">
        <v>286</v>
      </c>
      <c r="H288">
        <v>13</v>
      </c>
      <c r="I288">
        <f t="shared" si="17"/>
        <v>7</v>
      </c>
    </row>
    <row r="289" spans="1:9" x14ac:dyDescent="0.3">
      <c r="A289">
        <v>2019</v>
      </c>
      <c r="B289" t="s">
        <v>11</v>
      </c>
      <c r="C289" t="s">
        <v>15</v>
      </c>
      <c r="D289">
        <f t="shared" ref="D289:D291" si="18">G289+H289</f>
        <v>240</v>
      </c>
      <c r="E289">
        <v>9</v>
      </c>
      <c r="F289">
        <v>191</v>
      </c>
      <c r="G289">
        <v>229</v>
      </c>
      <c r="H289">
        <v>11</v>
      </c>
      <c r="I289">
        <f t="shared" si="17"/>
        <v>2</v>
      </c>
    </row>
    <row r="290" spans="1:9" x14ac:dyDescent="0.3">
      <c r="A290">
        <v>2020</v>
      </c>
      <c r="B290" t="s">
        <v>11</v>
      </c>
      <c r="C290" t="s">
        <v>15</v>
      </c>
      <c r="D290">
        <f t="shared" si="18"/>
        <v>108</v>
      </c>
      <c r="E290">
        <v>8</v>
      </c>
      <c r="F290">
        <v>79</v>
      </c>
      <c r="G290">
        <v>97</v>
      </c>
      <c r="H290">
        <v>11</v>
      </c>
      <c r="I290">
        <f t="shared" si="17"/>
        <v>3</v>
      </c>
    </row>
    <row r="291" spans="1:9" x14ac:dyDescent="0.3">
      <c r="A291">
        <v>2021</v>
      </c>
      <c r="B291" t="s">
        <v>11</v>
      </c>
      <c r="C291" t="s">
        <v>15</v>
      </c>
      <c r="D291">
        <f t="shared" si="18"/>
        <v>204</v>
      </c>
      <c r="E291">
        <v>1</v>
      </c>
      <c r="F291">
        <v>183</v>
      </c>
      <c r="G291">
        <v>201</v>
      </c>
      <c r="H291">
        <v>3</v>
      </c>
      <c r="I291">
        <f t="shared" si="17"/>
        <v>2</v>
      </c>
    </row>
    <row r="292" spans="1:9" x14ac:dyDescent="0.3">
      <c r="A292" s="25">
        <v>1993</v>
      </c>
      <c r="B292" s="25" t="s">
        <v>9</v>
      </c>
      <c r="C292" s="25" t="s">
        <v>16</v>
      </c>
      <c r="D292" s="25">
        <f t="shared" si="14"/>
        <v>108</v>
      </c>
      <c r="E292" s="25">
        <v>56</v>
      </c>
      <c r="F292" s="25">
        <v>13</v>
      </c>
      <c r="G292" s="25">
        <v>20</v>
      </c>
      <c r="H292" s="25">
        <v>88</v>
      </c>
      <c r="I292" s="25">
        <f t="shared" si="17"/>
        <v>32</v>
      </c>
    </row>
    <row r="293" spans="1:9" x14ac:dyDescent="0.3">
      <c r="A293" s="25">
        <v>1994</v>
      </c>
      <c r="B293" s="25" t="s">
        <v>9</v>
      </c>
      <c r="C293" s="25" t="s">
        <v>16</v>
      </c>
      <c r="D293" s="25">
        <f t="shared" si="14"/>
        <v>149</v>
      </c>
      <c r="E293" s="25">
        <v>60</v>
      </c>
      <c r="F293" s="25">
        <v>70</v>
      </c>
      <c r="G293" s="25">
        <v>72</v>
      </c>
      <c r="H293" s="25">
        <v>77</v>
      </c>
      <c r="I293" s="25">
        <f t="shared" si="17"/>
        <v>17</v>
      </c>
    </row>
    <row r="294" spans="1:9" x14ac:dyDescent="0.3">
      <c r="A294" s="25">
        <v>1995</v>
      </c>
      <c r="B294" s="25" t="s">
        <v>9</v>
      </c>
      <c r="C294" s="25" t="s">
        <v>16</v>
      </c>
      <c r="D294" s="25">
        <f t="shared" si="14"/>
        <v>158</v>
      </c>
      <c r="E294" s="25">
        <v>71</v>
      </c>
      <c r="F294" s="25">
        <v>46</v>
      </c>
      <c r="G294" s="25">
        <v>51</v>
      </c>
      <c r="H294" s="25">
        <v>107</v>
      </c>
      <c r="I294" s="25">
        <f t="shared" si="17"/>
        <v>36</v>
      </c>
    </row>
    <row r="295" spans="1:9" x14ac:dyDescent="0.3">
      <c r="A295" s="25">
        <v>1996</v>
      </c>
      <c r="B295" s="25" t="s">
        <v>9</v>
      </c>
      <c r="C295" s="25" t="s">
        <v>16</v>
      </c>
      <c r="D295" s="25">
        <f t="shared" si="14"/>
        <v>38</v>
      </c>
      <c r="E295" s="25">
        <v>7</v>
      </c>
      <c r="F295" s="25">
        <v>16</v>
      </c>
      <c r="G295" s="25">
        <v>16</v>
      </c>
      <c r="H295" s="25">
        <v>22</v>
      </c>
      <c r="I295" s="25">
        <f t="shared" si="17"/>
        <v>15</v>
      </c>
    </row>
    <row r="296" spans="1:9" x14ac:dyDescent="0.3">
      <c r="A296" s="25">
        <v>1997</v>
      </c>
      <c r="B296" s="25" t="s">
        <v>9</v>
      </c>
      <c r="C296" s="25" t="s">
        <v>16</v>
      </c>
      <c r="D296" s="25">
        <f t="shared" si="14"/>
        <v>50</v>
      </c>
      <c r="E296" s="25">
        <v>22</v>
      </c>
      <c r="F296" s="25">
        <v>21</v>
      </c>
      <c r="G296" s="25">
        <v>21</v>
      </c>
      <c r="H296" s="25">
        <v>29</v>
      </c>
      <c r="I296" s="25">
        <f t="shared" si="17"/>
        <v>7</v>
      </c>
    </row>
    <row r="297" spans="1:9" x14ac:dyDescent="0.3">
      <c r="A297" s="25">
        <v>1998</v>
      </c>
      <c r="B297" s="25" t="s">
        <v>9</v>
      </c>
      <c r="C297" s="25" t="s">
        <v>16</v>
      </c>
      <c r="D297" s="25">
        <f t="shared" si="14"/>
        <v>181</v>
      </c>
      <c r="E297" s="25">
        <v>89</v>
      </c>
      <c r="F297" s="25">
        <v>73</v>
      </c>
      <c r="G297" s="25">
        <v>76</v>
      </c>
      <c r="H297" s="25">
        <v>105</v>
      </c>
      <c r="I297" s="25">
        <f t="shared" si="17"/>
        <v>16</v>
      </c>
    </row>
    <row r="298" spans="1:9" x14ac:dyDescent="0.3">
      <c r="A298" s="25">
        <v>1999</v>
      </c>
      <c r="B298" s="25" t="s">
        <v>9</v>
      </c>
      <c r="C298" s="25" t="s">
        <v>16</v>
      </c>
      <c r="D298" s="25">
        <f t="shared" si="14"/>
        <v>380</v>
      </c>
      <c r="E298" s="25">
        <v>168</v>
      </c>
      <c r="F298" s="25">
        <v>100</v>
      </c>
      <c r="G298" s="25">
        <v>126</v>
      </c>
      <c r="H298" s="25">
        <v>254</v>
      </c>
      <c r="I298" s="25">
        <f t="shared" si="17"/>
        <v>86</v>
      </c>
    </row>
    <row r="299" spans="1:9" x14ac:dyDescent="0.3">
      <c r="A299" s="25">
        <v>2000</v>
      </c>
      <c r="B299" s="25" t="s">
        <v>9</v>
      </c>
      <c r="C299" s="25" t="s">
        <v>16</v>
      </c>
      <c r="D299" s="25">
        <f t="shared" si="14"/>
        <v>399</v>
      </c>
      <c r="E299" s="25">
        <v>115</v>
      </c>
      <c r="F299" s="25">
        <v>53</v>
      </c>
      <c r="G299" s="25">
        <v>128</v>
      </c>
      <c r="H299" s="25">
        <v>271</v>
      </c>
      <c r="I299" s="25">
        <f t="shared" si="17"/>
        <v>156</v>
      </c>
    </row>
    <row r="300" spans="1:9" x14ac:dyDescent="0.3">
      <c r="A300" s="25">
        <v>2001</v>
      </c>
      <c r="B300" s="25" t="s">
        <v>9</v>
      </c>
      <c r="C300" s="25" t="s">
        <v>16</v>
      </c>
      <c r="D300" s="25">
        <f t="shared" ref="D300:D369" si="19">G300+H300</f>
        <v>305</v>
      </c>
      <c r="E300" s="25">
        <v>93</v>
      </c>
      <c r="F300" s="25">
        <v>74</v>
      </c>
      <c r="G300" s="25">
        <v>98</v>
      </c>
      <c r="H300" s="25">
        <v>207</v>
      </c>
      <c r="I300" s="25">
        <f t="shared" si="17"/>
        <v>114</v>
      </c>
    </row>
    <row r="301" spans="1:9" x14ac:dyDescent="0.3">
      <c r="A301" s="25">
        <v>2002</v>
      </c>
      <c r="B301" s="25" t="s">
        <v>9</v>
      </c>
      <c r="C301" s="25" t="s">
        <v>16</v>
      </c>
      <c r="D301" s="25">
        <f t="shared" si="19"/>
        <v>257</v>
      </c>
      <c r="E301" s="25">
        <v>107</v>
      </c>
      <c r="F301" s="25">
        <v>63</v>
      </c>
      <c r="G301" s="25">
        <v>82</v>
      </c>
      <c r="H301" s="25">
        <v>175</v>
      </c>
      <c r="I301" s="25">
        <f t="shared" si="17"/>
        <v>68</v>
      </c>
    </row>
    <row r="302" spans="1:9" x14ac:dyDescent="0.3">
      <c r="A302" s="25">
        <v>2003</v>
      </c>
      <c r="B302" s="25" t="s">
        <v>9</v>
      </c>
      <c r="C302" s="25" t="s">
        <v>16</v>
      </c>
      <c r="D302" s="25">
        <f t="shared" si="19"/>
        <v>470</v>
      </c>
      <c r="E302" s="25">
        <v>199</v>
      </c>
      <c r="F302" s="25">
        <v>101</v>
      </c>
      <c r="G302" s="25">
        <v>172</v>
      </c>
      <c r="H302" s="25">
        <v>298</v>
      </c>
      <c r="I302" s="25">
        <f t="shared" si="17"/>
        <v>99</v>
      </c>
    </row>
    <row r="303" spans="1:9" x14ac:dyDescent="0.3">
      <c r="A303" s="25">
        <v>2004</v>
      </c>
      <c r="B303" s="25" t="s">
        <v>9</v>
      </c>
      <c r="C303" s="25" t="s">
        <v>16</v>
      </c>
      <c r="D303" s="25">
        <f t="shared" si="19"/>
        <v>506</v>
      </c>
      <c r="E303" s="25">
        <v>202</v>
      </c>
      <c r="F303" s="25">
        <v>173</v>
      </c>
      <c r="G303" s="25">
        <v>209</v>
      </c>
      <c r="H303" s="25">
        <v>297</v>
      </c>
      <c r="I303" s="25">
        <f t="shared" si="17"/>
        <v>95</v>
      </c>
    </row>
    <row r="304" spans="1:9" x14ac:dyDescent="0.3">
      <c r="A304" s="25">
        <v>2005</v>
      </c>
      <c r="B304" s="25" t="s">
        <v>9</v>
      </c>
      <c r="C304" s="25" t="s">
        <v>16</v>
      </c>
      <c r="D304" s="25">
        <f t="shared" si="19"/>
        <v>316</v>
      </c>
      <c r="E304" s="25">
        <v>117</v>
      </c>
      <c r="F304" s="25">
        <v>111</v>
      </c>
      <c r="G304" s="25">
        <v>142</v>
      </c>
      <c r="H304" s="25">
        <v>174</v>
      </c>
      <c r="I304" s="25">
        <f t="shared" si="17"/>
        <v>57</v>
      </c>
    </row>
    <row r="305" spans="1:9" x14ac:dyDescent="0.3">
      <c r="A305" s="25">
        <v>2006</v>
      </c>
      <c r="B305" s="25" t="s">
        <v>9</v>
      </c>
      <c r="C305" s="25" t="s">
        <v>16</v>
      </c>
      <c r="D305" s="25">
        <f t="shared" si="19"/>
        <v>388</v>
      </c>
      <c r="E305" s="25">
        <v>173</v>
      </c>
      <c r="F305" s="25">
        <v>80</v>
      </c>
      <c r="G305" s="25">
        <v>104</v>
      </c>
      <c r="H305" s="25">
        <v>284</v>
      </c>
      <c r="I305" s="25">
        <f t="shared" si="17"/>
        <v>111</v>
      </c>
    </row>
    <row r="306" spans="1:9" x14ac:dyDescent="0.3">
      <c r="A306" s="25">
        <v>2007</v>
      </c>
      <c r="B306" s="25" t="s">
        <v>9</v>
      </c>
      <c r="C306" s="25" t="s">
        <v>16</v>
      </c>
      <c r="D306" s="25">
        <f t="shared" si="19"/>
        <v>374</v>
      </c>
      <c r="E306" s="25">
        <v>76</v>
      </c>
      <c r="F306" s="25">
        <v>199</v>
      </c>
      <c r="G306" s="25">
        <v>227</v>
      </c>
      <c r="H306" s="25">
        <v>147</v>
      </c>
      <c r="I306" s="25">
        <f t="shared" si="17"/>
        <v>71</v>
      </c>
    </row>
    <row r="307" spans="1:9" x14ac:dyDescent="0.3">
      <c r="A307" s="25">
        <v>2008</v>
      </c>
      <c r="B307" s="25" t="s">
        <v>9</v>
      </c>
      <c r="C307" s="25" t="s">
        <v>16</v>
      </c>
      <c r="D307" s="25">
        <f t="shared" si="19"/>
        <v>327</v>
      </c>
      <c r="E307" s="25">
        <v>99</v>
      </c>
      <c r="F307" s="25">
        <v>114</v>
      </c>
      <c r="G307" s="25">
        <v>143</v>
      </c>
      <c r="H307" s="25">
        <v>184</v>
      </c>
      <c r="I307" s="25">
        <f t="shared" si="17"/>
        <v>85</v>
      </c>
    </row>
    <row r="308" spans="1:9" x14ac:dyDescent="0.3">
      <c r="A308" s="25">
        <v>2009</v>
      </c>
      <c r="B308" s="25" t="s">
        <v>9</v>
      </c>
      <c r="C308" s="25" t="s">
        <v>16</v>
      </c>
      <c r="D308" s="25">
        <f t="shared" si="19"/>
        <v>367</v>
      </c>
      <c r="E308" s="25">
        <v>74</v>
      </c>
      <c r="F308" s="25">
        <v>189</v>
      </c>
      <c r="G308" s="25">
        <v>222</v>
      </c>
      <c r="H308" s="25">
        <v>145</v>
      </c>
      <c r="I308" s="25">
        <f t="shared" si="17"/>
        <v>71</v>
      </c>
    </row>
    <row r="309" spans="1:9" x14ac:dyDescent="0.3">
      <c r="A309" s="25">
        <v>2010</v>
      </c>
      <c r="B309" s="25" t="s">
        <v>9</v>
      </c>
      <c r="C309" s="25" t="s">
        <v>16</v>
      </c>
      <c r="D309" s="25">
        <f t="shared" si="19"/>
        <v>451</v>
      </c>
      <c r="E309" s="25">
        <v>102</v>
      </c>
      <c r="F309" s="25">
        <v>191</v>
      </c>
      <c r="G309" s="25">
        <v>225</v>
      </c>
      <c r="H309" s="25">
        <v>226</v>
      </c>
      <c r="I309" s="25">
        <f t="shared" si="17"/>
        <v>124</v>
      </c>
    </row>
    <row r="310" spans="1:9" x14ac:dyDescent="0.3">
      <c r="A310" s="25">
        <v>2011</v>
      </c>
      <c r="B310" s="25" t="s">
        <v>9</v>
      </c>
      <c r="C310" s="25" t="s">
        <v>16</v>
      </c>
      <c r="D310" s="25">
        <f t="shared" si="19"/>
        <v>473</v>
      </c>
      <c r="E310" s="25">
        <v>78</v>
      </c>
      <c r="F310" s="25">
        <v>208</v>
      </c>
      <c r="G310" s="25">
        <v>265</v>
      </c>
      <c r="H310" s="25">
        <v>208</v>
      </c>
      <c r="I310" s="25">
        <f t="shared" si="17"/>
        <v>130</v>
      </c>
    </row>
    <row r="311" spans="1:9" x14ac:dyDescent="0.3">
      <c r="A311" s="25">
        <v>2012</v>
      </c>
      <c r="B311" s="25" t="s">
        <v>9</v>
      </c>
      <c r="C311" s="25" t="s">
        <v>16</v>
      </c>
      <c r="D311" s="25">
        <f t="shared" si="19"/>
        <v>601</v>
      </c>
      <c r="E311" s="25">
        <v>91</v>
      </c>
      <c r="F311" s="25">
        <v>281</v>
      </c>
      <c r="G311" s="25">
        <v>340</v>
      </c>
      <c r="H311" s="25">
        <v>261</v>
      </c>
      <c r="I311" s="25">
        <f t="shared" si="17"/>
        <v>170</v>
      </c>
    </row>
    <row r="312" spans="1:9" x14ac:dyDescent="0.3">
      <c r="A312" s="25">
        <v>2013</v>
      </c>
      <c r="B312" s="25" t="s">
        <v>9</v>
      </c>
      <c r="C312" s="25" t="s">
        <v>16</v>
      </c>
      <c r="D312" s="25">
        <f t="shared" si="19"/>
        <v>545</v>
      </c>
      <c r="E312" s="25">
        <v>78</v>
      </c>
      <c r="F312" s="25">
        <v>313</v>
      </c>
      <c r="G312" s="25">
        <v>371</v>
      </c>
      <c r="H312" s="25">
        <v>174</v>
      </c>
      <c r="I312" s="25">
        <f t="shared" si="17"/>
        <v>96</v>
      </c>
    </row>
    <row r="313" spans="1:9" x14ac:dyDescent="0.3">
      <c r="A313" s="25">
        <v>2014</v>
      </c>
      <c r="B313" s="25" t="s">
        <v>9</v>
      </c>
      <c r="C313" s="25" t="s">
        <v>16</v>
      </c>
      <c r="D313" s="25">
        <f t="shared" si="19"/>
        <v>700</v>
      </c>
      <c r="E313" s="25">
        <v>67</v>
      </c>
      <c r="F313" s="25">
        <v>433</v>
      </c>
      <c r="G313" s="25">
        <v>516</v>
      </c>
      <c r="H313" s="25">
        <v>184</v>
      </c>
      <c r="I313" s="25">
        <f t="shared" si="17"/>
        <v>117</v>
      </c>
    </row>
    <row r="314" spans="1:9" x14ac:dyDescent="0.3">
      <c r="A314" s="25">
        <v>2015</v>
      </c>
      <c r="B314" s="25" t="s">
        <v>9</v>
      </c>
      <c r="C314" s="25" t="s">
        <v>16</v>
      </c>
      <c r="D314" s="25">
        <f t="shared" si="19"/>
        <v>518</v>
      </c>
      <c r="E314" s="25">
        <v>77</v>
      </c>
      <c r="F314" s="25">
        <v>313</v>
      </c>
      <c r="G314" s="25">
        <v>352</v>
      </c>
      <c r="H314" s="25">
        <v>166</v>
      </c>
      <c r="I314" s="25">
        <f t="shared" si="17"/>
        <v>89</v>
      </c>
    </row>
    <row r="315" spans="1:9" x14ac:dyDescent="0.3">
      <c r="A315" s="25">
        <v>2016</v>
      </c>
      <c r="B315" s="25" t="s">
        <v>9</v>
      </c>
      <c r="C315" s="25" t="s">
        <v>16</v>
      </c>
      <c r="D315" s="25">
        <f t="shared" si="19"/>
        <v>816</v>
      </c>
      <c r="E315" s="25">
        <v>81</v>
      </c>
      <c r="F315" s="25">
        <v>390</v>
      </c>
      <c r="G315" s="25">
        <v>597</v>
      </c>
      <c r="H315" s="25">
        <v>219</v>
      </c>
      <c r="I315" s="25">
        <f t="shared" si="17"/>
        <v>138</v>
      </c>
    </row>
    <row r="316" spans="1:9" x14ac:dyDescent="0.3">
      <c r="A316" s="25">
        <v>2017</v>
      </c>
      <c r="B316" s="25" t="s">
        <v>9</v>
      </c>
      <c r="C316" s="25" t="s">
        <v>16</v>
      </c>
      <c r="D316" s="25">
        <f t="shared" si="19"/>
        <v>552</v>
      </c>
      <c r="E316" s="25">
        <v>114</v>
      </c>
      <c r="F316" s="25">
        <v>261</v>
      </c>
      <c r="G316" s="25">
        <v>348</v>
      </c>
      <c r="H316" s="25">
        <v>204</v>
      </c>
      <c r="I316" s="25">
        <f t="shared" si="17"/>
        <v>90</v>
      </c>
    </row>
    <row r="317" spans="1:9" x14ac:dyDescent="0.3">
      <c r="A317" s="25">
        <v>2018</v>
      </c>
      <c r="B317" s="25" t="s">
        <v>9</v>
      </c>
      <c r="C317" s="25" t="s">
        <v>16</v>
      </c>
      <c r="D317" s="25">
        <f t="shared" si="19"/>
        <v>448</v>
      </c>
      <c r="E317" s="25">
        <v>67</v>
      </c>
      <c r="F317" s="25">
        <v>273</v>
      </c>
      <c r="G317" s="25">
        <v>300</v>
      </c>
      <c r="H317" s="25">
        <v>148</v>
      </c>
      <c r="I317" s="25">
        <f t="shared" si="17"/>
        <v>81</v>
      </c>
    </row>
    <row r="318" spans="1:9" x14ac:dyDescent="0.3">
      <c r="A318" s="25">
        <v>2019</v>
      </c>
      <c r="B318" s="25" t="s">
        <v>9</v>
      </c>
      <c r="C318" s="25" t="s">
        <v>16</v>
      </c>
      <c r="D318" s="25">
        <f t="shared" ref="D318:D320" si="20">G318+H318</f>
        <v>474</v>
      </c>
      <c r="E318" s="25">
        <v>115</v>
      </c>
      <c r="F318" s="25">
        <v>157</v>
      </c>
      <c r="G318" s="25">
        <v>249</v>
      </c>
      <c r="H318" s="25">
        <v>225</v>
      </c>
      <c r="I318" s="25">
        <f t="shared" si="17"/>
        <v>110</v>
      </c>
    </row>
    <row r="319" spans="1:9" x14ac:dyDescent="0.3">
      <c r="A319" s="25">
        <v>2020</v>
      </c>
      <c r="B319" s="25" t="s">
        <v>9</v>
      </c>
      <c r="C319" s="25" t="s">
        <v>16</v>
      </c>
      <c r="D319" s="25">
        <f t="shared" si="20"/>
        <v>493</v>
      </c>
      <c r="E319" s="25">
        <v>67</v>
      </c>
      <c r="F319" s="25">
        <v>175</v>
      </c>
      <c r="G319" s="25">
        <v>312</v>
      </c>
      <c r="H319" s="25">
        <v>181</v>
      </c>
      <c r="I319" s="25">
        <f t="shared" si="17"/>
        <v>114</v>
      </c>
    </row>
    <row r="320" spans="1:9" x14ac:dyDescent="0.3">
      <c r="A320" s="25">
        <v>2021</v>
      </c>
      <c r="B320" s="25" t="s">
        <v>9</v>
      </c>
      <c r="C320" s="25" t="s">
        <v>16</v>
      </c>
      <c r="D320" s="25">
        <f t="shared" si="20"/>
        <v>419</v>
      </c>
      <c r="E320" s="25">
        <v>35</v>
      </c>
      <c r="F320" s="25">
        <v>229</v>
      </c>
      <c r="G320" s="25">
        <v>315</v>
      </c>
      <c r="H320" s="25">
        <v>104</v>
      </c>
      <c r="I320" s="25">
        <f t="shared" si="17"/>
        <v>69</v>
      </c>
    </row>
    <row r="321" spans="1:9" x14ac:dyDescent="0.3">
      <c r="A321">
        <v>1993</v>
      </c>
      <c r="B321" t="s">
        <v>11</v>
      </c>
      <c r="C321" t="s">
        <v>16</v>
      </c>
      <c r="D321">
        <f t="shared" si="19"/>
        <v>24</v>
      </c>
      <c r="E321">
        <v>7</v>
      </c>
      <c r="F321">
        <v>0</v>
      </c>
      <c r="G321">
        <v>1</v>
      </c>
      <c r="H321">
        <v>23</v>
      </c>
      <c r="I321">
        <f t="shared" si="17"/>
        <v>16</v>
      </c>
    </row>
    <row r="322" spans="1:9" x14ac:dyDescent="0.3">
      <c r="A322">
        <v>1994</v>
      </c>
      <c r="B322" t="s">
        <v>11</v>
      </c>
      <c r="C322" t="s">
        <v>16</v>
      </c>
      <c r="D322">
        <f t="shared" si="19"/>
        <v>14</v>
      </c>
      <c r="E322">
        <v>11</v>
      </c>
      <c r="F322">
        <v>0</v>
      </c>
      <c r="G322">
        <v>0</v>
      </c>
      <c r="H322">
        <v>14</v>
      </c>
      <c r="I322">
        <f t="shared" si="17"/>
        <v>3</v>
      </c>
    </row>
    <row r="323" spans="1:9" x14ac:dyDescent="0.3">
      <c r="A323">
        <v>1995</v>
      </c>
      <c r="B323" t="s">
        <v>11</v>
      </c>
      <c r="C323" t="s">
        <v>16</v>
      </c>
      <c r="D323">
        <f t="shared" si="19"/>
        <v>9</v>
      </c>
      <c r="E323">
        <v>3</v>
      </c>
      <c r="F323">
        <v>0</v>
      </c>
      <c r="G323">
        <v>0</v>
      </c>
      <c r="H323">
        <v>9</v>
      </c>
      <c r="I323">
        <f t="shared" si="17"/>
        <v>6</v>
      </c>
    </row>
    <row r="324" spans="1:9" x14ac:dyDescent="0.3">
      <c r="A324">
        <v>1996</v>
      </c>
      <c r="B324" t="s">
        <v>11</v>
      </c>
      <c r="C324" t="s">
        <v>16</v>
      </c>
      <c r="D324">
        <f t="shared" si="19"/>
        <v>44</v>
      </c>
      <c r="E324">
        <v>3</v>
      </c>
      <c r="F324">
        <v>7</v>
      </c>
      <c r="G324">
        <v>11</v>
      </c>
      <c r="H324">
        <v>33</v>
      </c>
      <c r="I324">
        <f t="shared" si="17"/>
        <v>30</v>
      </c>
    </row>
    <row r="325" spans="1:9" x14ac:dyDescent="0.3">
      <c r="A325">
        <v>1997</v>
      </c>
      <c r="B325" t="s">
        <v>11</v>
      </c>
      <c r="C325" t="s">
        <v>16</v>
      </c>
      <c r="D325">
        <f t="shared" si="19"/>
        <v>79</v>
      </c>
      <c r="E325">
        <v>35</v>
      </c>
      <c r="F325">
        <v>3</v>
      </c>
      <c r="G325">
        <v>14</v>
      </c>
      <c r="H325">
        <v>65</v>
      </c>
      <c r="I325">
        <f t="shared" si="17"/>
        <v>30</v>
      </c>
    </row>
    <row r="326" spans="1:9" x14ac:dyDescent="0.3">
      <c r="A326">
        <v>1998</v>
      </c>
      <c r="B326" t="s">
        <v>11</v>
      </c>
      <c r="C326" t="s">
        <v>16</v>
      </c>
      <c r="D326">
        <f t="shared" si="19"/>
        <v>48</v>
      </c>
      <c r="E326">
        <v>35</v>
      </c>
      <c r="F326">
        <v>4</v>
      </c>
      <c r="G326">
        <v>5</v>
      </c>
      <c r="H326">
        <v>43</v>
      </c>
      <c r="I326">
        <f t="shared" si="17"/>
        <v>8</v>
      </c>
    </row>
    <row r="327" spans="1:9" x14ac:dyDescent="0.3">
      <c r="A327">
        <v>1999</v>
      </c>
      <c r="B327" t="s">
        <v>11</v>
      </c>
      <c r="C327" t="s">
        <v>16</v>
      </c>
      <c r="D327">
        <f t="shared" si="19"/>
        <v>194</v>
      </c>
      <c r="E327">
        <v>123</v>
      </c>
      <c r="F327">
        <v>4</v>
      </c>
      <c r="G327">
        <v>22</v>
      </c>
      <c r="H327">
        <v>172</v>
      </c>
      <c r="I327">
        <f t="shared" si="17"/>
        <v>49</v>
      </c>
    </row>
    <row r="328" spans="1:9" x14ac:dyDescent="0.3">
      <c r="A328">
        <v>2000</v>
      </c>
      <c r="B328" t="s">
        <v>11</v>
      </c>
      <c r="C328" t="s">
        <v>16</v>
      </c>
      <c r="D328">
        <f t="shared" si="19"/>
        <v>177</v>
      </c>
      <c r="E328">
        <v>73</v>
      </c>
      <c r="F328">
        <v>19</v>
      </c>
      <c r="G328">
        <v>38</v>
      </c>
      <c r="H328">
        <v>139</v>
      </c>
      <c r="I328">
        <f t="shared" si="17"/>
        <v>66</v>
      </c>
    </row>
    <row r="329" spans="1:9" x14ac:dyDescent="0.3">
      <c r="A329">
        <v>2001</v>
      </c>
      <c r="B329" t="s">
        <v>11</v>
      </c>
      <c r="C329" t="s">
        <v>16</v>
      </c>
      <c r="D329">
        <f t="shared" si="19"/>
        <v>243</v>
      </c>
      <c r="E329">
        <v>106</v>
      </c>
      <c r="F329">
        <v>46</v>
      </c>
      <c r="G329">
        <v>54</v>
      </c>
      <c r="H329">
        <v>189</v>
      </c>
      <c r="I329">
        <f t="shared" si="17"/>
        <v>83</v>
      </c>
    </row>
    <row r="330" spans="1:9" x14ac:dyDescent="0.3">
      <c r="A330">
        <v>2002</v>
      </c>
      <c r="B330" t="s">
        <v>11</v>
      </c>
      <c r="C330" t="s">
        <v>16</v>
      </c>
      <c r="D330">
        <f t="shared" si="19"/>
        <v>193</v>
      </c>
      <c r="E330">
        <v>66</v>
      </c>
      <c r="F330">
        <v>38</v>
      </c>
      <c r="G330">
        <v>60</v>
      </c>
      <c r="H330">
        <v>133</v>
      </c>
      <c r="I330">
        <f t="shared" si="17"/>
        <v>67</v>
      </c>
    </row>
    <row r="331" spans="1:9" x14ac:dyDescent="0.3">
      <c r="A331">
        <v>2003</v>
      </c>
      <c r="B331" t="s">
        <v>11</v>
      </c>
      <c r="C331" t="s">
        <v>16</v>
      </c>
      <c r="D331">
        <f t="shared" si="19"/>
        <v>380</v>
      </c>
      <c r="E331">
        <v>155</v>
      </c>
      <c r="F331">
        <v>41</v>
      </c>
      <c r="G331">
        <v>86</v>
      </c>
      <c r="H331">
        <v>294</v>
      </c>
      <c r="I331">
        <f t="shared" si="17"/>
        <v>139</v>
      </c>
    </row>
    <row r="332" spans="1:9" x14ac:dyDescent="0.3">
      <c r="A332">
        <v>2004</v>
      </c>
      <c r="B332" t="s">
        <v>11</v>
      </c>
      <c r="C332" t="s">
        <v>16</v>
      </c>
      <c r="D332">
        <f t="shared" si="19"/>
        <v>243</v>
      </c>
      <c r="E332">
        <v>109</v>
      </c>
      <c r="F332">
        <v>5</v>
      </c>
      <c r="G332">
        <v>37</v>
      </c>
      <c r="H332">
        <v>206</v>
      </c>
      <c r="I332">
        <f t="shared" si="17"/>
        <v>97</v>
      </c>
    </row>
    <row r="333" spans="1:9" x14ac:dyDescent="0.3">
      <c r="A333">
        <v>2005</v>
      </c>
      <c r="B333" t="s">
        <v>11</v>
      </c>
      <c r="C333" t="s">
        <v>16</v>
      </c>
      <c r="D333">
        <f t="shared" si="19"/>
        <v>278</v>
      </c>
      <c r="E333">
        <v>151</v>
      </c>
      <c r="F333">
        <v>3</v>
      </c>
      <c r="G333">
        <v>46</v>
      </c>
      <c r="H333">
        <v>232</v>
      </c>
      <c r="I333">
        <f t="shared" si="17"/>
        <v>81</v>
      </c>
    </row>
    <row r="334" spans="1:9" x14ac:dyDescent="0.3">
      <c r="A334">
        <v>2006</v>
      </c>
      <c r="B334" t="s">
        <v>11</v>
      </c>
      <c r="C334" t="s">
        <v>16</v>
      </c>
      <c r="D334">
        <f t="shared" si="19"/>
        <v>334</v>
      </c>
      <c r="E334">
        <v>157</v>
      </c>
      <c r="F334">
        <v>39</v>
      </c>
      <c r="G334">
        <v>63</v>
      </c>
      <c r="H334">
        <v>271</v>
      </c>
      <c r="I334">
        <f t="shared" si="17"/>
        <v>114</v>
      </c>
    </row>
    <row r="335" spans="1:9" x14ac:dyDescent="0.3">
      <c r="A335">
        <v>2007</v>
      </c>
      <c r="B335" t="s">
        <v>11</v>
      </c>
      <c r="C335" t="s">
        <v>16</v>
      </c>
      <c r="D335">
        <f t="shared" si="19"/>
        <v>318</v>
      </c>
      <c r="E335">
        <v>125</v>
      </c>
      <c r="F335">
        <v>79</v>
      </c>
      <c r="G335">
        <v>116</v>
      </c>
      <c r="H335">
        <v>202</v>
      </c>
      <c r="I335">
        <f t="shared" si="17"/>
        <v>77</v>
      </c>
    </row>
    <row r="336" spans="1:9" x14ac:dyDescent="0.3">
      <c r="A336">
        <v>2008</v>
      </c>
      <c r="B336" t="s">
        <v>11</v>
      </c>
      <c r="C336" t="s">
        <v>16</v>
      </c>
      <c r="D336">
        <f t="shared" si="19"/>
        <v>533</v>
      </c>
      <c r="E336">
        <v>155</v>
      </c>
      <c r="F336">
        <v>89</v>
      </c>
      <c r="G336">
        <v>190</v>
      </c>
      <c r="H336">
        <v>343</v>
      </c>
      <c r="I336">
        <f t="shared" ref="I336:I408" si="21">H336-E336</f>
        <v>188</v>
      </c>
    </row>
    <row r="337" spans="1:9" x14ac:dyDescent="0.3">
      <c r="A337">
        <v>2009</v>
      </c>
      <c r="B337" t="s">
        <v>11</v>
      </c>
      <c r="C337" t="s">
        <v>16</v>
      </c>
      <c r="D337">
        <f t="shared" si="19"/>
        <v>479</v>
      </c>
      <c r="E337">
        <v>151</v>
      </c>
      <c r="F337">
        <v>83</v>
      </c>
      <c r="G337">
        <v>117</v>
      </c>
      <c r="H337">
        <v>362</v>
      </c>
      <c r="I337">
        <f t="shared" si="21"/>
        <v>211</v>
      </c>
    </row>
    <row r="338" spans="1:9" x14ac:dyDescent="0.3">
      <c r="A338">
        <v>2010</v>
      </c>
      <c r="B338" t="s">
        <v>11</v>
      </c>
      <c r="C338" t="s">
        <v>16</v>
      </c>
      <c r="D338">
        <f t="shared" si="19"/>
        <v>466</v>
      </c>
      <c r="E338">
        <v>123</v>
      </c>
      <c r="F338">
        <v>127</v>
      </c>
      <c r="G338">
        <v>166</v>
      </c>
      <c r="H338">
        <v>300</v>
      </c>
      <c r="I338">
        <f t="shared" si="21"/>
        <v>177</v>
      </c>
    </row>
    <row r="339" spans="1:9" x14ac:dyDescent="0.3">
      <c r="A339">
        <v>2011</v>
      </c>
      <c r="B339" t="s">
        <v>11</v>
      </c>
      <c r="C339" t="s">
        <v>16</v>
      </c>
      <c r="D339">
        <f t="shared" si="19"/>
        <v>499</v>
      </c>
      <c r="E339">
        <v>135</v>
      </c>
      <c r="F339">
        <v>119</v>
      </c>
      <c r="G339">
        <v>168</v>
      </c>
      <c r="H339">
        <v>331</v>
      </c>
      <c r="I339">
        <f t="shared" si="21"/>
        <v>196</v>
      </c>
    </row>
    <row r="340" spans="1:9" x14ac:dyDescent="0.3">
      <c r="A340">
        <v>2012</v>
      </c>
      <c r="B340" t="s">
        <v>11</v>
      </c>
      <c r="C340" t="s">
        <v>16</v>
      </c>
      <c r="D340">
        <f t="shared" si="19"/>
        <v>454</v>
      </c>
      <c r="E340">
        <v>158</v>
      </c>
      <c r="F340">
        <v>48</v>
      </c>
      <c r="G340">
        <v>136</v>
      </c>
      <c r="H340">
        <v>318</v>
      </c>
      <c r="I340">
        <f t="shared" si="21"/>
        <v>160</v>
      </c>
    </row>
    <row r="341" spans="1:9" x14ac:dyDescent="0.3">
      <c r="A341">
        <v>2013</v>
      </c>
      <c r="B341" t="s">
        <v>11</v>
      </c>
      <c r="C341" t="s">
        <v>16</v>
      </c>
      <c r="D341">
        <f t="shared" si="19"/>
        <v>651</v>
      </c>
      <c r="E341">
        <v>147</v>
      </c>
      <c r="F341">
        <v>134</v>
      </c>
      <c r="G341">
        <v>244</v>
      </c>
      <c r="H341">
        <v>407</v>
      </c>
      <c r="I341">
        <f t="shared" si="21"/>
        <v>260</v>
      </c>
    </row>
    <row r="342" spans="1:9" x14ac:dyDescent="0.3">
      <c r="A342">
        <v>2014</v>
      </c>
      <c r="B342" t="s">
        <v>11</v>
      </c>
      <c r="C342" t="s">
        <v>16</v>
      </c>
      <c r="D342">
        <f t="shared" si="19"/>
        <v>495</v>
      </c>
      <c r="E342">
        <v>182</v>
      </c>
      <c r="F342">
        <v>47</v>
      </c>
      <c r="G342">
        <v>113</v>
      </c>
      <c r="H342">
        <v>382</v>
      </c>
      <c r="I342">
        <f t="shared" si="21"/>
        <v>200</v>
      </c>
    </row>
    <row r="343" spans="1:9" x14ac:dyDescent="0.3">
      <c r="A343">
        <v>2015</v>
      </c>
      <c r="B343" t="s">
        <v>11</v>
      </c>
      <c r="C343" t="s">
        <v>16</v>
      </c>
      <c r="D343">
        <f t="shared" si="19"/>
        <v>493</v>
      </c>
      <c r="E343">
        <v>148</v>
      </c>
      <c r="F343">
        <v>85</v>
      </c>
      <c r="G343">
        <v>146</v>
      </c>
      <c r="H343">
        <v>347</v>
      </c>
      <c r="I343">
        <f t="shared" si="21"/>
        <v>199</v>
      </c>
    </row>
    <row r="344" spans="1:9" x14ac:dyDescent="0.3">
      <c r="A344">
        <v>2016</v>
      </c>
      <c r="B344" t="s">
        <v>11</v>
      </c>
      <c r="C344" t="s">
        <v>16</v>
      </c>
      <c r="D344">
        <f t="shared" si="19"/>
        <v>127</v>
      </c>
      <c r="E344">
        <v>37</v>
      </c>
      <c r="F344">
        <v>19</v>
      </c>
      <c r="G344">
        <v>32</v>
      </c>
      <c r="H344">
        <v>95</v>
      </c>
      <c r="I344">
        <f t="shared" si="21"/>
        <v>58</v>
      </c>
    </row>
    <row r="345" spans="1:9" x14ac:dyDescent="0.3">
      <c r="A345">
        <v>2017</v>
      </c>
      <c r="B345" t="s">
        <v>11</v>
      </c>
      <c r="C345" t="s">
        <v>16</v>
      </c>
      <c r="D345">
        <f t="shared" si="19"/>
        <v>112</v>
      </c>
      <c r="E345">
        <v>51</v>
      </c>
      <c r="F345">
        <v>24</v>
      </c>
      <c r="G345">
        <v>25</v>
      </c>
      <c r="H345">
        <v>87</v>
      </c>
      <c r="I345">
        <f t="shared" si="21"/>
        <v>36</v>
      </c>
    </row>
    <row r="346" spans="1:9" x14ac:dyDescent="0.3">
      <c r="A346">
        <v>2018</v>
      </c>
      <c r="B346" t="s">
        <v>11</v>
      </c>
      <c r="C346" t="s">
        <v>16</v>
      </c>
      <c r="D346">
        <f t="shared" si="19"/>
        <v>244</v>
      </c>
      <c r="E346">
        <v>71</v>
      </c>
      <c r="F346">
        <v>71</v>
      </c>
      <c r="G346">
        <v>94</v>
      </c>
      <c r="H346">
        <v>150</v>
      </c>
      <c r="I346">
        <f t="shared" si="21"/>
        <v>79</v>
      </c>
    </row>
    <row r="347" spans="1:9" x14ac:dyDescent="0.3">
      <c r="A347">
        <v>2019</v>
      </c>
      <c r="B347" t="s">
        <v>11</v>
      </c>
      <c r="C347" t="s">
        <v>16</v>
      </c>
      <c r="D347">
        <f t="shared" ref="D347:D349" si="22">G347+H347</f>
        <v>317</v>
      </c>
      <c r="E347">
        <v>99</v>
      </c>
      <c r="F347">
        <v>103</v>
      </c>
      <c r="G347">
        <v>125</v>
      </c>
      <c r="H347">
        <v>192</v>
      </c>
      <c r="I347">
        <f t="shared" si="21"/>
        <v>93</v>
      </c>
    </row>
    <row r="348" spans="1:9" x14ac:dyDescent="0.3">
      <c r="A348">
        <v>2020</v>
      </c>
      <c r="B348" t="s">
        <v>11</v>
      </c>
      <c r="C348" t="s">
        <v>16</v>
      </c>
      <c r="D348">
        <f t="shared" si="22"/>
        <v>263</v>
      </c>
      <c r="E348">
        <v>77</v>
      </c>
      <c r="F348">
        <v>81</v>
      </c>
      <c r="G348">
        <v>106</v>
      </c>
      <c r="H348">
        <v>157</v>
      </c>
      <c r="I348">
        <f t="shared" si="21"/>
        <v>80</v>
      </c>
    </row>
    <row r="349" spans="1:9" x14ac:dyDescent="0.3">
      <c r="A349">
        <v>2021</v>
      </c>
      <c r="B349" t="s">
        <v>11</v>
      </c>
      <c r="C349" t="s">
        <v>16</v>
      </c>
      <c r="D349">
        <f t="shared" si="22"/>
        <v>248</v>
      </c>
      <c r="E349">
        <v>57</v>
      </c>
      <c r="F349">
        <v>90</v>
      </c>
      <c r="G349">
        <v>119</v>
      </c>
      <c r="H349">
        <v>129</v>
      </c>
      <c r="I349">
        <f t="shared" si="21"/>
        <v>72</v>
      </c>
    </row>
    <row r="350" spans="1:9" x14ac:dyDescent="0.3">
      <c r="A350" s="25">
        <v>1993</v>
      </c>
      <c r="B350" s="25" t="s">
        <v>9</v>
      </c>
      <c r="C350" s="25" t="s">
        <v>17</v>
      </c>
      <c r="D350" s="25">
        <f t="shared" si="19"/>
        <v>160</v>
      </c>
      <c r="E350" s="25">
        <v>90</v>
      </c>
      <c r="F350" s="25">
        <v>53</v>
      </c>
      <c r="G350" s="25">
        <v>59</v>
      </c>
      <c r="H350" s="25">
        <v>101</v>
      </c>
      <c r="I350" s="25">
        <f t="shared" si="21"/>
        <v>11</v>
      </c>
    </row>
    <row r="351" spans="1:9" x14ac:dyDescent="0.3">
      <c r="A351" s="25">
        <v>1994</v>
      </c>
      <c r="B351" s="25" t="s">
        <v>9</v>
      </c>
      <c r="C351" s="25" t="s">
        <v>17</v>
      </c>
      <c r="D351" s="25">
        <f t="shared" si="19"/>
        <v>177</v>
      </c>
      <c r="E351" s="25">
        <v>51</v>
      </c>
      <c r="F351" s="25">
        <v>113</v>
      </c>
      <c r="G351" s="25">
        <v>115</v>
      </c>
      <c r="H351" s="25">
        <v>62</v>
      </c>
      <c r="I351" s="25">
        <f t="shared" si="21"/>
        <v>11</v>
      </c>
    </row>
    <row r="352" spans="1:9" x14ac:dyDescent="0.3">
      <c r="A352" s="25">
        <v>1995</v>
      </c>
      <c r="B352" s="25" t="s">
        <v>9</v>
      </c>
      <c r="C352" s="25" t="s">
        <v>17</v>
      </c>
      <c r="D352" s="25">
        <f t="shared" si="19"/>
        <v>201</v>
      </c>
      <c r="E352" s="25">
        <v>93</v>
      </c>
      <c r="F352" s="25">
        <v>73</v>
      </c>
      <c r="G352" s="25">
        <v>84</v>
      </c>
      <c r="H352" s="25">
        <v>117</v>
      </c>
      <c r="I352" s="25">
        <f t="shared" si="21"/>
        <v>24</v>
      </c>
    </row>
    <row r="353" spans="1:9" x14ac:dyDescent="0.3">
      <c r="A353" s="25">
        <v>1996</v>
      </c>
      <c r="B353" s="25" t="s">
        <v>9</v>
      </c>
      <c r="C353" s="25" t="s">
        <v>17</v>
      </c>
      <c r="D353" s="25">
        <f t="shared" si="19"/>
        <v>106</v>
      </c>
      <c r="E353" s="25">
        <v>39</v>
      </c>
      <c r="F353" s="25">
        <v>64</v>
      </c>
      <c r="G353" s="25">
        <v>64</v>
      </c>
      <c r="H353" s="25">
        <v>42</v>
      </c>
      <c r="I353" s="25">
        <f t="shared" si="21"/>
        <v>3</v>
      </c>
    </row>
    <row r="354" spans="1:9" x14ac:dyDescent="0.3">
      <c r="A354" s="25">
        <v>1997</v>
      </c>
      <c r="B354" s="25" t="s">
        <v>9</v>
      </c>
      <c r="C354" s="25" t="s">
        <v>17</v>
      </c>
      <c r="D354" s="25">
        <f t="shared" si="19"/>
        <v>190</v>
      </c>
      <c r="E354" s="25">
        <v>77</v>
      </c>
      <c r="F354" s="25">
        <v>102</v>
      </c>
      <c r="G354" s="25">
        <v>107</v>
      </c>
      <c r="H354" s="25">
        <v>83</v>
      </c>
      <c r="I354" s="25">
        <f t="shared" si="21"/>
        <v>6</v>
      </c>
    </row>
    <row r="355" spans="1:9" x14ac:dyDescent="0.3">
      <c r="A355" s="25">
        <v>1998</v>
      </c>
      <c r="B355" s="25" t="s">
        <v>9</v>
      </c>
      <c r="C355" s="25" t="s">
        <v>17</v>
      </c>
      <c r="D355" s="25">
        <f t="shared" si="19"/>
        <v>195</v>
      </c>
      <c r="E355" s="25">
        <v>94</v>
      </c>
      <c r="F355" s="25">
        <v>80</v>
      </c>
      <c r="G355" s="25">
        <v>84</v>
      </c>
      <c r="H355" s="25">
        <v>111</v>
      </c>
      <c r="I355" s="25">
        <f t="shared" si="21"/>
        <v>17</v>
      </c>
    </row>
    <row r="356" spans="1:9" x14ac:dyDescent="0.3">
      <c r="A356" s="25">
        <v>1999</v>
      </c>
      <c r="B356" s="25" t="s">
        <v>9</v>
      </c>
      <c r="C356" s="25" t="s">
        <v>17</v>
      </c>
      <c r="D356" s="25">
        <f t="shared" si="19"/>
        <v>333</v>
      </c>
      <c r="E356" s="25">
        <v>162</v>
      </c>
      <c r="F356" s="25">
        <v>149</v>
      </c>
      <c r="G356" s="25">
        <v>157</v>
      </c>
      <c r="H356" s="25">
        <v>176</v>
      </c>
      <c r="I356" s="25">
        <f t="shared" si="21"/>
        <v>14</v>
      </c>
    </row>
    <row r="357" spans="1:9" x14ac:dyDescent="0.3">
      <c r="A357" s="25">
        <v>2000</v>
      </c>
      <c r="B357" s="25" t="s">
        <v>9</v>
      </c>
      <c r="C357" s="25" t="s">
        <v>17</v>
      </c>
      <c r="D357" s="25">
        <f t="shared" si="19"/>
        <v>365</v>
      </c>
      <c r="E357" s="25">
        <v>271</v>
      </c>
      <c r="F357" s="25">
        <v>64</v>
      </c>
      <c r="G357" s="25">
        <v>74</v>
      </c>
      <c r="H357" s="25">
        <v>291</v>
      </c>
      <c r="I357" s="25">
        <f t="shared" si="21"/>
        <v>20</v>
      </c>
    </row>
    <row r="358" spans="1:9" x14ac:dyDescent="0.3">
      <c r="A358" s="25">
        <v>2001</v>
      </c>
      <c r="B358" s="25" t="s">
        <v>9</v>
      </c>
      <c r="C358" s="25" t="s">
        <v>17</v>
      </c>
      <c r="D358" s="25">
        <f t="shared" si="19"/>
        <v>485</v>
      </c>
      <c r="E358" s="25">
        <v>239</v>
      </c>
      <c r="F358" s="25">
        <v>194</v>
      </c>
      <c r="G358" s="25">
        <v>209</v>
      </c>
      <c r="H358" s="25">
        <v>276</v>
      </c>
      <c r="I358" s="25">
        <f t="shared" si="21"/>
        <v>37</v>
      </c>
    </row>
    <row r="359" spans="1:9" x14ac:dyDescent="0.3">
      <c r="A359" s="25">
        <v>2002</v>
      </c>
      <c r="B359" s="25" t="s">
        <v>9</v>
      </c>
      <c r="C359" s="25" t="s">
        <v>17</v>
      </c>
      <c r="D359" s="25">
        <f t="shared" si="19"/>
        <v>480</v>
      </c>
      <c r="E359" s="25">
        <v>255</v>
      </c>
      <c r="F359" s="25">
        <v>178</v>
      </c>
      <c r="G359" s="25">
        <v>196</v>
      </c>
      <c r="H359" s="25">
        <v>284</v>
      </c>
      <c r="I359" s="25">
        <f t="shared" si="21"/>
        <v>29</v>
      </c>
    </row>
    <row r="360" spans="1:9" x14ac:dyDescent="0.3">
      <c r="A360" s="25">
        <v>2003</v>
      </c>
      <c r="B360" s="25" t="s">
        <v>9</v>
      </c>
      <c r="C360" s="25" t="s">
        <v>17</v>
      </c>
      <c r="D360" s="25">
        <f t="shared" si="19"/>
        <v>600</v>
      </c>
      <c r="E360" s="25">
        <v>261</v>
      </c>
      <c r="F360" s="25">
        <v>295</v>
      </c>
      <c r="G360" s="25">
        <v>312</v>
      </c>
      <c r="H360" s="25">
        <v>288</v>
      </c>
      <c r="I360" s="25">
        <f t="shared" si="21"/>
        <v>27</v>
      </c>
    </row>
    <row r="361" spans="1:9" x14ac:dyDescent="0.3">
      <c r="A361" s="25">
        <v>2004</v>
      </c>
      <c r="B361" s="25" t="s">
        <v>9</v>
      </c>
      <c r="C361" s="25" t="s">
        <v>17</v>
      </c>
      <c r="D361" s="25">
        <f t="shared" si="19"/>
        <v>684</v>
      </c>
      <c r="E361" s="25">
        <v>275</v>
      </c>
      <c r="F361" s="25">
        <v>349</v>
      </c>
      <c r="G361" s="25">
        <v>376</v>
      </c>
      <c r="H361" s="25">
        <v>308</v>
      </c>
      <c r="I361" s="25">
        <f t="shared" si="21"/>
        <v>33</v>
      </c>
    </row>
    <row r="362" spans="1:9" x14ac:dyDescent="0.3">
      <c r="A362" s="25">
        <v>2005</v>
      </c>
      <c r="B362" s="25" t="s">
        <v>9</v>
      </c>
      <c r="C362" s="25" t="s">
        <v>17</v>
      </c>
      <c r="D362" s="25">
        <f t="shared" si="19"/>
        <v>339</v>
      </c>
      <c r="E362" s="25">
        <v>81</v>
      </c>
      <c r="F362" s="25">
        <v>223</v>
      </c>
      <c r="G362" s="25">
        <v>235</v>
      </c>
      <c r="H362" s="25">
        <v>104</v>
      </c>
      <c r="I362" s="25">
        <f t="shared" si="21"/>
        <v>23</v>
      </c>
    </row>
    <row r="363" spans="1:9" x14ac:dyDescent="0.3">
      <c r="A363" s="25">
        <v>2006</v>
      </c>
      <c r="B363" s="25" t="s">
        <v>9</v>
      </c>
      <c r="C363" s="25" t="s">
        <v>17</v>
      </c>
      <c r="D363" s="25">
        <f t="shared" si="19"/>
        <v>483</v>
      </c>
      <c r="E363" s="25">
        <v>147</v>
      </c>
      <c r="F363" s="25">
        <v>307</v>
      </c>
      <c r="G363" s="25">
        <v>317</v>
      </c>
      <c r="H363" s="25">
        <v>166</v>
      </c>
      <c r="I363" s="25">
        <f t="shared" si="21"/>
        <v>19</v>
      </c>
    </row>
    <row r="364" spans="1:9" x14ac:dyDescent="0.3">
      <c r="A364" s="25">
        <v>2007</v>
      </c>
      <c r="B364" s="25" t="s">
        <v>9</v>
      </c>
      <c r="C364" s="25" t="s">
        <v>17</v>
      </c>
      <c r="D364" s="25">
        <f t="shared" si="19"/>
        <v>618</v>
      </c>
      <c r="E364" s="25">
        <v>167</v>
      </c>
      <c r="F364" s="25">
        <v>431</v>
      </c>
      <c r="G364" s="25">
        <v>439</v>
      </c>
      <c r="H364" s="25">
        <v>179</v>
      </c>
      <c r="I364" s="25">
        <f t="shared" si="21"/>
        <v>12</v>
      </c>
    </row>
    <row r="365" spans="1:9" x14ac:dyDescent="0.3">
      <c r="A365" s="25">
        <v>2008</v>
      </c>
      <c r="B365" s="25" t="s">
        <v>9</v>
      </c>
      <c r="C365" s="25" t="s">
        <v>17</v>
      </c>
      <c r="D365" s="25">
        <f t="shared" si="19"/>
        <v>568</v>
      </c>
      <c r="E365" s="25">
        <v>181</v>
      </c>
      <c r="F365" s="25">
        <v>342</v>
      </c>
      <c r="G365" s="25">
        <v>360</v>
      </c>
      <c r="H365" s="25">
        <v>208</v>
      </c>
      <c r="I365" s="25">
        <f t="shared" si="21"/>
        <v>27</v>
      </c>
    </row>
    <row r="366" spans="1:9" x14ac:dyDescent="0.3">
      <c r="A366" s="25">
        <v>2009</v>
      </c>
      <c r="B366" s="25" t="s">
        <v>9</v>
      </c>
      <c r="C366" s="25" t="s">
        <v>17</v>
      </c>
      <c r="D366" s="25">
        <f t="shared" si="19"/>
        <v>1111</v>
      </c>
      <c r="E366" s="25">
        <v>269</v>
      </c>
      <c r="F366" s="25">
        <v>654</v>
      </c>
      <c r="G366" s="25">
        <v>783</v>
      </c>
      <c r="H366" s="25">
        <v>328</v>
      </c>
      <c r="I366" s="25">
        <f t="shared" si="21"/>
        <v>59</v>
      </c>
    </row>
    <row r="367" spans="1:9" x14ac:dyDescent="0.3">
      <c r="A367" s="25">
        <v>2010</v>
      </c>
      <c r="B367" s="25" t="s">
        <v>9</v>
      </c>
      <c r="C367" s="25" t="s">
        <v>17</v>
      </c>
      <c r="D367" s="25">
        <f t="shared" si="19"/>
        <v>766</v>
      </c>
      <c r="E367" s="25">
        <v>262</v>
      </c>
      <c r="F367" s="25">
        <v>425</v>
      </c>
      <c r="G367" s="25">
        <v>466</v>
      </c>
      <c r="H367" s="25">
        <v>300</v>
      </c>
      <c r="I367" s="25">
        <f t="shared" si="21"/>
        <v>38</v>
      </c>
    </row>
    <row r="368" spans="1:9" x14ac:dyDescent="0.3">
      <c r="A368" s="25">
        <v>2011</v>
      </c>
      <c r="B368" s="25" t="s">
        <v>9</v>
      </c>
      <c r="C368" s="25" t="s">
        <v>17</v>
      </c>
      <c r="D368" s="25">
        <f t="shared" si="19"/>
        <v>749</v>
      </c>
      <c r="E368" s="25">
        <v>158</v>
      </c>
      <c r="F368" s="25">
        <v>515</v>
      </c>
      <c r="G368" s="25">
        <v>552</v>
      </c>
      <c r="H368" s="25">
        <v>197</v>
      </c>
      <c r="I368" s="25">
        <f t="shared" si="21"/>
        <v>39</v>
      </c>
    </row>
    <row r="369" spans="1:9" x14ac:dyDescent="0.3">
      <c r="A369" s="25">
        <v>2012</v>
      </c>
      <c r="B369" s="25" t="s">
        <v>9</v>
      </c>
      <c r="C369" s="25" t="s">
        <v>17</v>
      </c>
      <c r="D369" s="25">
        <f t="shared" si="19"/>
        <v>889</v>
      </c>
      <c r="E369" s="25">
        <v>243</v>
      </c>
      <c r="F369" s="25">
        <v>490</v>
      </c>
      <c r="G369" s="25">
        <v>564</v>
      </c>
      <c r="H369" s="25">
        <v>325</v>
      </c>
      <c r="I369" s="25">
        <f t="shared" si="21"/>
        <v>82</v>
      </c>
    </row>
    <row r="370" spans="1:9" x14ac:dyDescent="0.3">
      <c r="A370" s="25">
        <v>2013</v>
      </c>
      <c r="B370" s="25" t="s">
        <v>9</v>
      </c>
      <c r="C370" s="25" t="s">
        <v>17</v>
      </c>
      <c r="D370" s="25">
        <f t="shared" ref="D370:D442" si="23">G370+H370</f>
        <v>892</v>
      </c>
      <c r="E370" s="25">
        <v>223</v>
      </c>
      <c r="F370" s="25">
        <v>492</v>
      </c>
      <c r="G370" s="25">
        <v>596</v>
      </c>
      <c r="H370" s="25">
        <v>296</v>
      </c>
      <c r="I370" s="25">
        <f t="shared" si="21"/>
        <v>73</v>
      </c>
    </row>
    <row r="371" spans="1:9" x14ac:dyDescent="0.3">
      <c r="A371" s="25">
        <v>2014</v>
      </c>
      <c r="B371" s="25" t="s">
        <v>9</v>
      </c>
      <c r="C371" s="25" t="s">
        <v>17</v>
      </c>
      <c r="D371" s="25">
        <f t="shared" si="23"/>
        <v>1235</v>
      </c>
      <c r="E371" s="25">
        <v>164</v>
      </c>
      <c r="F371" s="25">
        <v>789</v>
      </c>
      <c r="G371" s="25">
        <v>976</v>
      </c>
      <c r="H371" s="25">
        <v>259</v>
      </c>
      <c r="I371" s="25">
        <f t="shared" si="21"/>
        <v>95</v>
      </c>
    </row>
    <row r="372" spans="1:9" x14ac:dyDescent="0.3">
      <c r="A372" s="25">
        <v>2015</v>
      </c>
      <c r="B372" s="25" t="s">
        <v>9</v>
      </c>
      <c r="C372" s="25" t="s">
        <v>17</v>
      </c>
      <c r="D372" s="25">
        <f t="shared" si="23"/>
        <v>1205</v>
      </c>
      <c r="E372" s="25">
        <v>210</v>
      </c>
      <c r="F372" s="25">
        <v>810</v>
      </c>
      <c r="G372" s="25">
        <v>902</v>
      </c>
      <c r="H372" s="25">
        <v>303</v>
      </c>
      <c r="I372" s="25">
        <f t="shared" si="21"/>
        <v>93</v>
      </c>
    </row>
    <row r="373" spans="1:9" x14ac:dyDescent="0.3">
      <c r="A373" s="25">
        <v>2016</v>
      </c>
      <c r="B373" s="25" t="s">
        <v>9</v>
      </c>
      <c r="C373" s="25" t="s">
        <v>17</v>
      </c>
      <c r="D373" s="25">
        <f t="shared" si="23"/>
        <v>1103</v>
      </c>
      <c r="E373" s="25">
        <v>209</v>
      </c>
      <c r="F373" s="25">
        <v>742</v>
      </c>
      <c r="G373" s="25">
        <v>829</v>
      </c>
      <c r="H373" s="25">
        <v>274</v>
      </c>
      <c r="I373" s="25">
        <f t="shared" si="21"/>
        <v>65</v>
      </c>
    </row>
    <row r="374" spans="1:9" x14ac:dyDescent="0.3">
      <c r="A374" s="25">
        <v>2017</v>
      </c>
      <c r="B374" s="25" t="s">
        <v>9</v>
      </c>
      <c r="C374" s="25" t="s">
        <v>17</v>
      </c>
      <c r="D374" s="25">
        <f t="shared" si="23"/>
        <v>835</v>
      </c>
      <c r="E374" s="25">
        <v>106</v>
      </c>
      <c r="F374" s="25">
        <v>579</v>
      </c>
      <c r="G374" s="25">
        <v>638</v>
      </c>
      <c r="H374" s="25">
        <v>197</v>
      </c>
      <c r="I374" s="25">
        <f t="shared" si="21"/>
        <v>91</v>
      </c>
    </row>
    <row r="375" spans="1:9" x14ac:dyDescent="0.3">
      <c r="A375" s="25">
        <v>2018</v>
      </c>
      <c r="B375" s="25" t="s">
        <v>9</v>
      </c>
      <c r="C375" s="25" t="s">
        <v>17</v>
      </c>
      <c r="D375" s="25">
        <f t="shared" si="23"/>
        <v>841</v>
      </c>
      <c r="E375" s="25">
        <v>130</v>
      </c>
      <c r="F375" s="25">
        <v>580</v>
      </c>
      <c r="G375" s="25">
        <v>639</v>
      </c>
      <c r="H375" s="25">
        <v>202</v>
      </c>
      <c r="I375" s="25">
        <f t="shared" si="21"/>
        <v>72</v>
      </c>
    </row>
    <row r="376" spans="1:9" x14ac:dyDescent="0.3">
      <c r="A376" s="25">
        <v>2019</v>
      </c>
      <c r="B376" s="25" t="s">
        <v>9</v>
      </c>
      <c r="C376" s="25" t="s">
        <v>17</v>
      </c>
      <c r="D376" s="25">
        <f t="shared" si="23"/>
        <v>1257</v>
      </c>
      <c r="E376" s="25">
        <v>214</v>
      </c>
      <c r="F376" s="25">
        <v>801</v>
      </c>
      <c r="G376" s="25">
        <v>948</v>
      </c>
      <c r="H376" s="25">
        <v>309</v>
      </c>
      <c r="I376" s="25">
        <f t="shared" si="21"/>
        <v>95</v>
      </c>
    </row>
    <row r="377" spans="1:9" x14ac:dyDescent="0.3">
      <c r="A377" s="25">
        <v>2020</v>
      </c>
      <c r="B377" s="25" t="s">
        <v>9</v>
      </c>
      <c r="C377" s="25" t="s">
        <v>17</v>
      </c>
      <c r="D377" s="25">
        <f t="shared" ref="D377:D378" si="24">G377+H377</f>
        <v>1255</v>
      </c>
      <c r="E377" s="25">
        <v>131</v>
      </c>
      <c r="F377" s="25">
        <v>935</v>
      </c>
      <c r="G377" s="25">
        <v>1034</v>
      </c>
      <c r="H377" s="25">
        <v>221</v>
      </c>
      <c r="I377" s="25">
        <f t="shared" si="21"/>
        <v>90</v>
      </c>
    </row>
    <row r="378" spans="1:9" x14ac:dyDescent="0.3">
      <c r="A378" s="25">
        <v>2021</v>
      </c>
      <c r="B378" s="25" t="s">
        <v>9</v>
      </c>
      <c r="C378" s="25" t="s">
        <v>17</v>
      </c>
      <c r="D378" s="25">
        <f t="shared" si="24"/>
        <v>900</v>
      </c>
      <c r="E378" s="25">
        <v>84</v>
      </c>
      <c r="F378" s="25">
        <v>678</v>
      </c>
      <c r="G378" s="25">
        <v>777</v>
      </c>
      <c r="H378" s="25">
        <v>123</v>
      </c>
      <c r="I378" s="25">
        <f t="shared" si="21"/>
        <v>39</v>
      </c>
    </row>
    <row r="379" spans="1:9" x14ac:dyDescent="0.3">
      <c r="A379">
        <v>1993</v>
      </c>
      <c r="B379" t="s">
        <v>11</v>
      </c>
      <c r="C379" t="s">
        <v>17</v>
      </c>
      <c r="D379">
        <f t="shared" si="23"/>
        <v>20</v>
      </c>
      <c r="E379">
        <v>3</v>
      </c>
      <c r="F379">
        <v>12</v>
      </c>
      <c r="G379">
        <v>15</v>
      </c>
      <c r="H379">
        <v>5</v>
      </c>
      <c r="I379">
        <f t="shared" si="21"/>
        <v>2</v>
      </c>
    </row>
    <row r="380" spans="1:9" x14ac:dyDescent="0.3">
      <c r="A380">
        <v>1994</v>
      </c>
      <c r="B380" t="s">
        <v>11</v>
      </c>
      <c r="C380" t="s">
        <v>17</v>
      </c>
      <c r="D380">
        <f t="shared" si="23"/>
        <v>3</v>
      </c>
      <c r="E380">
        <v>2</v>
      </c>
      <c r="F380">
        <v>1</v>
      </c>
      <c r="G380">
        <v>1</v>
      </c>
      <c r="H380">
        <v>2</v>
      </c>
      <c r="I380">
        <f t="shared" si="21"/>
        <v>0</v>
      </c>
    </row>
    <row r="381" spans="1:9" x14ac:dyDescent="0.3">
      <c r="A381">
        <v>1995</v>
      </c>
      <c r="B381" t="s">
        <v>11</v>
      </c>
      <c r="C381" t="s">
        <v>17</v>
      </c>
      <c r="D381">
        <f t="shared" si="23"/>
        <v>7</v>
      </c>
      <c r="E381">
        <v>1</v>
      </c>
      <c r="F381">
        <v>6</v>
      </c>
      <c r="G381">
        <v>6</v>
      </c>
      <c r="H381">
        <v>1</v>
      </c>
      <c r="I381">
        <f t="shared" si="21"/>
        <v>0</v>
      </c>
    </row>
    <row r="382" spans="1:9" x14ac:dyDescent="0.3">
      <c r="A382">
        <v>1996</v>
      </c>
      <c r="B382" t="s">
        <v>11</v>
      </c>
      <c r="C382" t="s">
        <v>17</v>
      </c>
      <c r="D382">
        <f t="shared" si="23"/>
        <v>3</v>
      </c>
      <c r="E382">
        <v>3</v>
      </c>
      <c r="F382">
        <v>0</v>
      </c>
      <c r="G382">
        <v>0</v>
      </c>
      <c r="H382">
        <v>3</v>
      </c>
      <c r="I382">
        <f t="shared" si="21"/>
        <v>0</v>
      </c>
    </row>
    <row r="383" spans="1:9" x14ac:dyDescent="0.3">
      <c r="A383">
        <v>1997</v>
      </c>
      <c r="B383" t="s">
        <v>11</v>
      </c>
      <c r="C383" t="s">
        <v>17</v>
      </c>
      <c r="D383">
        <f t="shared" si="23"/>
        <v>18</v>
      </c>
      <c r="E383">
        <v>12</v>
      </c>
      <c r="F383">
        <v>5</v>
      </c>
      <c r="G383">
        <v>5</v>
      </c>
      <c r="H383">
        <v>13</v>
      </c>
      <c r="I383">
        <f t="shared" si="21"/>
        <v>1</v>
      </c>
    </row>
    <row r="384" spans="1:9" x14ac:dyDescent="0.3">
      <c r="A384">
        <v>1998</v>
      </c>
      <c r="B384" t="s">
        <v>11</v>
      </c>
      <c r="C384" t="s">
        <v>17</v>
      </c>
      <c r="D384">
        <f t="shared" si="23"/>
        <v>14</v>
      </c>
      <c r="E384">
        <v>7</v>
      </c>
      <c r="F384">
        <v>5</v>
      </c>
      <c r="G384">
        <v>5</v>
      </c>
      <c r="H384">
        <v>9</v>
      </c>
      <c r="I384">
        <f t="shared" si="21"/>
        <v>2</v>
      </c>
    </row>
    <row r="385" spans="1:9" x14ac:dyDescent="0.3">
      <c r="A385">
        <v>1999</v>
      </c>
      <c r="B385" t="s">
        <v>11</v>
      </c>
      <c r="C385" t="s">
        <v>17</v>
      </c>
      <c r="D385">
        <f t="shared" si="23"/>
        <v>32</v>
      </c>
      <c r="E385">
        <v>11</v>
      </c>
      <c r="F385">
        <v>17</v>
      </c>
      <c r="G385">
        <v>17</v>
      </c>
      <c r="H385">
        <v>15</v>
      </c>
      <c r="I385">
        <f t="shared" si="21"/>
        <v>4</v>
      </c>
    </row>
    <row r="386" spans="1:9" x14ac:dyDescent="0.3">
      <c r="A386">
        <v>2000</v>
      </c>
      <c r="B386" t="s">
        <v>11</v>
      </c>
      <c r="C386" t="s">
        <v>17</v>
      </c>
      <c r="D386">
        <f t="shared" si="23"/>
        <v>38</v>
      </c>
      <c r="E386">
        <v>16</v>
      </c>
      <c r="F386">
        <v>18</v>
      </c>
      <c r="G386">
        <v>18</v>
      </c>
      <c r="H386">
        <v>20</v>
      </c>
      <c r="I386">
        <f t="shared" si="21"/>
        <v>4</v>
      </c>
    </row>
    <row r="387" spans="1:9" x14ac:dyDescent="0.3">
      <c r="A387">
        <v>2001</v>
      </c>
      <c r="B387" t="s">
        <v>11</v>
      </c>
      <c r="C387" t="s">
        <v>17</v>
      </c>
      <c r="D387">
        <f t="shared" si="23"/>
        <v>52</v>
      </c>
      <c r="E387">
        <v>18</v>
      </c>
      <c r="F387">
        <v>34</v>
      </c>
      <c r="G387">
        <v>34</v>
      </c>
      <c r="H387">
        <v>18</v>
      </c>
      <c r="I387">
        <f t="shared" si="21"/>
        <v>0</v>
      </c>
    </row>
    <row r="388" spans="1:9" x14ac:dyDescent="0.3">
      <c r="A388">
        <v>2002</v>
      </c>
      <c r="B388" t="s">
        <v>11</v>
      </c>
      <c r="C388" t="s">
        <v>17</v>
      </c>
      <c r="D388">
        <f t="shared" si="23"/>
        <v>32</v>
      </c>
      <c r="E388">
        <v>15</v>
      </c>
      <c r="F388">
        <v>11</v>
      </c>
      <c r="G388">
        <v>14</v>
      </c>
      <c r="H388">
        <v>18</v>
      </c>
      <c r="I388">
        <f t="shared" si="21"/>
        <v>3</v>
      </c>
    </row>
    <row r="389" spans="1:9" x14ac:dyDescent="0.3">
      <c r="A389">
        <v>2003</v>
      </c>
      <c r="B389" t="s">
        <v>11</v>
      </c>
      <c r="C389" t="s">
        <v>17</v>
      </c>
      <c r="D389">
        <f t="shared" si="23"/>
        <v>61</v>
      </c>
      <c r="E389">
        <v>4</v>
      </c>
      <c r="F389">
        <v>54</v>
      </c>
      <c r="G389">
        <v>56</v>
      </c>
      <c r="H389">
        <v>5</v>
      </c>
      <c r="I389">
        <f t="shared" si="21"/>
        <v>1</v>
      </c>
    </row>
    <row r="390" spans="1:9" x14ac:dyDescent="0.3">
      <c r="A390">
        <v>2004</v>
      </c>
      <c r="B390" t="s">
        <v>11</v>
      </c>
      <c r="C390" t="s">
        <v>17</v>
      </c>
      <c r="D390">
        <f t="shared" si="23"/>
        <v>55</v>
      </c>
      <c r="E390">
        <v>2</v>
      </c>
      <c r="F390">
        <v>47</v>
      </c>
      <c r="G390">
        <v>47</v>
      </c>
      <c r="H390">
        <v>8</v>
      </c>
      <c r="I390">
        <f t="shared" si="21"/>
        <v>6</v>
      </c>
    </row>
    <row r="391" spans="1:9" x14ac:dyDescent="0.3">
      <c r="A391">
        <v>2005</v>
      </c>
      <c r="B391" t="s">
        <v>11</v>
      </c>
      <c r="C391" t="s">
        <v>17</v>
      </c>
      <c r="D391">
        <f t="shared" si="23"/>
        <v>59</v>
      </c>
      <c r="E391">
        <v>12</v>
      </c>
      <c r="F391">
        <v>38</v>
      </c>
      <c r="G391">
        <v>38</v>
      </c>
      <c r="H391">
        <v>21</v>
      </c>
      <c r="I391">
        <f t="shared" si="21"/>
        <v>9</v>
      </c>
    </row>
    <row r="392" spans="1:9" x14ac:dyDescent="0.3">
      <c r="A392">
        <v>2006</v>
      </c>
      <c r="B392" t="s">
        <v>11</v>
      </c>
      <c r="C392" t="s">
        <v>17</v>
      </c>
      <c r="D392">
        <f t="shared" si="23"/>
        <v>43</v>
      </c>
      <c r="E392">
        <v>1</v>
      </c>
      <c r="F392">
        <v>38</v>
      </c>
      <c r="G392">
        <v>40</v>
      </c>
      <c r="H392">
        <v>3</v>
      </c>
      <c r="I392">
        <f t="shared" si="21"/>
        <v>2</v>
      </c>
    </row>
    <row r="393" spans="1:9" x14ac:dyDescent="0.3">
      <c r="A393">
        <v>2007</v>
      </c>
      <c r="B393" t="s">
        <v>11</v>
      </c>
      <c r="C393" t="s">
        <v>17</v>
      </c>
      <c r="D393">
        <f t="shared" si="23"/>
        <v>28</v>
      </c>
      <c r="E393">
        <v>2</v>
      </c>
      <c r="F393">
        <v>25</v>
      </c>
      <c r="G393">
        <v>25</v>
      </c>
      <c r="H393">
        <v>3</v>
      </c>
      <c r="I393">
        <f t="shared" si="21"/>
        <v>1</v>
      </c>
    </row>
    <row r="394" spans="1:9" x14ac:dyDescent="0.3">
      <c r="A394">
        <v>2008</v>
      </c>
      <c r="B394" t="s">
        <v>11</v>
      </c>
      <c r="C394" t="s">
        <v>17</v>
      </c>
      <c r="D394">
        <f t="shared" si="23"/>
        <v>33</v>
      </c>
      <c r="E394">
        <v>9</v>
      </c>
      <c r="F394">
        <v>22</v>
      </c>
      <c r="G394">
        <v>23</v>
      </c>
      <c r="H394">
        <v>10</v>
      </c>
      <c r="I394">
        <f t="shared" si="21"/>
        <v>1</v>
      </c>
    </row>
    <row r="395" spans="1:9" x14ac:dyDescent="0.3">
      <c r="A395">
        <v>2009</v>
      </c>
      <c r="B395" t="s">
        <v>11</v>
      </c>
      <c r="C395" t="s">
        <v>17</v>
      </c>
      <c r="D395">
        <f t="shared" si="23"/>
        <v>100</v>
      </c>
      <c r="E395">
        <v>24</v>
      </c>
      <c r="F395">
        <v>59</v>
      </c>
      <c r="G395">
        <v>65</v>
      </c>
      <c r="H395">
        <v>35</v>
      </c>
      <c r="I395">
        <f t="shared" si="21"/>
        <v>11</v>
      </c>
    </row>
    <row r="396" spans="1:9" x14ac:dyDescent="0.3">
      <c r="A396">
        <v>2010</v>
      </c>
      <c r="B396" t="s">
        <v>11</v>
      </c>
      <c r="C396" t="s">
        <v>17</v>
      </c>
      <c r="D396">
        <f t="shared" si="23"/>
        <v>103</v>
      </c>
      <c r="E396">
        <v>15</v>
      </c>
      <c r="F396">
        <v>77</v>
      </c>
      <c r="G396">
        <v>78</v>
      </c>
      <c r="H396">
        <v>25</v>
      </c>
      <c r="I396">
        <f t="shared" si="21"/>
        <v>10</v>
      </c>
    </row>
    <row r="397" spans="1:9" x14ac:dyDescent="0.3">
      <c r="A397">
        <v>2011</v>
      </c>
      <c r="B397" t="s">
        <v>11</v>
      </c>
      <c r="C397" t="s">
        <v>17</v>
      </c>
      <c r="D397">
        <f t="shared" si="23"/>
        <v>139</v>
      </c>
      <c r="E397">
        <v>17</v>
      </c>
      <c r="F397">
        <v>114</v>
      </c>
      <c r="G397">
        <v>120</v>
      </c>
      <c r="H397">
        <v>19</v>
      </c>
      <c r="I397">
        <f t="shared" si="21"/>
        <v>2</v>
      </c>
    </row>
    <row r="398" spans="1:9" x14ac:dyDescent="0.3">
      <c r="A398">
        <v>2012</v>
      </c>
      <c r="B398" t="s">
        <v>11</v>
      </c>
      <c r="C398" t="s">
        <v>17</v>
      </c>
      <c r="D398">
        <f t="shared" si="23"/>
        <v>281</v>
      </c>
      <c r="E398">
        <v>48</v>
      </c>
      <c r="F398">
        <v>203</v>
      </c>
      <c r="G398">
        <v>211</v>
      </c>
      <c r="H398">
        <v>70</v>
      </c>
      <c r="I398">
        <f t="shared" si="21"/>
        <v>22</v>
      </c>
    </row>
    <row r="399" spans="1:9" x14ac:dyDescent="0.3">
      <c r="A399">
        <v>2013</v>
      </c>
      <c r="B399" t="s">
        <v>11</v>
      </c>
      <c r="C399" t="s">
        <v>17</v>
      </c>
      <c r="D399">
        <f t="shared" si="23"/>
        <v>327</v>
      </c>
      <c r="E399">
        <v>43</v>
      </c>
      <c r="F399">
        <v>209</v>
      </c>
      <c r="G399">
        <v>242</v>
      </c>
      <c r="H399">
        <v>85</v>
      </c>
      <c r="I399">
        <f t="shared" si="21"/>
        <v>42</v>
      </c>
    </row>
    <row r="400" spans="1:9" x14ac:dyDescent="0.3">
      <c r="A400">
        <v>2014</v>
      </c>
      <c r="B400" t="s">
        <v>11</v>
      </c>
      <c r="C400" t="s">
        <v>17</v>
      </c>
      <c r="D400">
        <f t="shared" si="23"/>
        <v>268</v>
      </c>
      <c r="E400">
        <v>48</v>
      </c>
      <c r="F400">
        <v>198</v>
      </c>
      <c r="G400">
        <v>206</v>
      </c>
      <c r="H400">
        <v>62</v>
      </c>
      <c r="I400">
        <f t="shared" si="21"/>
        <v>14</v>
      </c>
    </row>
    <row r="401" spans="1:9" x14ac:dyDescent="0.3">
      <c r="A401">
        <v>2015</v>
      </c>
      <c r="B401" t="s">
        <v>11</v>
      </c>
      <c r="C401" t="s">
        <v>17</v>
      </c>
      <c r="D401">
        <f t="shared" si="23"/>
        <v>201</v>
      </c>
      <c r="E401">
        <v>35</v>
      </c>
      <c r="F401">
        <v>151</v>
      </c>
      <c r="G401">
        <v>154</v>
      </c>
      <c r="H401">
        <v>47</v>
      </c>
      <c r="I401">
        <f t="shared" si="21"/>
        <v>12</v>
      </c>
    </row>
    <row r="402" spans="1:9" x14ac:dyDescent="0.3">
      <c r="A402">
        <v>2016</v>
      </c>
      <c r="B402" t="s">
        <v>11</v>
      </c>
      <c r="C402" t="s">
        <v>17</v>
      </c>
      <c r="D402">
        <f t="shared" si="23"/>
        <v>223</v>
      </c>
      <c r="E402">
        <v>48</v>
      </c>
      <c r="F402">
        <v>147</v>
      </c>
      <c r="G402">
        <v>168</v>
      </c>
      <c r="H402">
        <v>55</v>
      </c>
      <c r="I402">
        <f t="shared" si="21"/>
        <v>7</v>
      </c>
    </row>
    <row r="403" spans="1:9" x14ac:dyDescent="0.3">
      <c r="A403">
        <v>2017</v>
      </c>
      <c r="B403" t="s">
        <v>11</v>
      </c>
      <c r="C403" t="s">
        <v>17</v>
      </c>
      <c r="D403">
        <f t="shared" si="23"/>
        <v>140</v>
      </c>
      <c r="E403">
        <v>18</v>
      </c>
      <c r="F403">
        <v>99</v>
      </c>
      <c r="G403">
        <v>113</v>
      </c>
      <c r="H403">
        <v>27</v>
      </c>
      <c r="I403">
        <f t="shared" si="21"/>
        <v>9</v>
      </c>
    </row>
    <row r="404" spans="1:9" x14ac:dyDescent="0.3">
      <c r="A404">
        <v>2018</v>
      </c>
      <c r="B404" t="s">
        <v>11</v>
      </c>
      <c r="C404" t="s">
        <v>17</v>
      </c>
      <c r="D404">
        <f t="shared" si="23"/>
        <v>113</v>
      </c>
      <c r="E404">
        <v>17</v>
      </c>
      <c r="F404">
        <v>86</v>
      </c>
      <c r="G404">
        <v>86</v>
      </c>
      <c r="H404">
        <v>27</v>
      </c>
      <c r="I404">
        <f t="shared" si="21"/>
        <v>10</v>
      </c>
    </row>
    <row r="405" spans="1:9" x14ac:dyDescent="0.3">
      <c r="A405">
        <v>2019</v>
      </c>
      <c r="B405" t="s">
        <v>11</v>
      </c>
      <c r="C405" t="s">
        <v>17</v>
      </c>
      <c r="D405">
        <f t="shared" ref="D405:D407" si="25">G405+H405</f>
        <v>246</v>
      </c>
      <c r="E405">
        <v>38</v>
      </c>
      <c r="F405">
        <v>139</v>
      </c>
      <c r="G405">
        <v>182</v>
      </c>
      <c r="H405">
        <v>64</v>
      </c>
      <c r="I405">
        <f t="shared" si="21"/>
        <v>26</v>
      </c>
    </row>
    <row r="406" spans="1:9" x14ac:dyDescent="0.3">
      <c r="A406">
        <v>2020</v>
      </c>
      <c r="B406" t="s">
        <v>11</v>
      </c>
      <c r="C406" t="s">
        <v>17</v>
      </c>
      <c r="D406">
        <f t="shared" si="25"/>
        <v>176</v>
      </c>
      <c r="E406">
        <v>35</v>
      </c>
      <c r="F406">
        <v>117</v>
      </c>
      <c r="G406">
        <v>130</v>
      </c>
      <c r="H406">
        <v>46</v>
      </c>
      <c r="I406">
        <f t="shared" si="21"/>
        <v>11</v>
      </c>
    </row>
    <row r="407" spans="1:9" x14ac:dyDescent="0.3">
      <c r="A407">
        <v>2021</v>
      </c>
      <c r="B407" t="s">
        <v>11</v>
      </c>
      <c r="C407" t="s">
        <v>17</v>
      </c>
      <c r="D407">
        <f t="shared" si="25"/>
        <v>82</v>
      </c>
      <c r="E407">
        <v>23</v>
      </c>
      <c r="F407">
        <v>51</v>
      </c>
      <c r="G407">
        <v>55</v>
      </c>
      <c r="H407">
        <v>27</v>
      </c>
      <c r="I407">
        <f t="shared" si="21"/>
        <v>4</v>
      </c>
    </row>
    <row r="408" spans="1:9" x14ac:dyDescent="0.3">
      <c r="A408" s="25">
        <v>1993</v>
      </c>
      <c r="B408" s="25" t="s">
        <v>9</v>
      </c>
      <c r="C408" s="25" t="s">
        <v>18</v>
      </c>
      <c r="D408" s="25">
        <f t="shared" si="23"/>
        <v>0</v>
      </c>
      <c r="E408" s="25">
        <v>0</v>
      </c>
      <c r="F408" s="25">
        <v>0</v>
      </c>
      <c r="G408" s="25">
        <v>0</v>
      </c>
      <c r="H408" s="25">
        <v>0</v>
      </c>
      <c r="I408" s="25">
        <f t="shared" si="21"/>
        <v>0</v>
      </c>
    </row>
    <row r="409" spans="1:9" x14ac:dyDescent="0.3">
      <c r="A409" s="25">
        <v>1994</v>
      </c>
      <c r="B409" s="25" t="s">
        <v>9</v>
      </c>
      <c r="C409" s="25" t="s">
        <v>18</v>
      </c>
      <c r="D409" s="25">
        <f t="shared" si="23"/>
        <v>0</v>
      </c>
      <c r="E409" s="25">
        <v>0</v>
      </c>
      <c r="F409" s="25">
        <v>0</v>
      </c>
      <c r="G409" s="25">
        <v>0</v>
      </c>
      <c r="H409" s="25">
        <v>0</v>
      </c>
      <c r="I409" s="25">
        <f t="shared" ref="I409:I463" si="26">H409-E409</f>
        <v>0</v>
      </c>
    </row>
    <row r="410" spans="1:9" x14ac:dyDescent="0.3">
      <c r="A410" s="25">
        <v>1995</v>
      </c>
      <c r="B410" s="25" t="s">
        <v>9</v>
      </c>
      <c r="C410" s="25" t="s">
        <v>18</v>
      </c>
      <c r="D410" s="25">
        <f t="shared" si="23"/>
        <v>0</v>
      </c>
      <c r="E410" s="25">
        <v>0</v>
      </c>
      <c r="F410" s="25">
        <v>0</v>
      </c>
      <c r="G410" s="25">
        <v>0</v>
      </c>
      <c r="H410" s="25">
        <v>0</v>
      </c>
      <c r="I410" s="25">
        <f t="shared" si="26"/>
        <v>0</v>
      </c>
    </row>
    <row r="411" spans="1:9" x14ac:dyDescent="0.3">
      <c r="A411" s="25">
        <v>1996</v>
      </c>
      <c r="B411" s="25" t="s">
        <v>9</v>
      </c>
      <c r="C411" s="25" t="s">
        <v>18</v>
      </c>
      <c r="D411" s="25">
        <f t="shared" si="23"/>
        <v>0</v>
      </c>
      <c r="E411" s="25">
        <v>0</v>
      </c>
      <c r="F411" s="25">
        <v>0</v>
      </c>
      <c r="G411" s="25">
        <v>0</v>
      </c>
      <c r="H411" s="25">
        <v>0</v>
      </c>
      <c r="I411" s="25">
        <f t="shared" si="26"/>
        <v>0</v>
      </c>
    </row>
    <row r="412" spans="1:9" x14ac:dyDescent="0.3">
      <c r="A412" s="25">
        <v>1997</v>
      </c>
      <c r="B412" s="25" t="s">
        <v>9</v>
      </c>
      <c r="C412" s="25" t="s">
        <v>18</v>
      </c>
      <c r="D412" s="25">
        <f t="shared" si="23"/>
        <v>0</v>
      </c>
      <c r="E412" s="25">
        <v>0</v>
      </c>
      <c r="F412" s="25">
        <v>0</v>
      </c>
      <c r="G412" s="25">
        <v>0</v>
      </c>
      <c r="H412" s="25">
        <v>0</v>
      </c>
      <c r="I412" s="25">
        <f t="shared" si="26"/>
        <v>0</v>
      </c>
    </row>
    <row r="413" spans="1:9" x14ac:dyDescent="0.3">
      <c r="A413" s="25">
        <v>1998</v>
      </c>
      <c r="B413" s="25" t="s">
        <v>9</v>
      </c>
      <c r="C413" s="25" t="s">
        <v>18</v>
      </c>
      <c r="D413" s="25">
        <f t="shared" si="23"/>
        <v>0</v>
      </c>
      <c r="E413" s="25">
        <v>0</v>
      </c>
      <c r="F413" s="25">
        <v>0</v>
      </c>
      <c r="G413" s="25">
        <v>0</v>
      </c>
      <c r="H413" s="25">
        <v>0</v>
      </c>
      <c r="I413" s="25">
        <f t="shared" si="26"/>
        <v>0</v>
      </c>
    </row>
    <row r="414" spans="1:9" x14ac:dyDescent="0.3">
      <c r="A414" s="25">
        <v>1999</v>
      </c>
      <c r="B414" s="25" t="s">
        <v>9</v>
      </c>
      <c r="C414" s="25" t="s">
        <v>18</v>
      </c>
      <c r="D414" s="25">
        <f t="shared" si="23"/>
        <v>0</v>
      </c>
      <c r="E414" s="25">
        <v>0</v>
      </c>
      <c r="F414" s="25">
        <v>0</v>
      </c>
      <c r="G414" s="25">
        <v>0</v>
      </c>
      <c r="H414" s="25">
        <v>0</v>
      </c>
      <c r="I414" s="25">
        <f t="shared" si="26"/>
        <v>0</v>
      </c>
    </row>
    <row r="415" spans="1:9" x14ac:dyDescent="0.3">
      <c r="A415" s="25">
        <v>2000</v>
      </c>
      <c r="B415" s="25" t="s">
        <v>9</v>
      </c>
      <c r="C415" s="25" t="s">
        <v>18</v>
      </c>
      <c r="D415" s="25">
        <f t="shared" si="23"/>
        <v>0</v>
      </c>
      <c r="E415" s="25">
        <v>0</v>
      </c>
      <c r="F415" s="25">
        <v>0</v>
      </c>
      <c r="G415" s="25">
        <v>0</v>
      </c>
      <c r="H415" s="25">
        <v>0</v>
      </c>
      <c r="I415" s="25">
        <f t="shared" si="26"/>
        <v>0</v>
      </c>
    </row>
    <row r="416" spans="1:9" x14ac:dyDescent="0.3">
      <c r="A416" s="25">
        <v>2001</v>
      </c>
      <c r="B416" s="25" t="s">
        <v>9</v>
      </c>
      <c r="C416" s="25" t="s">
        <v>18</v>
      </c>
      <c r="D416" s="25">
        <f t="shared" si="23"/>
        <v>0</v>
      </c>
      <c r="E416" s="25">
        <v>0</v>
      </c>
      <c r="F416" s="25">
        <v>0</v>
      </c>
      <c r="G416" s="25">
        <v>0</v>
      </c>
      <c r="H416" s="25">
        <v>0</v>
      </c>
      <c r="I416" s="25">
        <f t="shared" si="26"/>
        <v>0</v>
      </c>
    </row>
    <row r="417" spans="1:9" x14ac:dyDescent="0.3">
      <c r="A417" s="25">
        <v>2002</v>
      </c>
      <c r="B417" s="25" t="s">
        <v>9</v>
      </c>
      <c r="C417" s="25" t="s">
        <v>18</v>
      </c>
      <c r="D417" s="25">
        <f t="shared" si="23"/>
        <v>0</v>
      </c>
      <c r="E417" s="25">
        <v>0</v>
      </c>
      <c r="F417" s="25">
        <v>0</v>
      </c>
      <c r="G417" s="25">
        <v>0</v>
      </c>
      <c r="H417" s="25">
        <v>0</v>
      </c>
      <c r="I417" s="25">
        <f t="shared" si="26"/>
        <v>0</v>
      </c>
    </row>
    <row r="418" spans="1:9" x14ac:dyDescent="0.3">
      <c r="A418" s="25">
        <v>2003</v>
      </c>
      <c r="B418" s="25" t="s">
        <v>9</v>
      </c>
      <c r="C418" s="25" t="s">
        <v>18</v>
      </c>
      <c r="D418" s="25">
        <f t="shared" si="23"/>
        <v>0</v>
      </c>
      <c r="E418" s="25">
        <v>0</v>
      </c>
      <c r="F418" s="25">
        <v>0</v>
      </c>
      <c r="G418" s="25">
        <v>0</v>
      </c>
      <c r="H418" s="25">
        <v>0</v>
      </c>
      <c r="I418" s="25">
        <f t="shared" si="26"/>
        <v>0</v>
      </c>
    </row>
    <row r="419" spans="1:9" x14ac:dyDescent="0.3">
      <c r="A419" s="25">
        <v>2004</v>
      </c>
      <c r="B419" s="25" t="s">
        <v>9</v>
      </c>
      <c r="C419" s="25" t="s">
        <v>18</v>
      </c>
      <c r="D419" s="25">
        <f t="shared" si="23"/>
        <v>0</v>
      </c>
      <c r="E419" s="25">
        <v>0</v>
      </c>
      <c r="F419" s="25">
        <v>0</v>
      </c>
      <c r="G419" s="25">
        <v>0</v>
      </c>
      <c r="H419" s="25">
        <v>0</v>
      </c>
      <c r="I419" s="25">
        <f t="shared" si="26"/>
        <v>0</v>
      </c>
    </row>
    <row r="420" spans="1:9" x14ac:dyDescent="0.3">
      <c r="A420" s="25">
        <v>2005</v>
      </c>
      <c r="B420" s="25" t="s">
        <v>9</v>
      </c>
      <c r="C420" s="25" t="s">
        <v>18</v>
      </c>
      <c r="D420" s="25">
        <f t="shared" si="23"/>
        <v>0</v>
      </c>
      <c r="E420" s="25">
        <v>0</v>
      </c>
      <c r="F420" s="25">
        <v>0</v>
      </c>
      <c r="G420" s="25">
        <v>0</v>
      </c>
      <c r="H420" s="25">
        <v>0</v>
      </c>
      <c r="I420" s="25">
        <f t="shared" si="26"/>
        <v>0</v>
      </c>
    </row>
    <row r="421" spans="1:9" x14ac:dyDescent="0.3">
      <c r="A421" s="25">
        <v>2006</v>
      </c>
      <c r="B421" s="25" t="s">
        <v>9</v>
      </c>
      <c r="C421" s="25" t="s">
        <v>18</v>
      </c>
      <c r="D421" s="25">
        <f t="shared" si="23"/>
        <v>0</v>
      </c>
      <c r="E421" s="25">
        <v>0</v>
      </c>
      <c r="F421" s="25">
        <v>0</v>
      </c>
      <c r="G421" s="25">
        <v>0</v>
      </c>
      <c r="H421" s="25">
        <v>0</v>
      </c>
      <c r="I421" s="25">
        <f t="shared" si="26"/>
        <v>0</v>
      </c>
    </row>
    <row r="422" spans="1:9" x14ac:dyDescent="0.3">
      <c r="A422" s="25">
        <v>2007</v>
      </c>
      <c r="B422" s="25" t="s">
        <v>9</v>
      </c>
      <c r="C422" s="25" t="s">
        <v>18</v>
      </c>
      <c r="D422" s="25">
        <f t="shared" si="23"/>
        <v>0</v>
      </c>
      <c r="E422" s="25">
        <v>0</v>
      </c>
      <c r="F422" s="25">
        <v>0</v>
      </c>
      <c r="G422" s="25">
        <v>0</v>
      </c>
      <c r="H422" s="25">
        <v>0</v>
      </c>
      <c r="I422" s="25">
        <f t="shared" si="26"/>
        <v>0</v>
      </c>
    </row>
    <row r="423" spans="1:9" x14ac:dyDescent="0.3">
      <c r="A423" s="25">
        <v>2008</v>
      </c>
      <c r="B423" s="25" t="s">
        <v>9</v>
      </c>
      <c r="C423" s="25" t="s">
        <v>18</v>
      </c>
      <c r="D423" s="25">
        <f t="shared" si="23"/>
        <v>0</v>
      </c>
      <c r="E423" s="25">
        <v>0</v>
      </c>
      <c r="F423" s="25">
        <v>0</v>
      </c>
      <c r="G423" s="25">
        <v>0</v>
      </c>
      <c r="H423" s="25">
        <v>0</v>
      </c>
      <c r="I423" s="25">
        <f t="shared" si="26"/>
        <v>0</v>
      </c>
    </row>
    <row r="424" spans="1:9" x14ac:dyDescent="0.3">
      <c r="A424" s="25">
        <v>2009</v>
      </c>
      <c r="B424" s="25" t="s">
        <v>9</v>
      </c>
      <c r="C424" s="25" t="s">
        <v>18</v>
      </c>
      <c r="D424" s="25">
        <f t="shared" si="23"/>
        <v>9</v>
      </c>
      <c r="E424" s="25">
        <v>4</v>
      </c>
      <c r="F424" s="25">
        <v>4</v>
      </c>
      <c r="G424" s="25">
        <v>5</v>
      </c>
      <c r="H424" s="25">
        <v>4</v>
      </c>
      <c r="I424" s="25">
        <f t="shared" si="26"/>
        <v>0</v>
      </c>
    </row>
    <row r="425" spans="1:9" x14ac:dyDescent="0.3">
      <c r="A425" s="25">
        <v>2010</v>
      </c>
      <c r="B425" s="25" t="s">
        <v>9</v>
      </c>
      <c r="C425" s="25" t="s">
        <v>18</v>
      </c>
      <c r="D425" s="25">
        <f t="shared" si="23"/>
        <v>0</v>
      </c>
      <c r="E425" s="25">
        <v>0</v>
      </c>
      <c r="F425" s="25">
        <v>0</v>
      </c>
      <c r="G425" s="25">
        <v>0</v>
      </c>
      <c r="H425" s="25">
        <v>0</v>
      </c>
      <c r="I425" s="25">
        <f t="shared" si="26"/>
        <v>0</v>
      </c>
    </row>
    <row r="426" spans="1:9" x14ac:dyDescent="0.3">
      <c r="A426" s="25">
        <v>2011</v>
      </c>
      <c r="B426" s="25" t="s">
        <v>9</v>
      </c>
      <c r="C426" s="25" t="s">
        <v>18</v>
      </c>
      <c r="D426" s="25">
        <f t="shared" si="23"/>
        <v>0</v>
      </c>
      <c r="E426" s="25">
        <v>0</v>
      </c>
      <c r="F426" s="25">
        <v>0</v>
      </c>
      <c r="G426" s="25">
        <v>0</v>
      </c>
      <c r="H426" s="25">
        <v>0</v>
      </c>
      <c r="I426" s="25">
        <f t="shared" si="26"/>
        <v>0</v>
      </c>
    </row>
    <row r="427" spans="1:9" x14ac:dyDescent="0.3">
      <c r="A427" s="25">
        <v>2012</v>
      </c>
      <c r="B427" s="25" t="s">
        <v>9</v>
      </c>
      <c r="C427" s="25" t="s">
        <v>18</v>
      </c>
      <c r="D427" s="25">
        <f t="shared" si="23"/>
        <v>0</v>
      </c>
      <c r="E427" s="25">
        <v>0</v>
      </c>
      <c r="F427" s="25">
        <v>0</v>
      </c>
      <c r="G427" s="25">
        <v>0</v>
      </c>
      <c r="H427" s="25">
        <v>0</v>
      </c>
      <c r="I427" s="25">
        <f t="shared" si="26"/>
        <v>0</v>
      </c>
    </row>
    <row r="428" spans="1:9" x14ac:dyDescent="0.3">
      <c r="A428" s="25">
        <v>2013</v>
      </c>
      <c r="B428" s="25" t="s">
        <v>9</v>
      </c>
      <c r="C428" s="25" t="s">
        <v>18</v>
      </c>
      <c r="D428" s="25">
        <f t="shared" si="23"/>
        <v>0</v>
      </c>
      <c r="E428" s="25">
        <v>0</v>
      </c>
      <c r="F428" s="25">
        <v>0</v>
      </c>
      <c r="G428" s="25">
        <v>0</v>
      </c>
      <c r="H428" s="25">
        <v>0</v>
      </c>
      <c r="I428" s="25">
        <f t="shared" si="26"/>
        <v>0</v>
      </c>
    </row>
    <row r="429" spans="1:9" x14ac:dyDescent="0.3">
      <c r="A429" s="25">
        <v>2014</v>
      </c>
      <c r="B429" s="25" t="s">
        <v>9</v>
      </c>
      <c r="C429" s="25" t="s">
        <v>18</v>
      </c>
      <c r="D429" s="25">
        <f t="shared" si="23"/>
        <v>0</v>
      </c>
      <c r="E429" s="25">
        <v>0</v>
      </c>
      <c r="F429" s="25">
        <v>0</v>
      </c>
      <c r="G429" s="25">
        <v>0</v>
      </c>
      <c r="H429" s="25">
        <v>0</v>
      </c>
      <c r="I429" s="25">
        <f t="shared" si="26"/>
        <v>0</v>
      </c>
    </row>
    <row r="430" spans="1:9" x14ac:dyDescent="0.3">
      <c r="A430" s="25">
        <v>2015</v>
      </c>
      <c r="B430" s="25" t="s">
        <v>9</v>
      </c>
      <c r="C430" s="25" t="s">
        <v>18</v>
      </c>
      <c r="D430" s="25">
        <f t="shared" si="23"/>
        <v>0</v>
      </c>
      <c r="E430" s="25">
        <v>0</v>
      </c>
      <c r="F430" s="25">
        <v>0</v>
      </c>
      <c r="G430" s="25">
        <v>0</v>
      </c>
      <c r="H430" s="25">
        <v>0</v>
      </c>
      <c r="I430" s="25">
        <f t="shared" si="26"/>
        <v>0</v>
      </c>
    </row>
    <row r="431" spans="1:9" x14ac:dyDescent="0.3">
      <c r="A431" s="25">
        <v>2016</v>
      </c>
      <c r="B431" s="25" t="s">
        <v>9</v>
      </c>
      <c r="C431" s="25" t="s">
        <v>18</v>
      </c>
      <c r="D431" s="25">
        <f t="shared" si="23"/>
        <v>0</v>
      </c>
      <c r="E431" s="25">
        <v>0</v>
      </c>
      <c r="F431" s="25">
        <v>0</v>
      </c>
      <c r="G431" s="25">
        <v>0</v>
      </c>
      <c r="H431" s="25">
        <v>0</v>
      </c>
      <c r="I431" s="25">
        <f t="shared" si="26"/>
        <v>0</v>
      </c>
    </row>
    <row r="432" spans="1:9" x14ac:dyDescent="0.3">
      <c r="A432" s="25">
        <v>2017</v>
      </c>
      <c r="B432" s="25" t="s">
        <v>9</v>
      </c>
      <c r="C432" s="25" t="s">
        <v>18</v>
      </c>
      <c r="D432" s="25">
        <f t="shared" si="23"/>
        <v>0</v>
      </c>
      <c r="E432" s="25">
        <v>0</v>
      </c>
      <c r="F432" s="25">
        <v>0</v>
      </c>
      <c r="G432" s="25">
        <v>0</v>
      </c>
      <c r="H432" s="25">
        <v>0</v>
      </c>
      <c r="I432" s="25">
        <f t="shared" si="26"/>
        <v>0</v>
      </c>
    </row>
    <row r="433" spans="1:9" x14ac:dyDescent="0.3">
      <c r="A433" s="25">
        <v>2018</v>
      </c>
      <c r="B433" s="25" t="s">
        <v>9</v>
      </c>
      <c r="C433" s="25" t="s">
        <v>18</v>
      </c>
      <c r="D433" s="25">
        <f t="shared" si="23"/>
        <v>0</v>
      </c>
      <c r="E433" s="25">
        <v>0</v>
      </c>
      <c r="F433" s="25">
        <v>0</v>
      </c>
      <c r="G433" s="25">
        <v>0</v>
      </c>
      <c r="H433" s="25">
        <v>0</v>
      </c>
      <c r="I433" s="25">
        <f t="shared" si="26"/>
        <v>0</v>
      </c>
    </row>
    <row r="434" spans="1:9" x14ac:dyDescent="0.3">
      <c r="A434" s="25">
        <v>2019</v>
      </c>
      <c r="B434" s="25" t="s">
        <v>9</v>
      </c>
      <c r="C434" s="25" t="s">
        <v>18</v>
      </c>
      <c r="D434" s="25">
        <f t="shared" ref="D434:D436" si="27">G434+H434</f>
        <v>0</v>
      </c>
      <c r="E434" s="25">
        <v>0</v>
      </c>
      <c r="F434" s="25">
        <v>0</v>
      </c>
      <c r="G434" s="25">
        <v>0</v>
      </c>
      <c r="H434" s="25">
        <v>0</v>
      </c>
      <c r="I434" s="25">
        <v>0</v>
      </c>
    </row>
    <row r="435" spans="1:9" x14ac:dyDescent="0.3">
      <c r="A435" s="25">
        <v>2020</v>
      </c>
      <c r="B435" s="25" t="s">
        <v>9</v>
      </c>
      <c r="C435" s="25" t="s">
        <v>18</v>
      </c>
      <c r="D435" s="25">
        <f t="shared" si="27"/>
        <v>0</v>
      </c>
      <c r="E435" s="25">
        <v>0</v>
      </c>
      <c r="F435" s="25">
        <v>0</v>
      </c>
      <c r="G435" s="25">
        <v>0</v>
      </c>
      <c r="H435" s="25">
        <v>0</v>
      </c>
      <c r="I435" s="25">
        <f t="shared" ref="I435:I436" si="28">H435-E435</f>
        <v>0</v>
      </c>
    </row>
    <row r="436" spans="1:9" x14ac:dyDescent="0.3">
      <c r="A436" s="25">
        <v>2021</v>
      </c>
      <c r="B436" s="25" t="s">
        <v>9</v>
      </c>
      <c r="C436" s="25" t="s">
        <v>18</v>
      </c>
      <c r="D436" s="25">
        <f t="shared" si="27"/>
        <v>0</v>
      </c>
      <c r="E436" s="25">
        <v>0</v>
      </c>
      <c r="F436" s="25">
        <v>0</v>
      </c>
      <c r="G436" s="25">
        <v>0</v>
      </c>
      <c r="H436" s="25">
        <v>0</v>
      </c>
      <c r="I436" s="25">
        <f t="shared" si="28"/>
        <v>0</v>
      </c>
    </row>
    <row r="437" spans="1:9" x14ac:dyDescent="0.3">
      <c r="A437">
        <v>1993</v>
      </c>
      <c r="B437" t="s">
        <v>11</v>
      </c>
      <c r="C437" t="s">
        <v>18</v>
      </c>
      <c r="D437">
        <f t="shared" si="23"/>
        <v>0</v>
      </c>
      <c r="E437">
        <v>0</v>
      </c>
      <c r="F437">
        <v>0</v>
      </c>
      <c r="G437">
        <v>0</v>
      </c>
      <c r="H437">
        <v>0</v>
      </c>
      <c r="I437">
        <f t="shared" si="26"/>
        <v>0</v>
      </c>
    </row>
    <row r="438" spans="1:9" x14ac:dyDescent="0.3">
      <c r="A438">
        <v>1994</v>
      </c>
      <c r="B438" t="s">
        <v>11</v>
      </c>
      <c r="C438" t="s">
        <v>18</v>
      </c>
      <c r="D438">
        <f t="shared" si="23"/>
        <v>0</v>
      </c>
      <c r="E438">
        <v>0</v>
      </c>
      <c r="F438">
        <v>0</v>
      </c>
      <c r="G438">
        <v>0</v>
      </c>
      <c r="H438">
        <v>0</v>
      </c>
      <c r="I438">
        <f t="shared" si="26"/>
        <v>0</v>
      </c>
    </row>
    <row r="439" spans="1:9" x14ac:dyDescent="0.3">
      <c r="A439">
        <v>1995</v>
      </c>
      <c r="B439" t="s">
        <v>11</v>
      </c>
      <c r="C439" t="s">
        <v>18</v>
      </c>
      <c r="D439">
        <f t="shared" si="23"/>
        <v>0</v>
      </c>
      <c r="E439">
        <v>0</v>
      </c>
      <c r="F439">
        <v>0</v>
      </c>
      <c r="G439">
        <v>0</v>
      </c>
      <c r="H439">
        <v>0</v>
      </c>
      <c r="I439">
        <f t="shared" si="26"/>
        <v>0</v>
      </c>
    </row>
    <row r="440" spans="1:9" x14ac:dyDescent="0.3">
      <c r="A440">
        <v>1996</v>
      </c>
      <c r="B440" t="s">
        <v>11</v>
      </c>
      <c r="C440" t="s">
        <v>18</v>
      </c>
      <c r="D440">
        <f t="shared" si="23"/>
        <v>0</v>
      </c>
      <c r="E440">
        <v>0</v>
      </c>
      <c r="F440">
        <v>0</v>
      </c>
      <c r="G440">
        <v>0</v>
      </c>
      <c r="H440">
        <v>0</v>
      </c>
      <c r="I440">
        <f t="shared" si="26"/>
        <v>0</v>
      </c>
    </row>
    <row r="441" spans="1:9" x14ac:dyDescent="0.3">
      <c r="A441">
        <v>1997</v>
      </c>
      <c r="B441" t="s">
        <v>11</v>
      </c>
      <c r="C441" t="s">
        <v>18</v>
      </c>
      <c r="D441">
        <f t="shared" si="23"/>
        <v>0</v>
      </c>
      <c r="E441">
        <v>0</v>
      </c>
      <c r="F441">
        <v>0</v>
      </c>
      <c r="G441">
        <v>0</v>
      </c>
      <c r="H441">
        <v>0</v>
      </c>
      <c r="I441">
        <f t="shared" si="26"/>
        <v>0</v>
      </c>
    </row>
    <row r="442" spans="1:9" x14ac:dyDescent="0.3">
      <c r="A442">
        <v>1998</v>
      </c>
      <c r="B442" t="s">
        <v>11</v>
      </c>
      <c r="C442" t="s">
        <v>18</v>
      </c>
      <c r="D442">
        <f t="shared" si="23"/>
        <v>0</v>
      </c>
      <c r="E442">
        <v>0</v>
      </c>
      <c r="F442">
        <v>0</v>
      </c>
      <c r="G442">
        <v>0</v>
      </c>
      <c r="H442">
        <v>0</v>
      </c>
      <c r="I442">
        <f t="shared" si="26"/>
        <v>0</v>
      </c>
    </row>
    <row r="443" spans="1:9" x14ac:dyDescent="0.3">
      <c r="A443">
        <v>1999</v>
      </c>
      <c r="B443" t="s">
        <v>11</v>
      </c>
      <c r="C443" t="s">
        <v>18</v>
      </c>
      <c r="D443">
        <f t="shared" ref="D443:D462" si="29">G443+H443</f>
        <v>0</v>
      </c>
      <c r="E443">
        <v>0</v>
      </c>
      <c r="F443">
        <v>0</v>
      </c>
      <c r="G443">
        <v>0</v>
      </c>
      <c r="H443">
        <v>0</v>
      </c>
      <c r="I443">
        <f t="shared" si="26"/>
        <v>0</v>
      </c>
    </row>
    <row r="444" spans="1:9" x14ac:dyDescent="0.3">
      <c r="A444">
        <v>2000</v>
      </c>
      <c r="B444" t="s">
        <v>11</v>
      </c>
      <c r="C444" t="s">
        <v>18</v>
      </c>
      <c r="D444">
        <f t="shared" si="29"/>
        <v>0</v>
      </c>
      <c r="E444">
        <v>0</v>
      </c>
      <c r="F444">
        <v>0</v>
      </c>
      <c r="G444">
        <v>0</v>
      </c>
      <c r="H444">
        <v>0</v>
      </c>
      <c r="I444">
        <f t="shared" si="26"/>
        <v>0</v>
      </c>
    </row>
    <row r="445" spans="1:9" x14ac:dyDescent="0.3">
      <c r="A445">
        <v>2001</v>
      </c>
      <c r="B445" t="s">
        <v>11</v>
      </c>
      <c r="C445" t="s">
        <v>18</v>
      </c>
      <c r="D445">
        <f t="shared" si="29"/>
        <v>0</v>
      </c>
      <c r="E445">
        <v>0</v>
      </c>
      <c r="F445">
        <v>0</v>
      </c>
      <c r="G445">
        <v>0</v>
      </c>
      <c r="H445">
        <v>0</v>
      </c>
      <c r="I445">
        <f t="shared" si="26"/>
        <v>0</v>
      </c>
    </row>
    <row r="446" spans="1:9" x14ac:dyDescent="0.3">
      <c r="A446">
        <v>2002</v>
      </c>
      <c r="B446" t="s">
        <v>11</v>
      </c>
      <c r="C446" t="s">
        <v>18</v>
      </c>
      <c r="D446">
        <f t="shared" si="29"/>
        <v>0</v>
      </c>
      <c r="E446">
        <v>0</v>
      </c>
      <c r="F446">
        <v>0</v>
      </c>
      <c r="G446">
        <v>0</v>
      </c>
      <c r="H446">
        <v>0</v>
      </c>
      <c r="I446">
        <f t="shared" si="26"/>
        <v>0</v>
      </c>
    </row>
    <row r="447" spans="1:9" x14ac:dyDescent="0.3">
      <c r="A447">
        <v>2003</v>
      </c>
      <c r="B447" t="s">
        <v>11</v>
      </c>
      <c r="C447" t="s">
        <v>18</v>
      </c>
      <c r="D447">
        <f t="shared" si="29"/>
        <v>0</v>
      </c>
      <c r="E447">
        <v>0</v>
      </c>
      <c r="F447">
        <v>0</v>
      </c>
      <c r="G447">
        <v>0</v>
      </c>
      <c r="H447">
        <v>0</v>
      </c>
      <c r="I447">
        <f t="shared" si="26"/>
        <v>0</v>
      </c>
    </row>
    <row r="448" spans="1:9" x14ac:dyDescent="0.3">
      <c r="A448">
        <v>2004</v>
      </c>
      <c r="B448" t="s">
        <v>11</v>
      </c>
      <c r="C448" t="s">
        <v>18</v>
      </c>
      <c r="D448">
        <f t="shared" si="29"/>
        <v>0</v>
      </c>
      <c r="E448">
        <v>0</v>
      </c>
      <c r="F448">
        <v>0</v>
      </c>
      <c r="G448">
        <v>0</v>
      </c>
      <c r="H448">
        <v>0</v>
      </c>
      <c r="I448">
        <f t="shared" si="26"/>
        <v>0</v>
      </c>
    </row>
    <row r="449" spans="1:9" x14ac:dyDescent="0.3">
      <c r="A449">
        <v>2005</v>
      </c>
      <c r="B449" t="s">
        <v>11</v>
      </c>
      <c r="C449" t="s">
        <v>18</v>
      </c>
      <c r="D449">
        <f t="shared" si="29"/>
        <v>0</v>
      </c>
      <c r="E449">
        <v>0</v>
      </c>
      <c r="F449">
        <v>0</v>
      </c>
      <c r="G449">
        <v>0</v>
      </c>
      <c r="H449">
        <v>0</v>
      </c>
      <c r="I449">
        <f t="shared" si="26"/>
        <v>0</v>
      </c>
    </row>
    <row r="450" spans="1:9" x14ac:dyDescent="0.3">
      <c r="A450">
        <v>2006</v>
      </c>
      <c r="B450" t="s">
        <v>11</v>
      </c>
      <c r="C450" t="s">
        <v>18</v>
      </c>
      <c r="D450">
        <f t="shared" si="29"/>
        <v>0</v>
      </c>
      <c r="E450">
        <v>0</v>
      </c>
      <c r="F450">
        <v>0</v>
      </c>
      <c r="G450">
        <v>0</v>
      </c>
      <c r="H450">
        <v>0</v>
      </c>
      <c r="I450">
        <f t="shared" si="26"/>
        <v>0</v>
      </c>
    </row>
    <row r="451" spans="1:9" x14ac:dyDescent="0.3">
      <c r="A451">
        <v>2007</v>
      </c>
      <c r="B451" t="s">
        <v>11</v>
      </c>
      <c r="C451" t="s">
        <v>18</v>
      </c>
      <c r="D451">
        <f t="shared" si="29"/>
        <v>0</v>
      </c>
      <c r="E451">
        <v>0</v>
      </c>
      <c r="F451">
        <v>0</v>
      </c>
      <c r="G451">
        <v>0</v>
      </c>
      <c r="H451">
        <v>0</v>
      </c>
      <c r="I451">
        <f t="shared" si="26"/>
        <v>0</v>
      </c>
    </row>
    <row r="452" spans="1:9" x14ac:dyDescent="0.3">
      <c r="A452">
        <v>2008</v>
      </c>
      <c r="B452" t="s">
        <v>11</v>
      </c>
      <c r="C452" t="s">
        <v>18</v>
      </c>
      <c r="D452">
        <f t="shared" si="29"/>
        <v>0</v>
      </c>
      <c r="E452">
        <v>0</v>
      </c>
      <c r="F452">
        <v>0</v>
      </c>
      <c r="G452">
        <v>0</v>
      </c>
      <c r="H452">
        <v>0</v>
      </c>
      <c r="I452">
        <f t="shared" si="26"/>
        <v>0</v>
      </c>
    </row>
    <row r="453" spans="1:9" x14ac:dyDescent="0.3">
      <c r="A453">
        <v>2009</v>
      </c>
      <c r="B453" t="s">
        <v>11</v>
      </c>
      <c r="C453" t="s">
        <v>18</v>
      </c>
      <c r="D453">
        <f t="shared" si="29"/>
        <v>0</v>
      </c>
      <c r="E453">
        <v>0</v>
      </c>
      <c r="F453">
        <v>0</v>
      </c>
      <c r="G453">
        <v>0</v>
      </c>
      <c r="H453">
        <v>0</v>
      </c>
      <c r="I453">
        <f t="shared" si="26"/>
        <v>0</v>
      </c>
    </row>
    <row r="454" spans="1:9" x14ac:dyDescent="0.3">
      <c r="A454">
        <v>2010</v>
      </c>
      <c r="B454" t="s">
        <v>11</v>
      </c>
      <c r="C454" t="s">
        <v>18</v>
      </c>
      <c r="D454">
        <f t="shared" si="29"/>
        <v>1</v>
      </c>
      <c r="E454">
        <v>0</v>
      </c>
      <c r="F454">
        <v>0</v>
      </c>
      <c r="G454">
        <v>1</v>
      </c>
      <c r="H454">
        <v>0</v>
      </c>
      <c r="I454">
        <f t="shared" si="26"/>
        <v>0</v>
      </c>
    </row>
    <row r="455" spans="1:9" x14ac:dyDescent="0.3">
      <c r="A455">
        <v>2011</v>
      </c>
      <c r="B455" t="s">
        <v>11</v>
      </c>
      <c r="C455" t="s">
        <v>18</v>
      </c>
      <c r="D455">
        <f t="shared" si="29"/>
        <v>0</v>
      </c>
      <c r="E455">
        <v>0</v>
      </c>
      <c r="F455">
        <v>0</v>
      </c>
      <c r="G455">
        <v>0</v>
      </c>
      <c r="H455">
        <v>0</v>
      </c>
      <c r="I455">
        <f t="shared" si="26"/>
        <v>0</v>
      </c>
    </row>
    <row r="456" spans="1:9" x14ac:dyDescent="0.3">
      <c r="A456">
        <v>2012</v>
      </c>
      <c r="B456" t="s">
        <v>11</v>
      </c>
      <c r="C456" t="s">
        <v>18</v>
      </c>
      <c r="D456">
        <f t="shared" si="29"/>
        <v>0</v>
      </c>
      <c r="E456">
        <v>0</v>
      </c>
      <c r="F456">
        <v>0</v>
      </c>
      <c r="G456">
        <v>0</v>
      </c>
      <c r="H456">
        <v>0</v>
      </c>
      <c r="I456">
        <f t="shared" si="26"/>
        <v>0</v>
      </c>
    </row>
    <row r="457" spans="1:9" x14ac:dyDescent="0.3">
      <c r="A457">
        <v>2013</v>
      </c>
      <c r="B457" t="s">
        <v>11</v>
      </c>
      <c r="C457" t="s">
        <v>18</v>
      </c>
      <c r="D457">
        <f t="shared" si="29"/>
        <v>0</v>
      </c>
      <c r="E457">
        <v>0</v>
      </c>
      <c r="F457">
        <v>0</v>
      </c>
      <c r="G457">
        <v>0</v>
      </c>
      <c r="H457">
        <v>0</v>
      </c>
      <c r="I457">
        <f t="shared" si="26"/>
        <v>0</v>
      </c>
    </row>
    <row r="458" spans="1:9" x14ac:dyDescent="0.3">
      <c r="A458">
        <v>2014</v>
      </c>
      <c r="B458" t="s">
        <v>11</v>
      </c>
      <c r="C458" t="s">
        <v>18</v>
      </c>
      <c r="D458">
        <f t="shared" si="29"/>
        <v>0</v>
      </c>
      <c r="E458">
        <v>0</v>
      </c>
      <c r="F458">
        <v>0</v>
      </c>
      <c r="G458">
        <v>0</v>
      </c>
      <c r="H458">
        <v>0</v>
      </c>
      <c r="I458">
        <f t="shared" si="26"/>
        <v>0</v>
      </c>
    </row>
    <row r="459" spans="1:9" x14ac:dyDescent="0.3">
      <c r="A459">
        <v>2015</v>
      </c>
      <c r="B459" t="s">
        <v>11</v>
      </c>
      <c r="C459" t="s">
        <v>18</v>
      </c>
      <c r="D459">
        <f t="shared" si="29"/>
        <v>0</v>
      </c>
      <c r="E459">
        <v>0</v>
      </c>
      <c r="F459">
        <v>0</v>
      </c>
      <c r="G459">
        <v>0</v>
      </c>
      <c r="H459">
        <v>0</v>
      </c>
      <c r="I459">
        <f t="shared" si="26"/>
        <v>0</v>
      </c>
    </row>
    <row r="460" spans="1:9" x14ac:dyDescent="0.3">
      <c r="A460">
        <v>2016</v>
      </c>
      <c r="B460" t="s">
        <v>11</v>
      </c>
      <c r="C460" t="s">
        <v>18</v>
      </c>
      <c r="D460">
        <f t="shared" si="29"/>
        <v>0</v>
      </c>
      <c r="E460">
        <v>0</v>
      </c>
      <c r="F460">
        <v>0</v>
      </c>
      <c r="G460">
        <v>0</v>
      </c>
      <c r="H460">
        <v>0</v>
      </c>
      <c r="I460">
        <f t="shared" si="26"/>
        <v>0</v>
      </c>
    </row>
    <row r="461" spans="1:9" x14ac:dyDescent="0.3">
      <c r="A461">
        <v>2017</v>
      </c>
      <c r="B461" t="s">
        <v>11</v>
      </c>
      <c r="C461" t="s">
        <v>18</v>
      </c>
      <c r="D461">
        <f t="shared" si="29"/>
        <v>0</v>
      </c>
      <c r="E461">
        <v>0</v>
      </c>
      <c r="F461">
        <v>0</v>
      </c>
      <c r="G461">
        <v>0</v>
      </c>
      <c r="H461">
        <v>0</v>
      </c>
      <c r="I461">
        <f t="shared" si="26"/>
        <v>0</v>
      </c>
    </row>
    <row r="462" spans="1:9" x14ac:dyDescent="0.3">
      <c r="A462">
        <v>2018</v>
      </c>
      <c r="B462" t="s">
        <v>11</v>
      </c>
      <c r="C462" t="s">
        <v>18</v>
      </c>
      <c r="D462">
        <f t="shared" si="29"/>
        <v>0</v>
      </c>
      <c r="E462">
        <v>0</v>
      </c>
      <c r="F462">
        <v>0</v>
      </c>
      <c r="G462">
        <v>0</v>
      </c>
      <c r="H462">
        <v>0</v>
      </c>
      <c r="I462">
        <f t="shared" si="26"/>
        <v>0</v>
      </c>
    </row>
    <row r="463" spans="1:9" x14ac:dyDescent="0.3">
      <c r="A463">
        <v>2019</v>
      </c>
      <c r="B463" t="s">
        <v>11</v>
      </c>
      <c r="C463" t="s">
        <v>18</v>
      </c>
      <c r="D463">
        <f t="shared" ref="D463:D465" si="30">G463+H463</f>
        <v>0</v>
      </c>
      <c r="E463">
        <v>0</v>
      </c>
      <c r="F463">
        <v>0</v>
      </c>
      <c r="G463">
        <v>0</v>
      </c>
      <c r="H463">
        <v>0</v>
      </c>
      <c r="I463">
        <f t="shared" si="26"/>
        <v>0</v>
      </c>
    </row>
    <row r="464" spans="1:9" x14ac:dyDescent="0.3">
      <c r="A464">
        <v>2020</v>
      </c>
      <c r="B464" t="s">
        <v>11</v>
      </c>
      <c r="C464" t="s">
        <v>18</v>
      </c>
      <c r="D464">
        <f t="shared" si="30"/>
        <v>0</v>
      </c>
      <c r="E464">
        <v>0</v>
      </c>
      <c r="F464">
        <v>0</v>
      </c>
      <c r="G464">
        <v>0</v>
      </c>
      <c r="H464">
        <v>0</v>
      </c>
      <c r="I464">
        <f t="shared" ref="I464:I465" si="31">H464-E464</f>
        <v>0</v>
      </c>
    </row>
    <row r="465" spans="1:9" x14ac:dyDescent="0.3">
      <c r="A465">
        <v>2021</v>
      </c>
      <c r="B465" t="s">
        <v>11</v>
      </c>
      <c r="C465" t="s">
        <v>18</v>
      </c>
      <c r="D465">
        <f t="shared" si="30"/>
        <v>0</v>
      </c>
      <c r="E465">
        <v>0</v>
      </c>
      <c r="F465">
        <v>0</v>
      </c>
      <c r="G465">
        <v>0</v>
      </c>
      <c r="H465">
        <v>0</v>
      </c>
      <c r="I465">
        <f t="shared" si="3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A511F-C92E-4628-B389-54DB16826878}">
  <sheetPr filterMode="1"/>
  <dimension ref="A1:AK481"/>
  <sheetViews>
    <sheetView tabSelected="1" zoomScale="80" zoomScaleNormal="80" workbookViewId="0">
      <pane ySplit="1" topLeftCell="A212" activePane="bottomLeft" state="frozen"/>
      <selection pane="bottomLeft" activeCell="J421" sqref="J421:K421"/>
    </sheetView>
  </sheetViews>
  <sheetFormatPr defaultRowHeight="14.4" x14ac:dyDescent="0.3"/>
  <cols>
    <col min="1" max="1" width="10.77734375" customWidth="1"/>
    <col min="13" max="13" width="8.5546875" customWidth="1"/>
    <col min="20" max="20" width="11.77734375" customWidth="1"/>
    <col min="23" max="23" width="10.44140625" style="23" bestFit="1" customWidth="1"/>
    <col min="29" max="29" width="10.77734375" customWidth="1"/>
  </cols>
  <sheetData>
    <row r="1" spans="1:37" s="17" customFormat="1" ht="43.2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61</v>
      </c>
      <c r="K1" s="17" t="s">
        <v>60</v>
      </c>
      <c r="L1" s="17" t="s">
        <v>59</v>
      </c>
      <c r="M1" s="17" t="s">
        <v>58</v>
      </c>
      <c r="N1" s="17" t="s">
        <v>57</v>
      </c>
      <c r="O1" s="17" t="s">
        <v>56</v>
      </c>
      <c r="P1" s="17" t="s">
        <v>55</v>
      </c>
      <c r="Q1" s="17" t="s">
        <v>54</v>
      </c>
      <c r="R1" s="17" t="s">
        <v>53</v>
      </c>
      <c r="S1" s="17" t="s">
        <v>52</v>
      </c>
      <c r="T1" s="17" t="s">
        <v>51</v>
      </c>
      <c r="U1" s="17" t="s">
        <v>50</v>
      </c>
      <c r="V1" s="17" t="s">
        <v>49</v>
      </c>
      <c r="W1" s="22" t="s">
        <v>48</v>
      </c>
      <c r="X1" s="17" t="s">
        <v>47</v>
      </c>
      <c r="Y1" s="17" t="s">
        <v>46</v>
      </c>
      <c r="Z1" s="17" t="s">
        <v>45</v>
      </c>
      <c r="AA1" s="17" t="s">
        <v>44</v>
      </c>
      <c r="AB1" s="17" t="s">
        <v>43</v>
      </c>
      <c r="AC1" s="17" t="s">
        <v>42</v>
      </c>
      <c r="AD1" s="17" t="s">
        <v>41</v>
      </c>
      <c r="AE1" s="17" t="s">
        <v>40</v>
      </c>
      <c r="AF1" s="17" t="s">
        <v>39</v>
      </c>
      <c r="AG1" s="17" t="s">
        <v>38</v>
      </c>
    </row>
    <row r="2" spans="1:37" hidden="1" x14ac:dyDescent="0.3">
      <c r="A2" s="25">
        <v>1993</v>
      </c>
      <c r="B2" s="25" t="s">
        <v>9</v>
      </c>
      <c r="C2" s="25" t="s">
        <v>10</v>
      </c>
      <c r="D2" s="25">
        <f>G2+H2</f>
        <v>45</v>
      </c>
      <c r="E2" s="25">
        <v>0</v>
      </c>
      <c r="F2" s="25">
        <v>39</v>
      </c>
      <c r="G2" s="25">
        <f>39+6</f>
        <v>45</v>
      </c>
      <c r="H2" s="25">
        <v>0</v>
      </c>
      <c r="I2" s="25">
        <f>H2-E2</f>
        <v>0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5"/>
      <c r="AA2" s="25"/>
      <c r="AB2" s="25"/>
      <c r="AC2" s="25"/>
      <c r="AD2" s="25"/>
      <c r="AE2" s="25"/>
      <c r="AF2" s="25"/>
      <c r="AG2" s="25"/>
      <c r="AJ2" s="16"/>
      <c r="AK2" t="s">
        <v>98</v>
      </c>
    </row>
    <row r="3" spans="1:37" hidden="1" x14ac:dyDescent="0.3">
      <c r="A3" s="25">
        <v>1994</v>
      </c>
      <c r="B3" s="25" t="s">
        <v>9</v>
      </c>
      <c r="C3" s="25" t="s">
        <v>10</v>
      </c>
      <c r="D3" s="25">
        <f t="shared" ref="D3:D72" si="0">G3+H3</f>
        <v>0</v>
      </c>
      <c r="E3" s="25">
        <v>0</v>
      </c>
      <c r="F3" s="25">
        <v>0</v>
      </c>
      <c r="G3" s="25">
        <v>0</v>
      </c>
      <c r="H3" s="25">
        <v>0</v>
      </c>
      <c r="I3" s="25">
        <f t="shared" ref="I3:I72" si="1">H3-E3</f>
        <v>0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6"/>
      <c r="X3" s="25"/>
      <c r="Y3" s="25"/>
      <c r="Z3" s="25"/>
      <c r="AA3" s="25"/>
      <c r="AB3" s="25"/>
      <c r="AC3" s="25"/>
      <c r="AD3" s="25"/>
      <c r="AE3" s="25"/>
      <c r="AF3" s="25"/>
      <c r="AG3" s="25"/>
    </row>
    <row r="4" spans="1:37" hidden="1" x14ac:dyDescent="0.3">
      <c r="A4" s="25">
        <v>1995</v>
      </c>
      <c r="B4" s="25" t="s">
        <v>9</v>
      </c>
      <c r="C4" s="25" t="s">
        <v>10</v>
      </c>
      <c r="D4" s="25">
        <f t="shared" si="0"/>
        <v>0</v>
      </c>
      <c r="E4" s="25">
        <v>0</v>
      </c>
      <c r="F4" s="25">
        <v>0</v>
      </c>
      <c r="G4" s="25">
        <v>0</v>
      </c>
      <c r="H4" s="25">
        <v>0</v>
      </c>
      <c r="I4" s="25">
        <f t="shared" si="1"/>
        <v>0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6"/>
      <c r="X4" s="25"/>
      <c r="Y4" s="25"/>
      <c r="Z4" s="25"/>
      <c r="AA4" s="25"/>
      <c r="AB4" s="25"/>
      <c r="AC4" s="25"/>
      <c r="AD4" s="25"/>
      <c r="AE4" s="25"/>
      <c r="AF4" s="25"/>
      <c r="AG4" s="25"/>
    </row>
    <row r="5" spans="1:37" hidden="1" x14ac:dyDescent="0.3">
      <c r="A5" s="25">
        <v>1996</v>
      </c>
      <c r="B5" s="25" t="s">
        <v>9</v>
      </c>
      <c r="C5" s="25" t="s">
        <v>10</v>
      </c>
      <c r="D5" s="25">
        <f t="shared" si="0"/>
        <v>0</v>
      </c>
      <c r="E5" s="25">
        <v>0</v>
      </c>
      <c r="F5" s="25">
        <v>0</v>
      </c>
      <c r="G5" s="25">
        <v>0</v>
      </c>
      <c r="H5" s="25">
        <v>0</v>
      </c>
      <c r="I5" s="25">
        <f t="shared" si="1"/>
        <v>0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6"/>
      <c r="X5" s="25"/>
      <c r="Y5" s="25"/>
      <c r="Z5" s="25"/>
      <c r="AA5" s="25"/>
      <c r="AB5" s="25"/>
      <c r="AC5" s="25"/>
      <c r="AD5" s="25"/>
      <c r="AE5" s="25"/>
      <c r="AF5" s="25"/>
      <c r="AG5" s="25"/>
    </row>
    <row r="6" spans="1:37" hidden="1" x14ac:dyDescent="0.3">
      <c r="A6" s="25">
        <v>1997</v>
      </c>
      <c r="B6" s="25" t="s">
        <v>9</v>
      </c>
      <c r="C6" s="25" t="s">
        <v>10</v>
      </c>
      <c r="D6" s="25">
        <f t="shared" si="0"/>
        <v>19</v>
      </c>
      <c r="E6" s="25">
        <v>0</v>
      </c>
      <c r="F6" s="25">
        <v>19</v>
      </c>
      <c r="G6" s="25">
        <v>19</v>
      </c>
      <c r="H6" s="25">
        <v>0</v>
      </c>
      <c r="I6" s="25">
        <f t="shared" si="1"/>
        <v>0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6"/>
      <c r="X6" s="25"/>
      <c r="Y6" s="25"/>
      <c r="Z6" s="25"/>
      <c r="AA6" s="25"/>
      <c r="AB6" s="25"/>
      <c r="AC6" s="25"/>
      <c r="AD6" s="25"/>
      <c r="AE6" s="25"/>
      <c r="AF6" s="25"/>
      <c r="AG6" s="25"/>
    </row>
    <row r="7" spans="1:37" hidden="1" x14ac:dyDescent="0.3">
      <c r="A7" s="25">
        <v>1998</v>
      </c>
      <c r="B7" s="25" t="s">
        <v>9</v>
      </c>
      <c r="C7" s="25" t="s">
        <v>10</v>
      </c>
      <c r="D7" s="25">
        <f t="shared" si="0"/>
        <v>0</v>
      </c>
      <c r="E7" s="25">
        <v>0</v>
      </c>
      <c r="F7" s="25">
        <v>0</v>
      </c>
      <c r="G7" s="25">
        <v>0</v>
      </c>
      <c r="H7" s="25">
        <v>0</v>
      </c>
      <c r="I7" s="25">
        <f t="shared" si="1"/>
        <v>0</v>
      </c>
      <c r="J7" s="25"/>
      <c r="K7" s="25"/>
      <c r="L7" s="25">
        <f>AVERAGE(J$24,J$27)</f>
        <v>0.11678004535147392</v>
      </c>
      <c r="M7" s="25">
        <v>1.16113089852245E-3</v>
      </c>
      <c r="N7" s="25"/>
      <c r="O7" s="25"/>
      <c r="P7" s="25">
        <f t="shared" ref="P7:P28" si="2">AVERAGE(N$24,N$27)</f>
        <v>0.50321239606953894</v>
      </c>
      <c r="Q7" s="25">
        <v>4.4435038070794498E-3</v>
      </c>
      <c r="R7" s="25"/>
      <c r="S7" s="25"/>
      <c r="T7" s="25">
        <f t="shared" ref="T7:T26" si="3">AVERAGE(R$24,R$27)</f>
        <v>0.85865457294028724</v>
      </c>
      <c r="U7" s="25">
        <v>1.5055577019235E-3</v>
      </c>
      <c r="V7" s="25"/>
      <c r="W7" s="26"/>
      <c r="X7" s="25">
        <f t="shared" ref="X7:X28" si="4">AVERAGE(V$24,V$27)</f>
        <v>0.14134542705971276</v>
      </c>
      <c r="Y7" s="25">
        <v>1.4979561823443501E-3</v>
      </c>
      <c r="Z7" s="25"/>
      <c r="AA7" s="25"/>
      <c r="AB7" s="25"/>
      <c r="AC7" s="25"/>
      <c r="AD7" s="25"/>
      <c r="AE7" s="25"/>
      <c r="AF7" s="25"/>
      <c r="AG7" s="25"/>
    </row>
    <row r="8" spans="1:37" hidden="1" x14ac:dyDescent="0.3">
      <c r="A8" s="25">
        <v>1999</v>
      </c>
      <c r="B8" s="25" t="s">
        <v>9</v>
      </c>
      <c r="C8" s="25" t="s">
        <v>10</v>
      </c>
      <c r="D8" s="25">
        <f t="shared" si="0"/>
        <v>10</v>
      </c>
      <c r="E8" s="25">
        <v>0</v>
      </c>
      <c r="F8" s="25">
        <v>10</v>
      </c>
      <c r="G8" s="25">
        <v>10</v>
      </c>
      <c r="H8" s="25">
        <v>0</v>
      </c>
      <c r="I8" s="25">
        <f t="shared" si="1"/>
        <v>0</v>
      </c>
      <c r="J8" s="25"/>
      <c r="K8" s="25"/>
      <c r="L8" s="25">
        <f t="shared" ref="L8:L26" si="5">AVERAGE(J$24,J$27)</f>
        <v>0.11678004535147392</v>
      </c>
      <c r="M8" s="25">
        <v>1.16113089852245E-3</v>
      </c>
      <c r="N8" s="25"/>
      <c r="O8" s="25"/>
      <c r="P8" s="25">
        <f t="shared" si="2"/>
        <v>0.50321239606953894</v>
      </c>
      <c r="Q8" s="25">
        <v>4.4435038070794498E-3</v>
      </c>
      <c r="R8" s="25"/>
      <c r="S8" s="25"/>
      <c r="T8" s="25">
        <f>AVERAGE(R$24,R$27)</f>
        <v>0.85865457294028724</v>
      </c>
      <c r="U8" s="25">
        <v>1.5055577019235E-3</v>
      </c>
      <c r="V8" s="25"/>
      <c r="W8" s="26"/>
      <c r="X8" s="25">
        <f t="shared" si="4"/>
        <v>0.14134542705971276</v>
      </c>
      <c r="Y8" s="25">
        <v>1.4979561823443501E-3</v>
      </c>
      <c r="Z8" s="25"/>
      <c r="AA8" s="25"/>
      <c r="AB8" s="25"/>
      <c r="AC8" s="25"/>
      <c r="AD8" s="25"/>
      <c r="AE8" s="25"/>
      <c r="AF8" s="25"/>
      <c r="AG8" s="25"/>
    </row>
    <row r="9" spans="1:37" hidden="1" x14ac:dyDescent="0.3">
      <c r="A9" s="25">
        <v>2000</v>
      </c>
      <c r="B9" s="25" t="s">
        <v>9</v>
      </c>
      <c r="C9" s="25" t="s">
        <v>10</v>
      </c>
      <c r="D9" s="25">
        <f t="shared" si="0"/>
        <v>0</v>
      </c>
      <c r="E9" s="25">
        <v>0</v>
      </c>
      <c r="F9" s="25">
        <v>0</v>
      </c>
      <c r="G9" s="25">
        <v>0</v>
      </c>
      <c r="H9" s="25">
        <v>0</v>
      </c>
      <c r="I9" s="25">
        <f t="shared" si="1"/>
        <v>0</v>
      </c>
      <c r="J9" s="25"/>
      <c r="K9" s="25"/>
      <c r="L9" s="25">
        <f t="shared" si="5"/>
        <v>0.11678004535147392</v>
      </c>
      <c r="M9" s="25">
        <v>1.16113089852245E-3</v>
      </c>
      <c r="N9" s="25"/>
      <c r="O9" s="25"/>
      <c r="P9" s="25">
        <f t="shared" si="2"/>
        <v>0.50321239606953894</v>
      </c>
      <c r="Q9" s="25">
        <v>4.4435038070794498E-3</v>
      </c>
      <c r="R9" s="25"/>
      <c r="S9" s="25"/>
      <c r="T9" s="25">
        <f t="shared" si="3"/>
        <v>0.85865457294028724</v>
      </c>
      <c r="U9" s="25">
        <v>1.5055577019235E-3</v>
      </c>
      <c r="V9" s="25"/>
      <c r="W9" s="26"/>
      <c r="X9" s="25">
        <f t="shared" si="4"/>
        <v>0.14134542705971276</v>
      </c>
      <c r="Y9" s="25">
        <v>1.4979561823443501E-3</v>
      </c>
      <c r="Z9" s="25"/>
      <c r="AA9" s="25"/>
      <c r="AB9" s="25"/>
      <c r="AC9" s="25"/>
      <c r="AD9" s="25"/>
      <c r="AE9" s="25"/>
      <c r="AF9" s="25"/>
      <c r="AG9" s="25"/>
    </row>
    <row r="10" spans="1:37" hidden="1" x14ac:dyDescent="0.3">
      <c r="A10" s="25">
        <v>2001</v>
      </c>
      <c r="B10" s="25" t="s">
        <v>9</v>
      </c>
      <c r="C10" s="25" t="s">
        <v>10</v>
      </c>
      <c r="D10" s="25">
        <f t="shared" si="0"/>
        <v>0</v>
      </c>
      <c r="E10" s="25">
        <v>0</v>
      </c>
      <c r="F10" s="25">
        <v>0</v>
      </c>
      <c r="G10" s="25">
        <v>0</v>
      </c>
      <c r="H10" s="25">
        <v>0</v>
      </c>
      <c r="I10" s="25">
        <f t="shared" si="1"/>
        <v>0</v>
      </c>
      <c r="J10" s="25"/>
      <c r="K10" s="25"/>
      <c r="L10" s="25">
        <f t="shared" si="5"/>
        <v>0.11678004535147392</v>
      </c>
      <c r="M10" s="25">
        <v>1.16113089852245E-3</v>
      </c>
      <c r="N10" s="25"/>
      <c r="O10" s="25"/>
      <c r="P10" s="25">
        <f t="shared" si="2"/>
        <v>0.50321239606953894</v>
      </c>
      <c r="Q10" s="25">
        <v>4.4435038070794498E-3</v>
      </c>
      <c r="R10" s="25"/>
      <c r="S10" s="25"/>
      <c r="T10" s="25">
        <f t="shared" si="3"/>
        <v>0.85865457294028724</v>
      </c>
      <c r="U10" s="25">
        <v>1.5055577019235E-3</v>
      </c>
      <c r="V10" s="25"/>
      <c r="W10" s="26"/>
      <c r="X10" s="25">
        <f t="shared" si="4"/>
        <v>0.14134542705971276</v>
      </c>
      <c r="Y10" s="25">
        <v>1.4979561823443501E-3</v>
      </c>
      <c r="Z10" s="25"/>
      <c r="AA10" s="25"/>
      <c r="AB10" s="25"/>
      <c r="AC10" s="25"/>
      <c r="AD10" s="25"/>
      <c r="AE10" s="25"/>
      <c r="AF10" s="25"/>
      <c r="AG10" s="25"/>
    </row>
    <row r="11" spans="1:37" hidden="1" x14ac:dyDescent="0.3">
      <c r="A11" s="25">
        <v>2002</v>
      </c>
      <c r="B11" s="25" t="s">
        <v>9</v>
      </c>
      <c r="C11" s="25" t="s">
        <v>10</v>
      </c>
      <c r="D11" s="25">
        <f t="shared" si="0"/>
        <v>3</v>
      </c>
      <c r="E11" s="25">
        <v>0</v>
      </c>
      <c r="F11" s="25">
        <v>0</v>
      </c>
      <c r="G11" s="25">
        <v>3</v>
      </c>
      <c r="H11" s="25">
        <v>0</v>
      </c>
      <c r="I11" s="25">
        <f t="shared" si="1"/>
        <v>0</v>
      </c>
      <c r="J11" s="25"/>
      <c r="K11" s="25"/>
      <c r="L11" s="25">
        <f t="shared" si="5"/>
        <v>0.11678004535147392</v>
      </c>
      <c r="M11" s="25">
        <v>1.16113089852245E-3</v>
      </c>
      <c r="N11" s="25"/>
      <c r="O11" s="25"/>
      <c r="P11" s="25">
        <f t="shared" si="2"/>
        <v>0.50321239606953894</v>
      </c>
      <c r="Q11" s="25">
        <v>4.4435038070794498E-3</v>
      </c>
      <c r="R11" s="25"/>
      <c r="S11" s="25"/>
      <c r="T11" s="25">
        <f t="shared" si="3"/>
        <v>0.85865457294028724</v>
      </c>
      <c r="U11" s="25">
        <v>1.5055577019235E-3</v>
      </c>
      <c r="V11" s="25"/>
      <c r="W11" s="26"/>
      <c r="X11" s="25">
        <f t="shared" si="4"/>
        <v>0.14134542705971276</v>
      </c>
      <c r="Y11" s="25">
        <v>1.4979561823443501E-3</v>
      </c>
      <c r="Z11" s="25"/>
      <c r="AA11" s="25"/>
      <c r="AB11" s="25"/>
      <c r="AC11" s="25"/>
      <c r="AD11" s="25"/>
      <c r="AE11" s="25"/>
      <c r="AF11" s="25"/>
      <c r="AG11" s="25"/>
    </row>
    <row r="12" spans="1:37" hidden="1" x14ac:dyDescent="0.3">
      <c r="A12" s="25">
        <v>2003</v>
      </c>
      <c r="B12" s="25" t="s">
        <v>9</v>
      </c>
      <c r="C12" s="25" t="s">
        <v>10</v>
      </c>
      <c r="D12" s="25">
        <f t="shared" si="0"/>
        <v>9</v>
      </c>
      <c r="E12" s="25">
        <v>0</v>
      </c>
      <c r="F12" s="25">
        <v>9</v>
      </c>
      <c r="G12" s="25">
        <v>9</v>
      </c>
      <c r="H12" s="25">
        <v>0</v>
      </c>
      <c r="I12" s="25">
        <f t="shared" si="1"/>
        <v>0</v>
      </c>
      <c r="J12" s="25"/>
      <c r="K12" s="25"/>
      <c r="L12" s="25">
        <f t="shared" si="5"/>
        <v>0.11678004535147392</v>
      </c>
      <c r="M12" s="25">
        <v>1.16113089852245E-3</v>
      </c>
      <c r="N12" s="25"/>
      <c r="O12" s="25"/>
      <c r="P12" s="25">
        <f t="shared" si="2"/>
        <v>0.50321239606953894</v>
      </c>
      <c r="Q12" s="25">
        <v>4.4435038070794498E-3</v>
      </c>
      <c r="R12" s="25"/>
      <c r="S12" s="25"/>
      <c r="T12" s="25">
        <f t="shared" si="3"/>
        <v>0.85865457294028724</v>
      </c>
      <c r="U12" s="25">
        <v>1.5055577019235E-3</v>
      </c>
      <c r="V12" s="25"/>
      <c r="W12" s="26"/>
      <c r="X12" s="25">
        <f t="shared" si="4"/>
        <v>0.14134542705971276</v>
      </c>
      <c r="Y12" s="25">
        <v>1.4979561823443501E-3</v>
      </c>
      <c r="Z12" s="25"/>
      <c r="AA12" s="25"/>
      <c r="AB12" s="25"/>
      <c r="AC12" s="25"/>
      <c r="AD12" s="25"/>
      <c r="AE12" s="25"/>
      <c r="AF12" s="25"/>
      <c r="AG12" s="25"/>
    </row>
    <row r="13" spans="1:37" hidden="1" x14ac:dyDescent="0.3">
      <c r="A13" s="25">
        <v>2004</v>
      </c>
      <c r="B13" s="25" t="s">
        <v>9</v>
      </c>
      <c r="C13" s="25" t="s">
        <v>10</v>
      </c>
      <c r="D13" s="25">
        <f t="shared" si="0"/>
        <v>0</v>
      </c>
      <c r="E13" s="25">
        <v>0</v>
      </c>
      <c r="F13" s="25">
        <v>0</v>
      </c>
      <c r="G13" s="25">
        <v>0</v>
      </c>
      <c r="H13" s="25">
        <v>0</v>
      </c>
      <c r="I13" s="25">
        <f t="shared" si="1"/>
        <v>0</v>
      </c>
      <c r="J13" s="25"/>
      <c r="K13" s="25"/>
      <c r="L13" s="25">
        <f t="shared" si="5"/>
        <v>0.11678004535147392</v>
      </c>
      <c r="M13" s="25">
        <v>1.16113089852245E-3</v>
      </c>
      <c r="N13" s="25"/>
      <c r="O13" s="25"/>
      <c r="P13" s="25">
        <f t="shared" si="2"/>
        <v>0.50321239606953894</v>
      </c>
      <c r="Q13" s="25">
        <v>4.4435038070794498E-3</v>
      </c>
      <c r="R13" s="25"/>
      <c r="S13" s="25"/>
      <c r="T13" s="25">
        <f t="shared" si="3"/>
        <v>0.85865457294028724</v>
      </c>
      <c r="U13" s="25">
        <v>1.5055577019235E-3</v>
      </c>
      <c r="V13" s="25"/>
      <c r="W13" s="26"/>
      <c r="X13" s="25">
        <f t="shared" si="4"/>
        <v>0.14134542705971276</v>
      </c>
      <c r="Y13" s="25">
        <v>1.4979561823443501E-3</v>
      </c>
      <c r="Z13" s="25"/>
      <c r="AA13" s="25"/>
      <c r="AB13" s="25"/>
      <c r="AC13" s="25"/>
      <c r="AD13" s="25"/>
      <c r="AE13" s="25"/>
      <c r="AF13" s="25"/>
      <c r="AG13" s="25"/>
    </row>
    <row r="14" spans="1:37" hidden="1" x14ac:dyDescent="0.3">
      <c r="A14" s="25">
        <v>2005</v>
      </c>
      <c r="B14" s="25" t="s">
        <v>9</v>
      </c>
      <c r="C14" s="25" t="s">
        <v>10</v>
      </c>
      <c r="D14" s="25">
        <f t="shared" si="0"/>
        <v>0</v>
      </c>
      <c r="E14" s="25">
        <v>0</v>
      </c>
      <c r="F14" s="25">
        <v>0</v>
      </c>
      <c r="G14" s="25">
        <v>0</v>
      </c>
      <c r="H14" s="25">
        <v>0</v>
      </c>
      <c r="I14" s="25">
        <f t="shared" si="1"/>
        <v>0</v>
      </c>
      <c r="J14" s="25"/>
      <c r="K14" s="25"/>
      <c r="L14" s="25">
        <f t="shared" si="5"/>
        <v>0.11678004535147392</v>
      </c>
      <c r="M14" s="25">
        <v>1.16113089852245E-3</v>
      </c>
      <c r="N14" s="25"/>
      <c r="O14" s="25"/>
      <c r="P14" s="25">
        <f t="shared" si="2"/>
        <v>0.50321239606953894</v>
      </c>
      <c r="Q14" s="25">
        <v>4.4435038070794498E-3</v>
      </c>
      <c r="R14" s="25"/>
      <c r="S14" s="25"/>
      <c r="T14" s="25">
        <f t="shared" si="3"/>
        <v>0.85865457294028724</v>
      </c>
      <c r="U14" s="25">
        <v>1.5055577019235E-3</v>
      </c>
      <c r="V14" s="25"/>
      <c r="W14" s="26"/>
      <c r="X14" s="25">
        <f t="shared" si="4"/>
        <v>0.14134542705971276</v>
      </c>
      <c r="Y14" s="25">
        <v>1.4979561823443501E-3</v>
      </c>
      <c r="Z14" s="25"/>
      <c r="AA14" s="25"/>
      <c r="AB14" s="25"/>
      <c r="AC14" s="25"/>
      <c r="AD14" s="25"/>
      <c r="AE14" s="25"/>
      <c r="AF14" s="25"/>
      <c r="AG14" s="25"/>
    </row>
    <row r="15" spans="1:37" hidden="1" x14ac:dyDescent="0.3">
      <c r="A15" s="25">
        <v>2006</v>
      </c>
      <c r="B15" s="25" t="s">
        <v>9</v>
      </c>
      <c r="C15" s="25" t="s">
        <v>10</v>
      </c>
      <c r="D15" s="25">
        <f t="shared" si="0"/>
        <v>0</v>
      </c>
      <c r="E15" s="25">
        <v>0</v>
      </c>
      <c r="F15" s="25">
        <v>0</v>
      </c>
      <c r="G15" s="25">
        <v>0</v>
      </c>
      <c r="H15" s="25">
        <v>0</v>
      </c>
      <c r="I15" s="25">
        <f t="shared" si="1"/>
        <v>0</v>
      </c>
      <c r="J15" s="25"/>
      <c r="K15" s="25"/>
      <c r="L15" s="25">
        <f t="shared" si="5"/>
        <v>0.11678004535147392</v>
      </c>
      <c r="M15" s="25">
        <v>1.16113089852245E-3</v>
      </c>
      <c r="N15" s="25"/>
      <c r="O15" s="25"/>
      <c r="P15" s="25">
        <f t="shared" si="2"/>
        <v>0.50321239606953894</v>
      </c>
      <c r="Q15" s="25">
        <v>4.4435038070794498E-3</v>
      </c>
      <c r="R15" s="25"/>
      <c r="S15" s="25"/>
      <c r="T15" s="25">
        <f t="shared" si="3"/>
        <v>0.85865457294028724</v>
      </c>
      <c r="U15" s="25">
        <v>1.5055577019235E-3</v>
      </c>
      <c r="V15" s="25"/>
      <c r="W15" s="26"/>
      <c r="X15" s="25">
        <f t="shared" si="4"/>
        <v>0.14134542705971276</v>
      </c>
      <c r="Y15" s="25">
        <v>1.4979561823443501E-3</v>
      </c>
      <c r="Z15" s="25"/>
      <c r="AA15" s="25"/>
      <c r="AB15" s="25"/>
      <c r="AC15" s="25"/>
      <c r="AD15" s="25"/>
      <c r="AE15" s="25"/>
      <c r="AF15" s="25"/>
      <c r="AG15" s="25"/>
    </row>
    <row r="16" spans="1:37" hidden="1" x14ac:dyDescent="0.3">
      <c r="A16" s="25">
        <v>2007</v>
      </c>
      <c r="B16" s="25" t="s">
        <v>9</v>
      </c>
      <c r="C16" s="25" t="s">
        <v>10</v>
      </c>
      <c r="D16" s="25">
        <f t="shared" si="0"/>
        <v>13</v>
      </c>
      <c r="E16" s="25">
        <v>0</v>
      </c>
      <c r="F16" s="25">
        <v>13</v>
      </c>
      <c r="G16" s="25">
        <v>13</v>
      </c>
      <c r="H16" s="25">
        <v>0</v>
      </c>
      <c r="I16" s="25">
        <f t="shared" si="1"/>
        <v>0</v>
      </c>
      <c r="J16" s="25"/>
      <c r="K16" s="25"/>
      <c r="L16" s="25">
        <f t="shared" si="5"/>
        <v>0.11678004535147392</v>
      </c>
      <c r="M16" s="25">
        <v>1.16113089852245E-3</v>
      </c>
      <c r="N16" s="25"/>
      <c r="O16" s="25"/>
      <c r="P16" s="25">
        <f t="shared" si="2"/>
        <v>0.50321239606953894</v>
      </c>
      <c r="Q16" s="25">
        <v>4.4435038070794498E-3</v>
      </c>
      <c r="R16" s="25"/>
      <c r="S16" s="25"/>
      <c r="T16" s="25">
        <f t="shared" si="3"/>
        <v>0.85865457294028724</v>
      </c>
      <c r="U16" s="25">
        <v>1.5055577019235E-3</v>
      </c>
      <c r="V16" s="25"/>
      <c r="W16" s="26"/>
      <c r="X16" s="25">
        <f t="shared" si="4"/>
        <v>0.14134542705971276</v>
      </c>
      <c r="Y16" s="25">
        <v>1.4979561823443501E-3</v>
      </c>
      <c r="Z16" s="25"/>
      <c r="AA16" s="25"/>
      <c r="AB16" s="25"/>
      <c r="AC16" s="25"/>
      <c r="AD16" s="25"/>
      <c r="AE16" s="25"/>
      <c r="AF16" s="25"/>
      <c r="AG16" s="25"/>
    </row>
    <row r="17" spans="1:33" hidden="1" x14ac:dyDescent="0.3">
      <c r="A17" s="25">
        <v>2008</v>
      </c>
      <c r="B17" s="25" t="s">
        <v>9</v>
      </c>
      <c r="C17" s="25" t="s">
        <v>10</v>
      </c>
      <c r="D17" s="25">
        <f t="shared" si="0"/>
        <v>0</v>
      </c>
      <c r="E17" s="25">
        <v>0</v>
      </c>
      <c r="F17" s="25">
        <v>0</v>
      </c>
      <c r="G17" s="25">
        <v>0</v>
      </c>
      <c r="H17" s="25">
        <v>0</v>
      </c>
      <c r="I17" s="25">
        <f t="shared" si="1"/>
        <v>0</v>
      </c>
      <c r="J17" s="25"/>
      <c r="K17" s="25"/>
      <c r="L17" s="25">
        <f t="shared" si="5"/>
        <v>0.11678004535147392</v>
      </c>
      <c r="M17" s="25">
        <v>1.16113089852245E-3</v>
      </c>
      <c r="N17" s="25"/>
      <c r="O17" s="25"/>
      <c r="P17" s="25">
        <f t="shared" si="2"/>
        <v>0.50321239606953894</v>
      </c>
      <c r="Q17" s="25">
        <v>4.4435038070794498E-3</v>
      </c>
      <c r="R17" s="25"/>
      <c r="S17" s="25"/>
      <c r="T17" s="25">
        <f t="shared" si="3"/>
        <v>0.85865457294028724</v>
      </c>
      <c r="U17" s="25">
        <v>1.5055577019235E-3</v>
      </c>
      <c r="V17" s="25"/>
      <c r="W17" s="26"/>
      <c r="X17" s="25">
        <f t="shared" si="4"/>
        <v>0.14134542705971276</v>
      </c>
      <c r="Y17" s="25">
        <v>1.4979561823443501E-3</v>
      </c>
      <c r="Z17" s="25"/>
      <c r="AA17" s="25"/>
      <c r="AB17" s="25"/>
      <c r="AC17" s="25"/>
      <c r="AD17" s="25"/>
      <c r="AE17" s="25"/>
      <c r="AF17" s="25"/>
      <c r="AG17" s="25"/>
    </row>
    <row r="18" spans="1:33" hidden="1" x14ac:dyDescent="0.3">
      <c r="A18" s="25">
        <v>2009</v>
      </c>
      <c r="B18" s="25" t="s">
        <v>9</v>
      </c>
      <c r="C18" s="25" t="s">
        <v>10</v>
      </c>
      <c r="D18" s="25">
        <f t="shared" si="0"/>
        <v>31</v>
      </c>
      <c r="E18" s="25">
        <v>1</v>
      </c>
      <c r="F18" s="25">
        <v>30</v>
      </c>
      <c r="G18" s="25">
        <v>30</v>
      </c>
      <c r="H18" s="25">
        <v>1</v>
      </c>
      <c r="I18" s="25">
        <f t="shared" si="1"/>
        <v>0</v>
      </c>
      <c r="J18" s="25"/>
      <c r="K18" s="25"/>
      <c r="L18" s="25">
        <f t="shared" si="5"/>
        <v>0.11678004535147392</v>
      </c>
      <c r="M18" s="25">
        <v>1.16113089852245E-3</v>
      </c>
      <c r="N18" s="25"/>
      <c r="O18" s="25"/>
      <c r="P18" s="25">
        <f t="shared" si="2"/>
        <v>0.50321239606953894</v>
      </c>
      <c r="Q18" s="25">
        <v>4.4435038070794498E-3</v>
      </c>
      <c r="R18" s="25"/>
      <c r="S18" s="25"/>
      <c r="T18" s="25">
        <f t="shared" si="3"/>
        <v>0.85865457294028724</v>
      </c>
      <c r="U18" s="25">
        <v>1.5055577019235E-3</v>
      </c>
      <c r="V18" s="25"/>
      <c r="W18" s="26"/>
      <c r="X18" s="25">
        <f t="shared" si="4"/>
        <v>0.14134542705971276</v>
      </c>
      <c r="Y18" s="25">
        <v>1.4979561823443501E-3</v>
      </c>
      <c r="Z18" s="25"/>
      <c r="AA18" s="25"/>
      <c r="AB18" s="25"/>
      <c r="AC18" s="25"/>
      <c r="AD18" s="25"/>
      <c r="AE18" s="25"/>
      <c r="AF18" s="25"/>
      <c r="AG18" s="25"/>
    </row>
    <row r="19" spans="1:33" hidden="1" x14ac:dyDescent="0.3">
      <c r="A19" s="25">
        <v>2010</v>
      </c>
      <c r="B19" s="25" t="s">
        <v>9</v>
      </c>
      <c r="C19" s="25" t="s">
        <v>10</v>
      </c>
      <c r="D19" s="25">
        <f t="shared" si="0"/>
        <v>18</v>
      </c>
      <c r="E19" s="25">
        <v>0</v>
      </c>
      <c r="F19" s="25">
        <v>18</v>
      </c>
      <c r="G19" s="25">
        <v>18</v>
      </c>
      <c r="H19" s="25">
        <v>0</v>
      </c>
      <c r="I19" s="25">
        <f t="shared" si="1"/>
        <v>0</v>
      </c>
      <c r="J19" s="25"/>
      <c r="K19" s="25"/>
      <c r="L19" s="25">
        <f t="shared" si="5"/>
        <v>0.11678004535147392</v>
      </c>
      <c r="M19" s="25">
        <v>1.16113089852245E-3</v>
      </c>
      <c r="N19" s="25"/>
      <c r="O19" s="25"/>
      <c r="P19" s="25">
        <f t="shared" si="2"/>
        <v>0.50321239606953894</v>
      </c>
      <c r="Q19" s="25">
        <v>4.4435038070794498E-3</v>
      </c>
      <c r="R19" s="25"/>
      <c r="S19" s="25"/>
      <c r="T19" s="25">
        <f t="shared" si="3"/>
        <v>0.85865457294028724</v>
      </c>
      <c r="U19" s="25">
        <v>1.5055577019235E-3</v>
      </c>
      <c r="V19" s="25"/>
      <c r="W19" s="26"/>
      <c r="X19" s="25">
        <f t="shared" si="4"/>
        <v>0.14134542705971276</v>
      </c>
      <c r="Y19" s="25">
        <v>1.4979561823443501E-3</v>
      </c>
      <c r="Z19" s="25"/>
      <c r="AA19" s="25"/>
      <c r="AB19" s="25"/>
      <c r="AC19" s="25"/>
      <c r="AD19" s="25"/>
      <c r="AE19" s="25"/>
      <c r="AF19" s="25"/>
      <c r="AG19" s="25"/>
    </row>
    <row r="20" spans="1:33" hidden="1" x14ac:dyDescent="0.3">
      <c r="A20" s="25">
        <v>2011</v>
      </c>
      <c r="B20" s="25" t="s">
        <v>9</v>
      </c>
      <c r="C20" s="25" t="s">
        <v>10</v>
      </c>
      <c r="D20" s="25">
        <f t="shared" si="0"/>
        <v>13</v>
      </c>
      <c r="E20" s="25">
        <v>6</v>
      </c>
      <c r="F20" s="25">
        <v>5</v>
      </c>
      <c r="G20" s="25">
        <v>7</v>
      </c>
      <c r="H20" s="25">
        <v>6</v>
      </c>
      <c r="I20" s="25">
        <f t="shared" si="1"/>
        <v>0</v>
      </c>
      <c r="J20" s="25"/>
      <c r="K20" s="25"/>
      <c r="L20" s="25">
        <f t="shared" si="5"/>
        <v>0.11678004535147392</v>
      </c>
      <c r="M20" s="25">
        <v>1.16113089852245E-3</v>
      </c>
      <c r="N20" s="25"/>
      <c r="O20" s="25"/>
      <c r="P20" s="25">
        <f t="shared" si="2"/>
        <v>0.50321239606953894</v>
      </c>
      <c r="Q20" s="25">
        <v>4.4435038070794498E-3</v>
      </c>
      <c r="R20" s="25"/>
      <c r="S20" s="25"/>
      <c r="T20" s="25">
        <f t="shared" si="3"/>
        <v>0.85865457294028724</v>
      </c>
      <c r="U20" s="25">
        <v>1.5055577019235E-3</v>
      </c>
      <c r="V20" s="25"/>
      <c r="W20" s="26"/>
      <c r="X20" s="25">
        <f t="shared" si="4"/>
        <v>0.14134542705971276</v>
      </c>
      <c r="Y20" s="25">
        <v>1.4979561823443501E-3</v>
      </c>
      <c r="Z20" s="25"/>
      <c r="AA20" s="25"/>
      <c r="AB20" s="25"/>
      <c r="AC20" s="25"/>
      <c r="AD20" s="25"/>
      <c r="AE20" s="25"/>
      <c r="AF20" s="25"/>
      <c r="AG20" s="25"/>
    </row>
    <row r="21" spans="1:33" hidden="1" x14ac:dyDescent="0.3">
      <c r="A21" s="25">
        <v>2012</v>
      </c>
      <c r="B21" s="25" t="s">
        <v>9</v>
      </c>
      <c r="C21" s="25" t="s">
        <v>10</v>
      </c>
      <c r="D21" s="25">
        <f t="shared" si="0"/>
        <v>20</v>
      </c>
      <c r="E21" s="25">
        <v>0</v>
      </c>
      <c r="F21" s="25">
        <v>20</v>
      </c>
      <c r="G21" s="25">
        <v>20</v>
      </c>
      <c r="H21" s="25">
        <v>0</v>
      </c>
      <c r="I21" s="25">
        <f t="shared" si="1"/>
        <v>0</v>
      </c>
      <c r="J21" s="25"/>
      <c r="K21" s="25"/>
      <c r="L21" s="25">
        <f>AVERAGE(J$24,J$27)</f>
        <v>0.11678004535147392</v>
      </c>
      <c r="M21" s="25">
        <v>1.16113089852245E-3</v>
      </c>
      <c r="N21" s="25"/>
      <c r="O21" s="25"/>
      <c r="P21" s="25">
        <f t="shared" si="2"/>
        <v>0.50321239606953894</v>
      </c>
      <c r="Q21" s="25">
        <v>4.4435038070794498E-3</v>
      </c>
      <c r="R21" s="25"/>
      <c r="S21" s="25"/>
      <c r="T21" s="25">
        <f t="shared" si="3"/>
        <v>0.85865457294028724</v>
      </c>
      <c r="U21" s="25">
        <v>1.5055577019235E-3</v>
      </c>
      <c r="V21" s="25"/>
      <c r="W21" s="26"/>
      <c r="X21" s="25">
        <f t="shared" si="4"/>
        <v>0.14134542705971276</v>
      </c>
      <c r="Y21" s="25">
        <v>1.4979561823443501E-3</v>
      </c>
      <c r="Z21" s="25"/>
      <c r="AA21" s="25"/>
      <c r="AB21" s="25"/>
      <c r="AC21" s="25"/>
      <c r="AD21" s="25"/>
      <c r="AE21" s="25"/>
      <c r="AF21" s="25"/>
      <c r="AG21" s="25"/>
    </row>
    <row r="22" spans="1:33" hidden="1" x14ac:dyDescent="0.3">
      <c r="A22" s="25">
        <v>2013</v>
      </c>
      <c r="B22" s="25" t="s">
        <v>9</v>
      </c>
      <c r="C22" s="25" t="s">
        <v>10</v>
      </c>
      <c r="D22" s="25">
        <f t="shared" si="0"/>
        <v>0</v>
      </c>
      <c r="E22" s="25">
        <v>0</v>
      </c>
      <c r="F22" s="25">
        <v>0</v>
      </c>
      <c r="G22" s="25">
        <v>0</v>
      </c>
      <c r="H22" s="25">
        <v>0</v>
      </c>
      <c r="I22" s="25">
        <f t="shared" si="1"/>
        <v>0</v>
      </c>
      <c r="J22" s="25"/>
      <c r="K22" s="25"/>
      <c r="L22" s="25">
        <f t="shared" si="5"/>
        <v>0.11678004535147392</v>
      </c>
      <c r="M22" s="25">
        <v>1.16113089852245E-3</v>
      </c>
      <c r="N22" s="25"/>
      <c r="O22" s="25"/>
      <c r="P22" s="25">
        <f t="shared" si="2"/>
        <v>0.50321239606953894</v>
      </c>
      <c r="Q22" s="25">
        <v>4.4435038070794498E-3</v>
      </c>
      <c r="R22" s="25"/>
      <c r="S22" s="25"/>
      <c r="T22" s="25">
        <f t="shared" si="3"/>
        <v>0.85865457294028724</v>
      </c>
      <c r="U22" s="25">
        <v>1.5055577019235E-3</v>
      </c>
      <c r="V22" s="25"/>
      <c r="W22" s="26"/>
      <c r="X22" s="25">
        <f t="shared" si="4"/>
        <v>0.14134542705971276</v>
      </c>
      <c r="Y22" s="25">
        <v>1.4979561823443501E-3</v>
      </c>
      <c r="Z22" s="25"/>
      <c r="AA22" s="25"/>
      <c r="AB22" s="25"/>
      <c r="AC22" s="25"/>
      <c r="AD22" s="25"/>
      <c r="AE22" s="25"/>
      <c r="AF22" s="25"/>
      <c r="AG22" s="25"/>
    </row>
    <row r="23" spans="1:33" hidden="1" x14ac:dyDescent="0.3">
      <c r="A23" s="25">
        <v>2014</v>
      </c>
      <c r="B23" s="25" t="s">
        <v>9</v>
      </c>
      <c r="C23" s="25" t="s">
        <v>10</v>
      </c>
      <c r="D23" s="25">
        <f t="shared" si="0"/>
        <v>32</v>
      </c>
      <c r="E23" s="25">
        <v>2</v>
      </c>
      <c r="F23" s="25">
        <v>12</v>
      </c>
      <c r="G23" s="25">
        <f>16+12</f>
        <v>28</v>
      </c>
      <c r="H23" s="25">
        <f>2+2</f>
        <v>4</v>
      </c>
      <c r="I23" s="25">
        <f t="shared" si="1"/>
        <v>2</v>
      </c>
      <c r="J23" s="25"/>
      <c r="K23" s="25"/>
      <c r="L23" s="25">
        <f t="shared" si="5"/>
        <v>0.11678004535147392</v>
      </c>
      <c r="M23" s="25">
        <v>1.16113089852245E-3</v>
      </c>
      <c r="N23" s="25"/>
      <c r="O23" s="25"/>
      <c r="P23" s="25">
        <f t="shared" si="2"/>
        <v>0.50321239606953894</v>
      </c>
      <c r="Q23" s="25">
        <v>4.4435038070794498E-3</v>
      </c>
      <c r="R23" s="25"/>
      <c r="S23" s="25"/>
      <c r="T23" s="25">
        <f t="shared" si="3"/>
        <v>0.85865457294028724</v>
      </c>
      <c r="U23" s="25">
        <v>1.5055577019235E-3</v>
      </c>
      <c r="V23" s="25"/>
      <c r="W23" s="26"/>
      <c r="X23" s="25">
        <f t="shared" si="4"/>
        <v>0.14134542705971276</v>
      </c>
      <c r="Y23" s="25">
        <v>1.4979561823443501E-3</v>
      </c>
      <c r="Z23" s="25"/>
      <c r="AA23" s="25"/>
      <c r="AB23" s="25"/>
      <c r="AC23" s="25"/>
      <c r="AD23" s="25"/>
      <c r="AE23" s="25"/>
      <c r="AF23" s="25"/>
      <c r="AG23" s="25"/>
    </row>
    <row r="24" spans="1:33" hidden="1" x14ac:dyDescent="0.3">
      <c r="A24" s="25">
        <v>2015</v>
      </c>
      <c r="B24" s="25" t="s">
        <v>9</v>
      </c>
      <c r="C24" s="25" t="s">
        <v>10</v>
      </c>
      <c r="D24" s="25">
        <f t="shared" si="0"/>
        <v>54</v>
      </c>
      <c r="E24" s="25">
        <v>6</v>
      </c>
      <c r="F24" s="25">
        <v>29</v>
      </c>
      <c r="G24" s="25">
        <f>F24+3+15</f>
        <v>47</v>
      </c>
      <c r="H24" s="25">
        <f>E24+1</f>
        <v>7</v>
      </c>
      <c r="I24" s="25">
        <f t="shared" si="1"/>
        <v>1</v>
      </c>
      <c r="J24" s="25">
        <f>E24/D24</f>
        <v>0.1111111111111111</v>
      </c>
      <c r="K24" s="25">
        <f t="shared" ref="K24:K27" si="6">(J24*(1-J24))/(D24-1)</f>
        <v>1.8634987188446306E-3</v>
      </c>
      <c r="L24" s="25">
        <f t="shared" si="5"/>
        <v>0.11678004535147392</v>
      </c>
      <c r="M24" s="25">
        <v>1.16113089852245E-3</v>
      </c>
      <c r="N24" s="25">
        <f t="shared" ref="N24" si="7">F24/D24</f>
        <v>0.53703703703703709</v>
      </c>
      <c r="O24" s="25">
        <f t="shared" ref="O24:O27" si="8">(N24*(1-N24))/($D24-1)</f>
        <v>4.6910992054248514E-3</v>
      </c>
      <c r="P24" s="25">
        <f t="shared" si="2"/>
        <v>0.50321239606953894</v>
      </c>
      <c r="Q24" s="25">
        <v>4.4435038070794498E-3</v>
      </c>
      <c r="R24" s="25">
        <f>G24/D24</f>
        <v>0.87037037037037035</v>
      </c>
      <c r="S24" s="25">
        <f>(R24*(1-R24))/($D24-1)</f>
        <v>2.1287884670134847E-3</v>
      </c>
      <c r="T24" s="25">
        <f t="shared" si="3"/>
        <v>0.85865457294028724</v>
      </c>
      <c r="U24" s="25">
        <v>1.5055577019235E-3</v>
      </c>
      <c r="V24" s="25">
        <f t="shared" ref="V24" si="9">H24/D24</f>
        <v>0.12962962962962962</v>
      </c>
      <c r="W24" s="26">
        <f t="shared" ref="W24" si="10">(V24*(1-V24))/(D24-1)</f>
        <v>2.1287884670134843E-3</v>
      </c>
      <c r="X24" s="25">
        <f t="shared" si="4"/>
        <v>0.14134542705971276</v>
      </c>
      <c r="Y24" s="25">
        <v>1.4979561823443501E-3</v>
      </c>
      <c r="Z24" s="25"/>
      <c r="AA24" s="25"/>
      <c r="AB24" s="25"/>
      <c r="AC24" s="25"/>
      <c r="AD24" s="25"/>
      <c r="AE24" s="25"/>
      <c r="AF24" s="25"/>
      <c r="AG24" s="25"/>
    </row>
    <row r="25" spans="1:33" hidden="1" x14ac:dyDescent="0.3">
      <c r="A25" s="25">
        <v>2016</v>
      </c>
      <c r="B25" s="25" t="s">
        <v>9</v>
      </c>
      <c r="C25" s="25" t="s">
        <v>10</v>
      </c>
      <c r="D25" s="25">
        <f t="shared" si="0"/>
        <v>28</v>
      </c>
      <c r="E25" s="25">
        <v>12</v>
      </c>
      <c r="F25" s="25">
        <v>10</v>
      </c>
      <c r="G25" s="25">
        <v>11</v>
      </c>
      <c r="H25" s="25">
        <v>17</v>
      </c>
      <c r="I25" s="25">
        <f t="shared" si="1"/>
        <v>5</v>
      </c>
      <c r="J25" s="25"/>
      <c r="K25" s="25"/>
      <c r="L25" s="25">
        <f t="shared" si="5"/>
        <v>0.11678004535147392</v>
      </c>
      <c r="M25" s="25">
        <v>1.16113089852245E-3</v>
      </c>
      <c r="N25" s="25"/>
      <c r="O25" s="25"/>
      <c r="P25" s="25">
        <f t="shared" si="2"/>
        <v>0.50321239606953894</v>
      </c>
      <c r="Q25" s="25">
        <v>4.4435038070794498E-3</v>
      </c>
      <c r="R25" s="25"/>
      <c r="S25" s="25"/>
      <c r="T25" s="25">
        <f t="shared" si="3"/>
        <v>0.85865457294028724</v>
      </c>
      <c r="U25" s="25">
        <v>1.5055577019235E-3</v>
      </c>
      <c r="V25" s="25"/>
      <c r="W25" s="26"/>
      <c r="X25" s="25">
        <f t="shared" si="4"/>
        <v>0.14134542705971276</v>
      </c>
      <c r="Y25" s="25">
        <v>1.4979561823443501E-3</v>
      </c>
      <c r="Z25" s="25"/>
      <c r="AA25" s="25"/>
      <c r="AB25" s="25"/>
      <c r="AC25" s="25"/>
      <c r="AD25" s="25"/>
      <c r="AE25" s="25"/>
      <c r="AF25" s="25"/>
      <c r="AG25" s="25"/>
    </row>
    <row r="26" spans="1:33" hidden="1" x14ac:dyDescent="0.3">
      <c r="A26" s="25">
        <v>2017</v>
      </c>
      <c r="B26" s="25" t="s">
        <v>9</v>
      </c>
      <c r="C26" s="25" t="s">
        <v>10</v>
      </c>
      <c r="D26" s="25">
        <f t="shared" si="0"/>
        <v>20</v>
      </c>
      <c r="E26" s="25">
        <v>6</v>
      </c>
      <c r="F26" s="25">
        <v>14</v>
      </c>
      <c r="G26" s="25">
        <f>F26</f>
        <v>14</v>
      </c>
      <c r="H26" s="25">
        <f>E26</f>
        <v>6</v>
      </c>
      <c r="I26" s="25">
        <f t="shared" si="1"/>
        <v>0</v>
      </c>
      <c r="J26" s="25"/>
      <c r="K26" s="25"/>
      <c r="L26" s="25">
        <f t="shared" si="5"/>
        <v>0.11678004535147392</v>
      </c>
      <c r="M26" s="25">
        <v>1.16113089852245E-3</v>
      </c>
      <c r="N26" s="25"/>
      <c r="O26" s="25"/>
      <c r="P26" s="25">
        <f>AVERAGE(N$24,N$27)</f>
        <v>0.50321239606953894</v>
      </c>
      <c r="Q26" s="25">
        <v>4.4435038070794498E-3</v>
      </c>
      <c r="R26" s="25"/>
      <c r="S26" s="25"/>
      <c r="T26" s="25">
        <f t="shared" si="3"/>
        <v>0.85865457294028724</v>
      </c>
      <c r="U26" s="25">
        <v>1.5055577019235E-3</v>
      </c>
      <c r="V26" s="25"/>
      <c r="W26" s="26"/>
      <c r="X26" s="25">
        <f t="shared" si="4"/>
        <v>0.14134542705971276</v>
      </c>
      <c r="Y26" s="25">
        <v>1.4979561823443501E-3</v>
      </c>
      <c r="Z26" s="25"/>
      <c r="AA26" s="25"/>
      <c r="AB26" s="25"/>
      <c r="AC26" s="25"/>
      <c r="AD26" s="25"/>
      <c r="AE26" s="25"/>
      <c r="AF26" s="25"/>
      <c r="AG26" s="25"/>
    </row>
    <row r="27" spans="1:33" hidden="1" x14ac:dyDescent="0.3">
      <c r="A27" s="25">
        <v>2018</v>
      </c>
      <c r="B27" s="25" t="s">
        <v>9</v>
      </c>
      <c r="C27" s="25" t="s">
        <v>10</v>
      </c>
      <c r="D27" s="25">
        <f>G27+H27</f>
        <v>98</v>
      </c>
      <c r="E27" s="25">
        <v>12</v>
      </c>
      <c r="F27" s="25">
        <v>46</v>
      </c>
      <c r="G27" s="25">
        <f>F27+23+14</f>
        <v>83</v>
      </c>
      <c r="H27" s="25">
        <f>E27+1+2</f>
        <v>15</v>
      </c>
      <c r="I27" s="25">
        <f t="shared" si="1"/>
        <v>3</v>
      </c>
      <c r="J27" s="25">
        <f>E27/D27</f>
        <v>0.12244897959183673</v>
      </c>
      <c r="K27" s="25">
        <f t="shared" si="6"/>
        <v>1.1077858452448936E-3</v>
      </c>
      <c r="L27" s="25">
        <f>AVERAGE(J$24,J$27)</f>
        <v>0.11678004535147392</v>
      </c>
      <c r="M27" s="25">
        <v>1.16113089852245E-3</v>
      </c>
      <c r="N27" s="25">
        <f>F27/D27</f>
        <v>0.46938775510204084</v>
      </c>
      <c r="O27" s="25">
        <f t="shared" si="8"/>
        <v>2.5676586645598694E-3</v>
      </c>
      <c r="P27" s="25">
        <f t="shared" si="2"/>
        <v>0.50321239606953894</v>
      </c>
      <c r="Q27" s="25">
        <v>4.4435038070794498E-3</v>
      </c>
      <c r="R27" s="25">
        <f>G27/D27</f>
        <v>0.84693877551020413</v>
      </c>
      <c r="S27" s="25">
        <f t="shared" ref="S27" si="11">(R27*(1-R27))/($D27-1)</f>
        <v>1.3364276912111359E-3</v>
      </c>
      <c r="T27" s="25">
        <f>AVERAGE(R$24,R$27)</f>
        <v>0.85865457294028724</v>
      </c>
      <c r="U27" s="25">
        <v>1.5055577019235E-3</v>
      </c>
      <c r="V27" s="25">
        <f>H27/D27</f>
        <v>0.15306122448979592</v>
      </c>
      <c r="W27" s="26">
        <f t="shared" ref="W27" si="12">(V27*(1-V27))/(D27-1)</f>
        <v>1.3364276912111361E-3</v>
      </c>
      <c r="X27" s="25">
        <f t="shared" si="4"/>
        <v>0.14134542705971276</v>
      </c>
      <c r="Y27" s="25">
        <v>1.4979561823443501E-3</v>
      </c>
      <c r="Z27" s="25"/>
      <c r="AA27" s="25"/>
      <c r="AB27" s="25"/>
      <c r="AC27" s="25"/>
      <c r="AD27" s="25">
        <f>F27/G27</f>
        <v>0.55421686746987953</v>
      </c>
      <c r="AE27" s="25">
        <f>(AD27*(1-AD27))/(G27-1)</f>
        <v>3.0129333083140672E-3</v>
      </c>
      <c r="AF27" s="25"/>
      <c r="AG27" s="25"/>
    </row>
    <row r="28" spans="1:33" hidden="1" x14ac:dyDescent="0.3">
      <c r="A28" s="25">
        <v>2019</v>
      </c>
      <c r="B28" s="25" t="s">
        <v>9</v>
      </c>
      <c r="C28" s="25" t="s">
        <v>10</v>
      </c>
      <c r="D28" s="25">
        <f t="shared" si="0"/>
        <v>5</v>
      </c>
      <c r="E28" s="25">
        <v>5</v>
      </c>
      <c r="F28" s="25">
        <v>0</v>
      </c>
      <c r="G28" s="25">
        <v>0</v>
      </c>
      <c r="H28" s="25">
        <v>5</v>
      </c>
      <c r="I28" s="25">
        <f t="shared" si="1"/>
        <v>0</v>
      </c>
      <c r="J28" s="25"/>
      <c r="K28" s="25"/>
      <c r="L28" s="25">
        <f>AVERAGE(J$24,J$27)</f>
        <v>0.11678004535147392</v>
      </c>
      <c r="M28" s="25">
        <v>1.16113089852245E-3</v>
      </c>
      <c r="N28" s="25"/>
      <c r="O28" s="25"/>
      <c r="P28" s="25">
        <f t="shared" si="2"/>
        <v>0.50321239606953894</v>
      </c>
      <c r="Q28" s="25">
        <v>4.4435038070794498E-3</v>
      </c>
      <c r="R28" s="25"/>
      <c r="S28" s="25"/>
      <c r="T28" s="25">
        <f>AVERAGE(R$24,R$27)</f>
        <v>0.85865457294028724</v>
      </c>
      <c r="U28" s="25">
        <v>1.5055577019235E-3</v>
      </c>
      <c r="V28" s="25"/>
      <c r="W28" s="26"/>
      <c r="X28" s="25">
        <f t="shared" si="4"/>
        <v>0.14134542705971276</v>
      </c>
      <c r="Y28" s="25">
        <v>1.4979561823443501E-3</v>
      </c>
      <c r="Z28" s="25"/>
      <c r="AA28" s="25"/>
      <c r="AB28" s="25"/>
      <c r="AC28" s="25"/>
      <c r="AD28" s="25"/>
      <c r="AE28" s="25"/>
      <c r="AF28" s="25"/>
      <c r="AG28" s="25"/>
    </row>
    <row r="29" spans="1:33" hidden="1" x14ac:dyDescent="0.3">
      <c r="A29" s="25">
        <v>2020</v>
      </c>
      <c r="B29" s="25" t="s">
        <v>9</v>
      </c>
      <c r="C29" s="25" t="s">
        <v>10</v>
      </c>
      <c r="D29" s="25">
        <f t="shared" si="0"/>
        <v>5</v>
      </c>
      <c r="E29" s="25">
        <v>0</v>
      </c>
      <c r="F29" s="25">
        <v>0</v>
      </c>
      <c r="G29" s="25">
        <v>5</v>
      </c>
      <c r="H29" s="25">
        <v>0</v>
      </c>
      <c r="I29" s="25">
        <f t="shared" si="1"/>
        <v>0</v>
      </c>
      <c r="J29" s="25"/>
      <c r="K29" s="25"/>
      <c r="L29" s="25">
        <f>AVERAGE(J$24,J$27)</f>
        <v>0.11678004535147392</v>
      </c>
      <c r="M29" s="25">
        <v>1.16113089852245E-3</v>
      </c>
      <c r="N29" s="25"/>
      <c r="O29" s="25"/>
      <c r="P29" s="25">
        <f t="shared" ref="P29" si="13">AVERAGE(N$24,N$27)</f>
        <v>0.50321239606953894</v>
      </c>
      <c r="Q29" s="25">
        <v>4.4435038070794498E-3</v>
      </c>
      <c r="R29" s="25"/>
      <c r="S29" s="25"/>
      <c r="T29" s="25">
        <f t="shared" ref="T29" si="14">AVERAGE(R$24,R$27)</f>
        <v>0.85865457294028724</v>
      </c>
      <c r="U29" s="25">
        <v>1.5055577019235E-3</v>
      </c>
      <c r="V29" s="25"/>
      <c r="W29" s="26"/>
      <c r="X29" s="25">
        <f t="shared" ref="X29" si="15">AVERAGE(V$24,V$27)</f>
        <v>0.14134542705971276</v>
      </c>
      <c r="Y29" s="25">
        <v>1.4979561823443501E-3</v>
      </c>
      <c r="Z29" s="25"/>
      <c r="AA29" s="25"/>
      <c r="AB29" s="25"/>
      <c r="AC29" s="25"/>
      <c r="AD29" s="25"/>
      <c r="AE29" s="25"/>
      <c r="AF29" s="25"/>
      <c r="AG29" s="25"/>
    </row>
    <row r="30" spans="1:33" hidden="1" x14ac:dyDescent="0.3">
      <c r="A30" s="25">
        <v>2021</v>
      </c>
      <c r="B30" s="25" t="s">
        <v>9</v>
      </c>
      <c r="C30" s="25" t="s">
        <v>10</v>
      </c>
      <c r="D30" s="25">
        <f>G30+H30</f>
        <v>109</v>
      </c>
      <c r="E30" s="25">
        <v>8</v>
      </c>
      <c r="F30" s="25">
        <v>28</v>
      </c>
      <c r="G30" s="25">
        <v>96</v>
      </c>
      <c r="H30" s="25">
        <v>13</v>
      </c>
      <c r="I30" s="25">
        <f t="shared" si="1"/>
        <v>5</v>
      </c>
      <c r="J30" s="25">
        <f>E30/D30</f>
        <v>7.3394495412844041E-2</v>
      </c>
      <c r="K30" s="25">
        <f t="shared" ref="K30" si="16">(J30*(1-J30))/(D30-1)</f>
        <v>6.2970132829572284E-4</v>
      </c>
      <c r="L30" s="25"/>
      <c r="M30" s="25"/>
      <c r="N30" s="25">
        <f>F30/D30</f>
        <v>0.25688073394495414</v>
      </c>
      <c r="O30" s="25">
        <f t="shared" ref="O30" si="17">(N30*(1-N30))/($D30-1)</f>
        <v>1.7675279858597763E-3</v>
      </c>
      <c r="P30" s="25"/>
      <c r="Q30" s="25"/>
      <c r="R30" s="25">
        <f>G30/D30</f>
        <v>0.88073394495412849</v>
      </c>
      <c r="S30" s="25">
        <f t="shared" ref="S30" si="18">(R30*(1-R30))/($D30-1)</f>
        <v>9.7260799221913575E-4</v>
      </c>
      <c r="T30" s="25"/>
      <c r="U30" s="25"/>
      <c r="V30" s="25">
        <f>H30/D30</f>
        <v>0.11926605504587157</v>
      </c>
      <c r="W30" s="26">
        <f t="shared" ref="W30" si="19">(V30*(1-V30))/(D30-1)</f>
        <v>9.7260799221913618E-4</v>
      </c>
      <c r="X30" s="25"/>
      <c r="Y30" s="25"/>
      <c r="Z30" s="25"/>
      <c r="AA30" s="25"/>
      <c r="AB30" s="25"/>
      <c r="AC30" s="25"/>
      <c r="AD30" s="25">
        <f>F30/G30</f>
        <v>0.29166666666666669</v>
      </c>
      <c r="AE30" s="25">
        <f>(AD30*(1-AD30))/(G30-1)</f>
        <v>2.1747076023391813E-3</v>
      </c>
      <c r="AF30" s="25"/>
      <c r="AG30" s="25"/>
    </row>
    <row r="31" spans="1:33" hidden="1" x14ac:dyDescent="0.3">
      <c r="A31" s="15">
        <v>2022</v>
      </c>
      <c r="B31" s="15" t="s">
        <v>9</v>
      </c>
      <c r="C31" s="15" t="s">
        <v>10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6"/>
      <c r="X31" s="25"/>
      <c r="Y31" s="25"/>
      <c r="Z31" s="25"/>
      <c r="AA31" s="25"/>
      <c r="AB31" s="25"/>
      <c r="AC31" s="25"/>
      <c r="AD31" s="25"/>
      <c r="AE31" s="25"/>
      <c r="AF31" s="25"/>
      <c r="AG31" s="25"/>
    </row>
    <row r="32" spans="1:33" hidden="1" x14ac:dyDescent="0.3">
      <c r="A32">
        <v>1993</v>
      </c>
      <c r="B32" t="s">
        <v>11</v>
      </c>
      <c r="C32" t="s">
        <v>10</v>
      </c>
      <c r="D32">
        <f t="shared" si="0"/>
        <v>16</v>
      </c>
      <c r="E32">
        <v>0</v>
      </c>
      <c r="F32">
        <v>13</v>
      </c>
      <c r="G32">
        <v>16</v>
      </c>
      <c r="H32">
        <v>0</v>
      </c>
      <c r="I32">
        <f t="shared" si="1"/>
        <v>0</v>
      </c>
    </row>
    <row r="33" spans="1:9" hidden="1" x14ac:dyDescent="0.3">
      <c r="A33">
        <v>1994</v>
      </c>
      <c r="B33" t="s">
        <v>11</v>
      </c>
      <c r="C33" t="s">
        <v>10</v>
      </c>
      <c r="D33">
        <f t="shared" si="0"/>
        <v>0</v>
      </c>
      <c r="E33">
        <v>0</v>
      </c>
      <c r="F33">
        <v>0</v>
      </c>
      <c r="G33">
        <v>0</v>
      </c>
      <c r="H33">
        <v>0</v>
      </c>
      <c r="I33">
        <f t="shared" si="1"/>
        <v>0</v>
      </c>
    </row>
    <row r="34" spans="1:9" hidden="1" x14ac:dyDescent="0.3">
      <c r="A34">
        <v>1995</v>
      </c>
      <c r="B34" t="s">
        <v>11</v>
      </c>
      <c r="C34" t="s">
        <v>10</v>
      </c>
      <c r="D34">
        <f t="shared" si="0"/>
        <v>0</v>
      </c>
      <c r="E34">
        <v>0</v>
      </c>
      <c r="F34">
        <v>0</v>
      </c>
      <c r="G34">
        <v>0</v>
      </c>
      <c r="H34">
        <v>0</v>
      </c>
      <c r="I34">
        <f t="shared" si="1"/>
        <v>0</v>
      </c>
    </row>
    <row r="35" spans="1:9" hidden="1" x14ac:dyDescent="0.3">
      <c r="A35">
        <v>1996</v>
      </c>
      <c r="B35" t="s">
        <v>11</v>
      </c>
      <c r="C35" t="s">
        <v>10</v>
      </c>
      <c r="D35">
        <f t="shared" si="0"/>
        <v>0</v>
      </c>
      <c r="E35">
        <v>0</v>
      </c>
      <c r="F35">
        <v>0</v>
      </c>
      <c r="G35">
        <v>0</v>
      </c>
      <c r="H35">
        <v>0</v>
      </c>
      <c r="I35">
        <f t="shared" si="1"/>
        <v>0</v>
      </c>
    </row>
    <row r="36" spans="1:9" hidden="1" x14ac:dyDescent="0.3">
      <c r="A36">
        <v>1997</v>
      </c>
      <c r="B36" t="s">
        <v>11</v>
      </c>
      <c r="C36" t="s">
        <v>10</v>
      </c>
      <c r="D36">
        <f>G36+H36</f>
        <v>0</v>
      </c>
      <c r="E36">
        <v>0</v>
      </c>
      <c r="F36">
        <v>0</v>
      </c>
      <c r="G36">
        <v>0</v>
      </c>
      <c r="H36">
        <v>0</v>
      </c>
      <c r="I36">
        <f t="shared" si="1"/>
        <v>0</v>
      </c>
    </row>
    <row r="37" spans="1:9" hidden="1" x14ac:dyDescent="0.3">
      <c r="A37">
        <v>1998</v>
      </c>
      <c r="B37" t="s">
        <v>11</v>
      </c>
      <c r="C37" t="s">
        <v>10</v>
      </c>
      <c r="D37">
        <f t="shared" si="0"/>
        <v>0</v>
      </c>
      <c r="E37">
        <v>0</v>
      </c>
      <c r="F37">
        <v>0</v>
      </c>
      <c r="G37">
        <v>0</v>
      </c>
      <c r="H37">
        <v>0</v>
      </c>
      <c r="I37">
        <f t="shared" si="1"/>
        <v>0</v>
      </c>
    </row>
    <row r="38" spans="1:9" hidden="1" x14ac:dyDescent="0.3">
      <c r="A38">
        <v>1999</v>
      </c>
      <c r="B38" t="s">
        <v>11</v>
      </c>
      <c r="C38" t="s">
        <v>10</v>
      </c>
      <c r="D38">
        <f t="shared" si="0"/>
        <v>0</v>
      </c>
      <c r="E38">
        <v>0</v>
      </c>
      <c r="F38">
        <v>0</v>
      </c>
      <c r="G38">
        <v>0</v>
      </c>
      <c r="H38">
        <v>0</v>
      </c>
      <c r="I38">
        <f t="shared" si="1"/>
        <v>0</v>
      </c>
    </row>
    <row r="39" spans="1:9" hidden="1" x14ac:dyDescent="0.3">
      <c r="A39">
        <v>2000</v>
      </c>
      <c r="B39" t="s">
        <v>11</v>
      </c>
      <c r="C39" t="s">
        <v>10</v>
      </c>
      <c r="D39">
        <f t="shared" si="0"/>
        <v>28</v>
      </c>
      <c r="E39">
        <v>7</v>
      </c>
      <c r="F39">
        <v>4</v>
      </c>
      <c r="G39">
        <f>F39+17</f>
        <v>21</v>
      </c>
      <c r="H39">
        <f>E39</f>
        <v>7</v>
      </c>
      <c r="I39">
        <f t="shared" si="1"/>
        <v>0</v>
      </c>
    </row>
    <row r="40" spans="1:9" hidden="1" x14ac:dyDescent="0.3">
      <c r="A40">
        <v>2001</v>
      </c>
      <c r="B40" t="s">
        <v>11</v>
      </c>
      <c r="C40" t="s">
        <v>10</v>
      </c>
      <c r="D40">
        <f t="shared" si="0"/>
        <v>0</v>
      </c>
      <c r="E40">
        <v>0</v>
      </c>
      <c r="F40">
        <v>0</v>
      </c>
      <c r="G40">
        <v>0</v>
      </c>
      <c r="H40">
        <v>0</v>
      </c>
      <c r="I40">
        <f t="shared" si="1"/>
        <v>0</v>
      </c>
    </row>
    <row r="41" spans="1:9" hidden="1" x14ac:dyDescent="0.3">
      <c r="A41">
        <v>2002</v>
      </c>
      <c r="B41" t="s">
        <v>11</v>
      </c>
      <c r="C41" t="s">
        <v>10</v>
      </c>
      <c r="D41">
        <f t="shared" si="0"/>
        <v>7</v>
      </c>
      <c r="E41">
        <v>0</v>
      </c>
      <c r="F41">
        <v>4</v>
      </c>
      <c r="G41">
        <v>7</v>
      </c>
      <c r="H41">
        <v>0</v>
      </c>
      <c r="I41">
        <f t="shared" si="1"/>
        <v>0</v>
      </c>
    </row>
    <row r="42" spans="1:9" hidden="1" x14ac:dyDescent="0.3">
      <c r="A42">
        <v>2003</v>
      </c>
      <c r="B42" t="s">
        <v>11</v>
      </c>
      <c r="C42" t="s">
        <v>10</v>
      </c>
      <c r="D42">
        <f t="shared" si="0"/>
        <v>6</v>
      </c>
      <c r="E42">
        <v>6</v>
      </c>
      <c r="F42">
        <v>0</v>
      </c>
      <c r="G42">
        <v>0</v>
      </c>
      <c r="H42">
        <v>6</v>
      </c>
      <c r="I42">
        <f t="shared" si="1"/>
        <v>0</v>
      </c>
    </row>
    <row r="43" spans="1:9" hidden="1" x14ac:dyDescent="0.3">
      <c r="A43">
        <v>2004</v>
      </c>
      <c r="B43" t="s">
        <v>11</v>
      </c>
      <c r="C43" t="s">
        <v>10</v>
      </c>
      <c r="D43">
        <f t="shared" si="0"/>
        <v>5</v>
      </c>
      <c r="E43">
        <v>0</v>
      </c>
      <c r="F43">
        <v>4</v>
      </c>
      <c r="G43">
        <v>5</v>
      </c>
      <c r="H43">
        <v>0</v>
      </c>
      <c r="I43">
        <f t="shared" si="1"/>
        <v>0</v>
      </c>
    </row>
    <row r="44" spans="1:9" hidden="1" x14ac:dyDescent="0.3">
      <c r="A44">
        <v>2005</v>
      </c>
      <c r="B44" t="s">
        <v>11</v>
      </c>
      <c r="C44" t="s">
        <v>10</v>
      </c>
      <c r="D44">
        <f t="shared" si="0"/>
        <v>0</v>
      </c>
      <c r="E44">
        <v>0</v>
      </c>
      <c r="F44">
        <v>0</v>
      </c>
      <c r="G44">
        <v>0</v>
      </c>
      <c r="H44">
        <v>0</v>
      </c>
      <c r="I44">
        <f t="shared" si="1"/>
        <v>0</v>
      </c>
    </row>
    <row r="45" spans="1:9" hidden="1" x14ac:dyDescent="0.3">
      <c r="A45">
        <v>2006</v>
      </c>
      <c r="B45" t="s">
        <v>11</v>
      </c>
      <c r="C45" t="s">
        <v>10</v>
      </c>
      <c r="D45">
        <f t="shared" si="0"/>
        <v>0</v>
      </c>
      <c r="E45">
        <v>0</v>
      </c>
      <c r="F45">
        <v>0</v>
      </c>
      <c r="G45">
        <v>0</v>
      </c>
      <c r="H45">
        <v>0</v>
      </c>
      <c r="I45">
        <f t="shared" si="1"/>
        <v>0</v>
      </c>
    </row>
    <row r="46" spans="1:9" hidden="1" x14ac:dyDescent="0.3">
      <c r="A46">
        <v>2007</v>
      </c>
      <c r="B46" t="s">
        <v>11</v>
      </c>
      <c r="C46" t="s">
        <v>10</v>
      </c>
      <c r="D46">
        <f t="shared" si="0"/>
        <v>0</v>
      </c>
      <c r="E46">
        <v>0</v>
      </c>
      <c r="F46">
        <v>0</v>
      </c>
      <c r="G46">
        <v>0</v>
      </c>
      <c r="H46">
        <v>0</v>
      </c>
      <c r="I46">
        <f t="shared" si="1"/>
        <v>0</v>
      </c>
    </row>
    <row r="47" spans="1:9" hidden="1" x14ac:dyDescent="0.3">
      <c r="A47">
        <v>2008</v>
      </c>
      <c r="B47" t="s">
        <v>11</v>
      </c>
      <c r="C47" t="s">
        <v>10</v>
      </c>
      <c r="D47">
        <f t="shared" si="0"/>
        <v>0</v>
      </c>
      <c r="E47">
        <v>0</v>
      </c>
      <c r="F47">
        <v>0</v>
      </c>
      <c r="G47">
        <v>0</v>
      </c>
      <c r="H47">
        <v>0</v>
      </c>
      <c r="I47">
        <f t="shared" si="1"/>
        <v>0</v>
      </c>
    </row>
    <row r="48" spans="1:9" hidden="1" x14ac:dyDescent="0.3">
      <c r="A48">
        <v>2009</v>
      </c>
      <c r="B48" t="s">
        <v>11</v>
      </c>
      <c r="C48" t="s">
        <v>10</v>
      </c>
      <c r="D48">
        <f t="shared" si="0"/>
        <v>7</v>
      </c>
      <c r="E48">
        <v>0</v>
      </c>
      <c r="F48">
        <v>1</v>
      </c>
      <c r="G48">
        <v>7</v>
      </c>
      <c r="H48">
        <v>0</v>
      </c>
      <c r="I48">
        <f t="shared" si="1"/>
        <v>0</v>
      </c>
    </row>
    <row r="49" spans="1:33" hidden="1" x14ac:dyDescent="0.3">
      <c r="A49">
        <v>2010</v>
      </c>
      <c r="B49" t="s">
        <v>11</v>
      </c>
      <c r="C49" t="s">
        <v>10</v>
      </c>
      <c r="D49">
        <f t="shared" si="0"/>
        <v>0</v>
      </c>
      <c r="E49">
        <v>0</v>
      </c>
      <c r="F49">
        <v>0</v>
      </c>
      <c r="G49">
        <v>0</v>
      </c>
      <c r="H49">
        <v>0</v>
      </c>
      <c r="I49">
        <f t="shared" si="1"/>
        <v>0</v>
      </c>
    </row>
    <row r="50" spans="1:33" hidden="1" x14ac:dyDescent="0.3">
      <c r="A50">
        <v>2011</v>
      </c>
      <c r="B50" t="s">
        <v>11</v>
      </c>
      <c r="C50" t="s">
        <v>10</v>
      </c>
      <c r="D50">
        <f>G50+H50</f>
        <v>2</v>
      </c>
      <c r="E50">
        <v>0</v>
      </c>
      <c r="F50">
        <v>0</v>
      </c>
      <c r="G50">
        <v>2</v>
      </c>
      <c r="H50">
        <v>0</v>
      </c>
      <c r="I50">
        <f t="shared" si="1"/>
        <v>0</v>
      </c>
    </row>
    <row r="51" spans="1:33" hidden="1" x14ac:dyDescent="0.3">
      <c r="A51">
        <v>2012</v>
      </c>
      <c r="B51" t="s">
        <v>11</v>
      </c>
      <c r="C51" t="s">
        <v>10</v>
      </c>
      <c r="D51">
        <f t="shared" si="0"/>
        <v>16</v>
      </c>
      <c r="E51">
        <v>2</v>
      </c>
      <c r="F51">
        <v>14</v>
      </c>
      <c r="G51">
        <v>14</v>
      </c>
      <c r="H51">
        <v>2</v>
      </c>
      <c r="I51">
        <f t="shared" si="1"/>
        <v>0</v>
      </c>
    </row>
    <row r="52" spans="1:33" hidden="1" x14ac:dyDescent="0.3">
      <c r="A52">
        <v>2013</v>
      </c>
      <c r="B52" t="s">
        <v>11</v>
      </c>
      <c r="C52" t="s">
        <v>10</v>
      </c>
      <c r="D52">
        <f t="shared" si="0"/>
        <v>20</v>
      </c>
      <c r="E52">
        <v>0</v>
      </c>
      <c r="F52">
        <v>12</v>
      </c>
      <c r="G52">
        <v>20</v>
      </c>
      <c r="H52">
        <v>0</v>
      </c>
      <c r="I52">
        <f t="shared" si="1"/>
        <v>0</v>
      </c>
    </row>
    <row r="53" spans="1:33" hidden="1" x14ac:dyDescent="0.3">
      <c r="A53">
        <v>2014</v>
      </c>
      <c r="B53" t="s">
        <v>11</v>
      </c>
      <c r="C53" t="s">
        <v>10</v>
      </c>
      <c r="D53">
        <f t="shared" si="0"/>
        <v>8</v>
      </c>
      <c r="E53">
        <v>1</v>
      </c>
      <c r="F53">
        <v>7</v>
      </c>
      <c r="G53">
        <v>7</v>
      </c>
      <c r="H53">
        <v>1</v>
      </c>
      <c r="I53">
        <f t="shared" si="1"/>
        <v>0</v>
      </c>
    </row>
    <row r="54" spans="1:33" hidden="1" x14ac:dyDescent="0.3">
      <c r="A54">
        <v>2015</v>
      </c>
      <c r="B54" t="s">
        <v>11</v>
      </c>
      <c r="C54" t="s">
        <v>10</v>
      </c>
      <c r="D54">
        <f>G54+H54</f>
        <v>4</v>
      </c>
      <c r="E54">
        <v>3</v>
      </c>
      <c r="F54">
        <v>0</v>
      </c>
      <c r="G54">
        <v>1</v>
      </c>
      <c r="H54">
        <v>3</v>
      </c>
      <c r="I54">
        <f t="shared" si="1"/>
        <v>0</v>
      </c>
    </row>
    <row r="55" spans="1:33" hidden="1" x14ac:dyDescent="0.3">
      <c r="A55">
        <v>2016</v>
      </c>
      <c r="B55" t="s">
        <v>11</v>
      </c>
      <c r="C55" t="s">
        <v>10</v>
      </c>
      <c r="D55">
        <f t="shared" si="0"/>
        <v>0</v>
      </c>
      <c r="E55">
        <v>0</v>
      </c>
      <c r="F55">
        <v>0</v>
      </c>
      <c r="G55">
        <v>0</v>
      </c>
      <c r="H55">
        <v>0</v>
      </c>
      <c r="I55">
        <f t="shared" si="1"/>
        <v>0</v>
      </c>
    </row>
    <row r="56" spans="1:33" hidden="1" x14ac:dyDescent="0.3">
      <c r="A56">
        <v>2017</v>
      </c>
      <c r="B56" t="s">
        <v>11</v>
      </c>
      <c r="C56" t="s">
        <v>10</v>
      </c>
      <c r="D56">
        <f t="shared" si="0"/>
        <v>0</v>
      </c>
      <c r="E56">
        <v>0</v>
      </c>
      <c r="F56">
        <v>0</v>
      </c>
      <c r="G56">
        <v>0</v>
      </c>
      <c r="H56">
        <v>0</v>
      </c>
      <c r="I56">
        <f t="shared" si="1"/>
        <v>0</v>
      </c>
    </row>
    <row r="57" spans="1:33" hidden="1" x14ac:dyDescent="0.3">
      <c r="A57">
        <v>2018</v>
      </c>
      <c r="B57" t="s">
        <v>11</v>
      </c>
      <c r="C57" t="s">
        <v>10</v>
      </c>
      <c r="D57">
        <f t="shared" si="0"/>
        <v>31</v>
      </c>
      <c r="E57">
        <v>1</v>
      </c>
      <c r="F57">
        <v>17</v>
      </c>
      <c r="G57">
        <v>28</v>
      </c>
      <c r="H57">
        <v>3</v>
      </c>
      <c r="I57">
        <f t="shared" si="1"/>
        <v>2</v>
      </c>
    </row>
    <row r="58" spans="1:33" hidden="1" x14ac:dyDescent="0.3">
      <c r="A58">
        <v>2019</v>
      </c>
      <c r="B58" t="s">
        <v>11</v>
      </c>
      <c r="C58" t="s">
        <v>10</v>
      </c>
      <c r="D58">
        <f>G58+H58</f>
        <v>27</v>
      </c>
      <c r="E58">
        <v>17</v>
      </c>
      <c r="F58">
        <v>7</v>
      </c>
      <c r="G58">
        <v>10</v>
      </c>
      <c r="H58">
        <v>17</v>
      </c>
      <c r="I58">
        <f t="shared" si="1"/>
        <v>0</v>
      </c>
    </row>
    <row r="59" spans="1:33" hidden="1" x14ac:dyDescent="0.3">
      <c r="A59">
        <v>2020</v>
      </c>
      <c r="B59" t="s">
        <v>11</v>
      </c>
      <c r="C59" t="s">
        <v>10</v>
      </c>
      <c r="D59">
        <f t="shared" ref="D59:D60" si="20">G59+H59</f>
        <v>1</v>
      </c>
      <c r="E59">
        <v>0</v>
      </c>
      <c r="F59">
        <v>1</v>
      </c>
      <c r="G59">
        <v>1</v>
      </c>
      <c r="H59">
        <v>0</v>
      </c>
      <c r="I59">
        <f t="shared" si="1"/>
        <v>0</v>
      </c>
    </row>
    <row r="60" spans="1:33" hidden="1" x14ac:dyDescent="0.3">
      <c r="A60">
        <v>2021</v>
      </c>
      <c r="B60" t="s">
        <v>11</v>
      </c>
      <c r="C60" t="s">
        <v>10</v>
      </c>
      <c r="D60">
        <f t="shared" si="20"/>
        <v>0</v>
      </c>
      <c r="E60">
        <v>0</v>
      </c>
      <c r="F60">
        <v>0</v>
      </c>
      <c r="G60">
        <v>0</v>
      </c>
      <c r="H60">
        <v>0</v>
      </c>
      <c r="I60">
        <f t="shared" si="1"/>
        <v>0</v>
      </c>
    </row>
    <row r="61" spans="1:33" hidden="1" x14ac:dyDescent="0.3">
      <c r="A61" s="15">
        <v>2022</v>
      </c>
      <c r="B61" s="15" t="s">
        <v>11</v>
      </c>
      <c r="C61" s="15" t="s">
        <v>10</v>
      </c>
    </row>
    <row r="62" spans="1:33" hidden="1" x14ac:dyDescent="0.3">
      <c r="A62" s="25">
        <v>1993</v>
      </c>
      <c r="B62" s="25" t="s">
        <v>9</v>
      </c>
      <c r="C62" s="25" t="s">
        <v>12</v>
      </c>
      <c r="D62" s="25">
        <f t="shared" si="0"/>
        <v>42</v>
      </c>
      <c r="E62" s="25">
        <v>6</v>
      </c>
      <c r="F62" s="25">
        <v>14</v>
      </c>
      <c r="G62" s="25">
        <f>F62+22</f>
        <v>36</v>
      </c>
      <c r="H62" s="25">
        <f>E62</f>
        <v>6</v>
      </c>
      <c r="I62" s="25">
        <f t="shared" si="1"/>
        <v>0</v>
      </c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6"/>
      <c r="X62" s="25"/>
      <c r="Y62" s="25"/>
      <c r="Z62" s="25"/>
      <c r="AA62" s="25"/>
      <c r="AB62" s="25"/>
      <c r="AC62" s="25"/>
      <c r="AD62" s="25"/>
      <c r="AE62" s="25"/>
      <c r="AF62" s="25"/>
      <c r="AG62" s="25"/>
    </row>
    <row r="63" spans="1:33" hidden="1" x14ac:dyDescent="0.3">
      <c r="A63" s="25">
        <v>1994</v>
      </c>
      <c r="B63" s="25" t="s">
        <v>9</v>
      </c>
      <c r="C63" s="25" t="s">
        <v>12</v>
      </c>
      <c r="D63" s="25">
        <f t="shared" si="0"/>
        <v>2</v>
      </c>
      <c r="E63" s="25">
        <v>0</v>
      </c>
      <c r="F63" s="25">
        <v>1</v>
      </c>
      <c r="G63" s="25">
        <v>2</v>
      </c>
      <c r="H63" s="25">
        <v>0</v>
      </c>
      <c r="I63" s="25">
        <f t="shared" si="1"/>
        <v>0</v>
      </c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6"/>
      <c r="X63" s="25"/>
      <c r="Y63" s="25"/>
      <c r="Z63" s="25"/>
      <c r="AA63" s="25"/>
      <c r="AB63" s="25"/>
      <c r="AC63" s="25"/>
      <c r="AD63" s="25"/>
      <c r="AE63" s="25"/>
      <c r="AF63" s="25"/>
      <c r="AG63" s="25"/>
    </row>
    <row r="64" spans="1:33" hidden="1" x14ac:dyDescent="0.3">
      <c r="A64" s="25">
        <v>1995</v>
      </c>
      <c r="B64" s="25" t="s">
        <v>9</v>
      </c>
      <c r="C64" s="25" t="s">
        <v>12</v>
      </c>
      <c r="D64" s="25">
        <f t="shared" si="0"/>
        <v>0</v>
      </c>
      <c r="E64" s="25">
        <v>0</v>
      </c>
      <c r="F64" s="25">
        <v>0</v>
      </c>
      <c r="G64" s="25">
        <v>0</v>
      </c>
      <c r="H64" s="25">
        <v>0</v>
      </c>
      <c r="I64" s="25">
        <f t="shared" si="1"/>
        <v>0</v>
      </c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6"/>
      <c r="X64" s="25"/>
      <c r="Y64" s="25"/>
      <c r="Z64" s="25"/>
      <c r="AA64" s="25"/>
      <c r="AB64" s="25"/>
      <c r="AC64" s="25"/>
      <c r="AD64" s="25"/>
      <c r="AE64" s="25"/>
      <c r="AF64" s="25"/>
      <c r="AG64" s="25"/>
    </row>
    <row r="65" spans="1:33" hidden="1" x14ac:dyDescent="0.3">
      <c r="A65" s="25">
        <v>1996</v>
      </c>
      <c r="B65" s="25" t="s">
        <v>9</v>
      </c>
      <c r="C65" s="25" t="s">
        <v>12</v>
      </c>
      <c r="D65" s="25">
        <f t="shared" si="0"/>
        <v>16</v>
      </c>
      <c r="E65" s="25">
        <v>1</v>
      </c>
      <c r="F65" s="25">
        <v>7</v>
      </c>
      <c r="G65" s="25">
        <v>13</v>
      </c>
      <c r="H65" s="25">
        <v>3</v>
      </c>
      <c r="I65" s="25">
        <f t="shared" si="1"/>
        <v>2</v>
      </c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6"/>
      <c r="X65" s="25"/>
      <c r="Y65" s="25"/>
      <c r="Z65" s="25"/>
      <c r="AA65" s="25"/>
      <c r="AB65" s="25"/>
      <c r="AC65" s="25"/>
      <c r="AD65" s="25"/>
      <c r="AE65" s="25"/>
      <c r="AF65" s="25"/>
      <c r="AG65" s="25"/>
    </row>
    <row r="66" spans="1:33" hidden="1" x14ac:dyDescent="0.3">
      <c r="A66" s="25">
        <v>1997</v>
      </c>
      <c r="B66" s="25" t="s">
        <v>9</v>
      </c>
      <c r="C66" s="25" t="s">
        <v>12</v>
      </c>
      <c r="D66" s="25">
        <f t="shared" si="0"/>
        <v>20</v>
      </c>
      <c r="E66" s="25">
        <v>6</v>
      </c>
      <c r="F66" s="25">
        <v>10</v>
      </c>
      <c r="G66" s="25">
        <v>12</v>
      </c>
      <c r="H66" s="25">
        <v>8</v>
      </c>
      <c r="I66" s="25">
        <f t="shared" si="1"/>
        <v>2</v>
      </c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6"/>
      <c r="X66" s="25"/>
      <c r="Y66" s="25"/>
      <c r="Z66" s="25"/>
      <c r="AA66" s="25"/>
      <c r="AB66" s="25"/>
      <c r="AC66" s="25"/>
      <c r="AD66" s="25"/>
      <c r="AE66" s="25"/>
      <c r="AF66" s="25"/>
      <c r="AG66" s="25"/>
    </row>
    <row r="67" spans="1:33" hidden="1" x14ac:dyDescent="0.3">
      <c r="A67" s="25">
        <v>1998</v>
      </c>
      <c r="B67" s="25" t="s">
        <v>9</v>
      </c>
      <c r="C67" s="25" t="s">
        <v>12</v>
      </c>
      <c r="D67" s="25">
        <f t="shared" si="0"/>
        <v>6</v>
      </c>
      <c r="E67" s="25">
        <v>0</v>
      </c>
      <c r="F67" s="25">
        <v>2</v>
      </c>
      <c r="G67" s="25">
        <v>2</v>
      </c>
      <c r="H67" s="25">
        <v>4</v>
      </c>
      <c r="I67" s="25">
        <f t="shared" si="1"/>
        <v>4</v>
      </c>
      <c r="J67" s="25"/>
      <c r="K67" s="25"/>
      <c r="L67" s="25">
        <f>AVERAGE(J$72,J$74,J$78:J$88)</f>
        <v>3.8171275555053855E-2</v>
      </c>
      <c r="M67" s="25">
        <v>3.73943265799675E-3</v>
      </c>
      <c r="N67" s="25"/>
      <c r="O67" s="25"/>
      <c r="P67" s="25">
        <f t="shared" ref="P67:P86" si="21">AVERAGE(N$72,N$74,N$78:N$88)</f>
        <v>0.41592210559967574</v>
      </c>
      <c r="Q67" s="25">
        <v>2.2956851736574E-2</v>
      </c>
      <c r="R67" s="25"/>
      <c r="S67" s="25"/>
      <c r="T67" s="25">
        <f t="shared" ref="T67:T86" si="22">AVERAGE(R$72,R$74,R$78:R$88)</f>
        <v>0.92681066528788059</v>
      </c>
      <c r="U67" s="25">
        <v>4.0893314039571896E-3</v>
      </c>
      <c r="V67" s="25"/>
      <c r="W67" s="26"/>
      <c r="X67" s="25">
        <f t="shared" ref="X67:X86" si="23">AVERAGE(V$72,V$74,V$78:V$88)</f>
        <v>7.3189334712119428E-2</v>
      </c>
      <c r="Y67" s="25">
        <v>4.0874286244513896E-3</v>
      </c>
      <c r="Z67" s="25"/>
      <c r="AA67" s="25"/>
      <c r="AB67" s="25"/>
      <c r="AC67" s="25"/>
      <c r="AD67" s="25"/>
      <c r="AE67" s="25"/>
      <c r="AF67" s="25">
        <f t="shared" ref="AF67:AF86" si="24">AVERAGE(AD$72,AD$74,AD$78:AD$88)</f>
        <v>0.44818734085396539</v>
      </c>
      <c r="AG67" s="25">
        <v>2.4617974060636202E-2</v>
      </c>
    </row>
    <row r="68" spans="1:33" hidden="1" x14ac:dyDescent="0.3">
      <c r="A68" s="25">
        <v>1999</v>
      </c>
      <c r="B68" s="25" t="s">
        <v>9</v>
      </c>
      <c r="C68" s="25" t="s">
        <v>12</v>
      </c>
      <c r="D68" s="25">
        <f t="shared" si="0"/>
        <v>40</v>
      </c>
      <c r="E68" s="25">
        <v>3</v>
      </c>
      <c r="F68" s="25">
        <v>31</v>
      </c>
      <c r="G68" s="25">
        <v>36</v>
      </c>
      <c r="H68" s="25">
        <v>4</v>
      </c>
      <c r="I68" s="25">
        <f t="shared" si="1"/>
        <v>1</v>
      </c>
      <c r="J68" s="25"/>
      <c r="K68" s="25"/>
      <c r="L68" s="25">
        <f t="shared" ref="L68:L88" si="25">AVERAGE(J$72,J$74,J$78:J$88)</f>
        <v>3.8171275555053855E-2</v>
      </c>
      <c r="M68" s="25">
        <v>3.73943265799675E-3</v>
      </c>
      <c r="N68" s="25"/>
      <c r="O68" s="25"/>
      <c r="P68" s="25">
        <f t="shared" si="21"/>
        <v>0.41592210559967574</v>
      </c>
      <c r="Q68" s="25">
        <v>2.2956851736574E-2</v>
      </c>
      <c r="R68" s="25"/>
      <c r="S68" s="25"/>
      <c r="T68" s="25">
        <f t="shared" si="22"/>
        <v>0.92681066528788059</v>
      </c>
      <c r="U68" s="25">
        <v>4.0893314039571896E-3</v>
      </c>
      <c r="V68" s="25"/>
      <c r="W68" s="26"/>
      <c r="X68" s="25">
        <f t="shared" si="23"/>
        <v>7.3189334712119428E-2</v>
      </c>
      <c r="Y68" s="25">
        <v>4.0874286244513896E-3</v>
      </c>
      <c r="Z68" s="25"/>
      <c r="AA68" s="25"/>
      <c r="AB68" s="25"/>
      <c r="AC68" s="25"/>
      <c r="AD68" s="25"/>
      <c r="AE68" s="25"/>
      <c r="AF68" s="25">
        <f t="shared" si="24"/>
        <v>0.44818734085396539</v>
      </c>
      <c r="AG68" s="25">
        <v>2.4617974060636202E-2</v>
      </c>
    </row>
    <row r="69" spans="1:33" hidden="1" x14ac:dyDescent="0.3">
      <c r="A69" s="25">
        <v>2000</v>
      </c>
      <c r="B69" s="25" t="s">
        <v>9</v>
      </c>
      <c r="C69" s="25" t="s">
        <v>12</v>
      </c>
      <c r="D69" s="25">
        <f t="shared" si="0"/>
        <v>40</v>
      </c>
      <c r="E69" s="25">
        <v>2</v>
      </c>
      <c r="F69" s="25">
        <v>12</v>
      </c>
      <c r="G69" s="25">
        <v>30</v>
      </c>
      <c r="H69" s="25">
        <v>10</v>
      </c>
      <c r="I69" s="25">
        <f t="shared" si="1"/>
        <v>8</v>
      </c>
      <c r="J69" s="25"/>
      <c r="K69" s="25"/>
      <c r="L69" s="25">
        <f t="shared" si="25"/>
        <v>3.8171275555053855E-2</v>
      </c>
      <c r="M69" s="25">
        <v>3.73943265799675E-3</v>
      </c>
      <c r="N69" s="25"/>
      <c r="O69" s="25"/>
      <c r="P69" s="25">
        <f t="shared" si="21"/>
        <v>0.41592210559967574</v>
      </c>
      <c r="Q69" s="25">
        <v>2.2956851736574E-2</v>
      </c>
      <c r="R69" s="25"/>
      <c r="S69" s="25"/>
      <c r="T69" s="25">
        <f t="shared" si="22"/>
        <v>0.92681066528788059</v>
      </c>
      <c r="U69" s="25">
        <v>4.0893314039571896E-3</v>
      </c>
      <c r="V69" s="25"/>
      <c r="W69" s="26"/>
      <c r="X69" s="25">
        <f t="shared" si="23"/>
        <v>7.3189334712119428E-2</v>
      </c>
      <c r="Y69" s="25">
        <v>4.0874286244513896E-3</v>
      </c>
      <c r="Z69" s="25"/>
      <c r="AA69" s="25"/>
      <c r="AB69" s="25"/>
      <c r="AC69" s="25"/>
      <c r="AD69" s="25"/>
      <c r="AE69" s="25"/>
      <c r="AF69" s="25">
        <f t="shared" si="24"/>
        <v>0.44818734085396539</v>
      </c>
      <c r="AG69" s="25">
        <v>2.4617974060636202E-2</v>
      </c>
    </row>
    <row r="70" spans="1:33" hidden="1" x14ac:dyDescent="0.3">
      <c r="A70" s="25">
        <v>2001</v>
      </c>
      <c r="B70" s="25" t="s">
        <v>9</v>
      </c>
      <c r="C70" s="25" t="s">
        <v>12</v>
      </c>
      <c r="D70" s="25">
        <f t="shared" si="0"/>
        <v>9</v>
      </c>
      <c r="E70" s="25">
        <v>0</v>
      </c>
      <c r="F70" s="25">
        <v>9</v>
      </c>
      <c r="G70" s="25">
        <v>9</v>
      </c>
      <c r="H70" s="25">
        <v>0</v>
      </c>
      <c r="I70" s="25">
        <f>H70-E70</f>
        <v>0</v>
      </c>
      <c r="J70" s="25"/>
      <c r="K70" s="25"/>
      <c r="L70" s="25">
        <f t="shared" si="25"/>
        <v>3.8171275555053855E-2</v>
      </c>
      <c r="M70" s="25">
        <v>3.73943265799675E-3</v>
      </c>
      <c r="N70" s="25"/>
      <c r="O70" s="25"/>
      <c r="P70" s="25">
        <f t="shared" si="21"/>
        <v>0.41592210559967574</v>
      </c>
      <c r="Q70" s="25">
        <v>2.2956851736574E-2</v>
      </c>
      <c r="R70" s="25"/>
      <c r="S70" s="25"/>
      <c r="T70" s="25">
        <f t="shared" si="22"/>
        <v>0.92681066528788059</v>
      </c>
      <c r="U70" s="25">
        <v>4.0893314039571896E-3</v>
      </c>
      <c r="V70" s="25"/>
      <c r="W70" s="26"/>
      <c r="X70" s="25">
        <f t="shared" si="23"/>
        <v>7.3189334712119428E-2</v>
      </c>
      <c r="Y70" s="25">
        <v>4.0874286244513896E-3</v>
      </c>
      <c r="Z70" s="25"/>
      <c r="AA70" s="25"/>
      <c r="AB70" s="25"/>
      <c r="AC70" s="25"/>
      <c r="AD70" s="25"/>
      <c r="AE70" s="25"/>
      <c r="AF70" s="25">
        <f t="shared" si="24"/>
        <v>0.44818734085396539</v>
      </c>
      <c r="AG70" s="25">
        <v>2.4617974060636202E-2</v>
      </c>
    </row>
    <row r="71" spans="1:33" hidden="1" x14ac:dyDescent="0.3">
      <c r="A71" s="25">
        <v>2002</v>
      </c>
      <c r="B71" s="25" t="s">
        <v>9</v>
      </c>
      <c r="C71" s="25" t="s">
        <v>12</v>
      </c>
      <c r="D71" s="25">
        <f t="shared" si="0"/>
        <v>35</v>
      </c>
      <c r="E71" s="25">
        <v>3</v>
      </c>
      <c r="F71" s="25">
        <v>11</v>
      </c>
      <c r="G71" s="25">
        <v>31</v>
      </c>
      <c r="H71" s="25">
        <v>4</v>
      </c>
      <c r="I71" s="25">
        <f t="shared" si="1"/>
        <v>1</v>
      </c>
      <c r="J71" s="25"/>
      <c r="K71" s="25"/>
      <c r="L71" s="25">
        <f t="shared" si="25"/>
        <v>3.8171275555053855E-2</v>
      </c>
      <c r="M71" s="25">
        <v>3.73943265799675E-3</v>
      </c>
      <c r="N71" s="25"/>
      <c r="O71" s="25"/>
      <c r="P71" s="25">
        <f t="shared" si="21"/>
        <v>0.41592210559967574</v>
      </c>
      <c r="Q71" s="25">
        <v>2.2956851736574E-2</v>
      </c>
      <c r="R71" s="25"/>
      <c r="S71" s="25"/>
      <c r="T71" s="25">
        <f t="shared" si="22"/>
        <v>0.92681066528788059</v>
      </c>
      <c r="U71" s="25">
        <v>4.0893314039571896E-3</v>
      </c>
      <c r="V71" s="25"/>
      <c r="W71" s="26"/>
      <c r="X71" s="25">
        <f t="shared" si="23"/>
        <v>7.3189334712119428E-2</v>
      </c>
      <c r="Y71" s="25">
        <v>4.0874286244513896E-3</v>
      </c>
      <c r="Z71" s="25"/>
      <c r="AA71" s="25"/>
      <c r="AB71" s="25"/>
      <c r="AC71" s="25"/>
      <c r="AD71" s="25"/>
      <c r="AE71" s="25"/>
      <c r="AF71" s="25">
        <f t="shared" si="24"/>
        <v>0.44818734085396539</v>
      </c>
      <c r="AG71" s="25">
        <v>2.4617974060636202E-2</v>
      </c>
    </row>
    <row r="72" spans="1:33" hidden="1" x14ac:dyDescent="0.3">
      <c r="A72" s="25">
        <v>2003</v>
      </c>
      <c r="B72" s="25" t="s">
        <v>9</v>
      </c>
      <c r="C72" s="25" t="s">
        <v>12</v>
      </c>
      <c r="D72" s="25">
        <f t="shared" si="0"/>
        <v>61</v>
      </c>
      <c r="E72" s="25">
        <v>4</v>
      </c>
      <c r="F72" s="25">
        <v>31</v>
      </c>
      <c r="G72" s="25">
        <v>52</v>
      </c>
      <c r="H72" s="25">
        <v>9</v>
      </c>
      <c r="I72" s="25">
        <f t="shared" si="1"/>
        <v>5</v>
      </c>
      <c r="J72" s="25">
        <f t="shared" ref="J72:J87" si="26">E72/D72</f>
        <v>6.5573770491803282E-2</v>
      </c>
      <c r="K72" s="25">
        <f t="shared" ref="K72:K87" si="27">(J72*(1-J72))/(D72-1)</f>
        <v>1.0212308519215265E-3</v>
      </c>
      <c r="L72" s="25">
        <f t="shared" si="25"/>
        <v>3.8171275555053855E-2</v>
      </c>
      <c r="M72" s="25">
        <v>3.73943265799675E-3</v>
      </c>
      <c r="N72" s="25">
        <f t="shared" ref="N72:N87" si="28">F72/D72</f>
        <v>0.50819672131147542</v>
      </c>
      <c r="O72" s="25">
        <f t="shared" ref="O72:O87" si="29">(N72*(1-N72))/($D72-1)</f>
        <v>4.1655468959956995E-3</v>
      </c>
      <c r="P72" s="25">
        <f t="shared" si="21"/>
        <v>0.41592210559967574</v>
      </c>
      <c r="Q72" s="25">
        <v>2.2956851736574E-2</v>
      </c>
      <c r="R72" s="25">
        <f t="shared" ref="R72:R87" si="30">G72/D72</f>
        <v>0.85245901639344257</v>
      </c>
      <c r="S72" s="25">
        <f t="shared" ref="S72:S87" si="31">(R72*(1-R72))/($D72-1)</f>
        <v>2.0962106960494497E-3</v>
      </c>
      <c r="T72" s="25">
        <f t="shared" si="22"/>
        <v>0.92681066528788059</v>
      </c>
      <c r="U72" s="25">
        <v>4.0893314039571896E-3</v>
      </c>
      <c r="V72" s="25">
        <f t="shared" ref="V72:V87" si="32">H72/D72</f>
        <v>0.14754098360655737</v>
      </c>
      <c r="W72" s="26">
        <f t="shared" ref="W72" si="33">(V72*(1-V72))/(D72-1)</f>
        <v>2.0962106960494492E-3</v>
      </c>
      <c r="X72" s="25">
        <f t="shared" si="23"/>
        <v>7.3189334712119428E-2</v>
      </c>
      <c r="Y72" s="25">
        <v>4.0874286244513896E-3</v>
      </c>
      <c r="Z72" s="25"/>
      <c r="AA72" s="25"/>
      <c r="AB72" s="25"/>
      <c r="AC72" s="25"/>
      <c r="AD72" s="25">
        <f t="shared" ref="AD72:AD87" si="34">F72/G72</f>
        <v>0.59615384615384615</v>
      </c>
      <c r="AE72" s="25">
        <f t="shared" ref="AE72:AE87" si="35">(AD72*(1-AD72))/(G72-1)</f>
        <v>4.7206752523494605E-3</v>
      </c>
      <c r="AF72" s="25">
        <f t="shared" si="24"/>
        <v>0.44818734085396539</v>
      </c>
      <c r="AG72" s="25">
        <v>2.4617974060636202E-2</v>
      </c>
    </row>
    <row r="73" spans="1:33" hidden="1" x14ac:dyDescent="0.3">
      <c r="A73" s="25">
        <v>2004</v>
      </c>
      <c r="B73" s="25" t="s">
        <v>9</v>
      </c>
      <c r="C73" s="25" t="s">
        <v>12</v>
      </c>
      <c r="D73" s="25">
        <f t="shared" ref="D73:D144" si="36">G73+H73</f>
        <v>12</v>
      </c>
      <c r="E73" s="25">
        <v>0</v>
      </c>
      <c r="F73" s="25">
        <v>6</v>
      </c>
      <c r="G73" s="25">
        <v>12</v>
      </c>
      <c r="H73" s="25">
        <v>0</v>
      </c>
      <c r="I73" s="25">
        <f t="shared" ref="I73:I92" si="37">H73-E73</f>
        <v>0</v>
      </c>
      <c r="J73" s="25"/>
      <c r="K73" s="25"/>
      <c r="L73" s="25">
        <f t="shared" si="25"/>
        <v>3.8171275555053855E-2</v>
      </c>
      <c r="M73" s="25">
        <v>3.73943265799675E-3</v>
      </c>
      <c r="N73" s="25"/>
      <c r="O73" s="25"/>
      <c r="P73" s="25">
        <f t="shared" si="21"/>
        <v>0.41592210559967574</v>
      </c>
      <c r="Q73" s="25">
        <v>2.2956851736574E-2</v>
      </c>
      <c r="R73" s="25"/>
      <c r="S73" s="25"/>
      <c r="T73" s="25">
        <f t="shared" si="22"/>
        <v>0.92681066528788059</v>
      </c>
      <c r="U73" s="25">
        <v>4.0893314039571896E-3</v>
      </c>
      <c r="V73" s="25"/>
      <c r="W73" s="26"/>
      <c r="X73" s="25">
        <f t="shared" si="23"/>
        <v>7.3189334712119428E-2</v>
      </c>
      <c r="Y73" s="25">
        <v>4.0874286244513896E-3</v>
      </c>
      <c r="Z73" s="25"/>
      <c r="AA73" s="25"/>
      <c r="AB73" s="25"/>
      <c r="AC73" s="25"/>
      <c r="AD73" s="25"/>
      <c r="AE73" s="25"/>
      <c r="AF73" s="25">
        <f t="shared" si="24"/>
        <v>0.44818734085396539</v>
      </c>
      <c r="AG73" s="25">
        <v>2.4617974060636202E-2</v>
      </c>
    </row>
    <row r="74" spans="1:33" hidden="1" x14ac:dyDescent="0.3">
      <c r="A74" s="25">
        <v>2005</v>
      </c>
      <c r="B74" s="25" t="s">
        <v>9</v>
      </c>
      <c r="C74" s="25" t="s">
        <v>12</v>
      </c>
      <c r="D74" s="25">
        <f t="shared" si="36"/>
        <v>64</v>
      </c>
      <c r="E74" s="25">
        <v>0</v>
      </c>
      <c r="F74" s="25">
        <v>29</v>
      </c>
      <c r="G74" s="25">
        <v>62</v>
      </c>
      <c r="H74" s="25">
        <v>2</v>
      </c>
      <c r="I74" s="25">
        <f t="shared" si="37"/>
        <v>2</v>
      </c>
      <c r="J74" s="25">
        <f t="shared" si="26"/>
        <v>0</v>
      </c>
      <c r="K74" s="25">
        <f t="shared" si="27"/>
        <v>0</v>
      </c>
      <c r="L74" s="25">
        <f t="shared" si="25"/>
        <v>3.8171275555053855E-2</v>
      </c>
      <c r="M74" s="25">
        <v>3.73943265799675E-3</v>
      </c>
      <c r="N74" s="25">
        <f t="shared" si="28"/>
        <v>0.453125</v>
      </c>
      <c r="O74" s="25">
        <f t="shared" si="29"/>
        <v>3.933376736111111E-3</v>
      </c>
      <c r="P74" s="25">
        <f t="shared" si="21"/>
        <v>0.41592210559967574</v>
      </c>
      <c r="Q74" s="25">
        <v>2.2956851736574E-2</v>
      </c>
      <c r="R74" s="25">
        <f t="shared" si="30"/>
        <v>0.96875</v>
      </c>
      <c r="S74" s="25">
        <f t="shared" si="31"/>
        <v>4.8053075396825394E-4</v>
      </c>
      <c r="T74" s="25">
        <f t="shared" si="22"/>
        <v>0.92681066528788059</v>
      </c>
      <c r="U74" s="25">
        <v>4.0893314039571896E-3</v>
      </c>
      <c r="V74" s="25">
        <f t="shared" si="32"/>
        <v>3.125E-2</v>
      </c>
      <c r="W74" s="26">
        <f t="shared" ref="W74" si="38">(V74*(1-V74))/(D74-1)</f>
        <v>4.8053075396825394E-4</v>
      </c>
      <c r="X74" s="25">
        <f t="shared" si="23"/>
        <v>7.3189334712119428E-2</v>
      </c>
      <c r="Y74" s="25">
        <v>4.0874286244513896E-3</v>
      </c>
      <c r="Z74" s="25"/>
      <c r="AA74" s="25"/>
      <c r="AB74" s="25"/>
      <c r="AC74" s="25"/>
      <c r="AD74" s="25">
        <f t="shared" si="34"/>
        <v>0.46774193548387094</v>
      </c>
      <c r="AE74" s="25">
        <f t="shared" si="35"/>
        <v>4.0813019225192336E-3</v>
      </c>
      <c r="AF74" s="25">
        <f t="shared" si="24"/>
        <v>0.44818734085396539</v>
      </c>
      <c r="AG74" s="25">
        <v>2.4617974060636202E-2</v>
      </c>
    </row>
    <row r="75" spans="1:33" hidden="1" x14ac:dyDescent="0.3">
      <c r="A75" s="25">
        <v>2006</v>
      </c>
      <c r="B75" s="25" t="s">
        <v>9</v>
      </c>
      <c r="C75" s="25" t="s">
        <v>12</v>
      </c>
      <c r="D75" s="25">
        <f t="shared" si="36"/>
        <v>25</v>
      </c>
      <c r="E75" s="25">
        <v>2</v>
      </c>
      <c r="F75" s="25">
        <v>10</v>
      </c>
      <c r="G75" s="25">
        <v>20</v>
      </c>
      <c r="H75" s="25">
        <v>5</v>
      </c>
      <c r="I75" s="25">
        <f t="shared" si="37"/>
        <v>3</v>
      </c>
      <c r="J75" s="25"/>
      <c r="K75" s="25"/>
      <c r="L75" s="25">
        <f t="shared" si="25"/>
        <v>3.8171275555053855E-2</v>
      </c>
      <c r="M75" s="25">
        <v>3.73943265799675E-3</v>
      </c>
      <c r="N75" s="25"/>
      <c r="O75" s="25"/>
      <c r="P75" s="25">
        <f t="shared" si="21"/>
        <v>0.41592210559967574</v>
      </c>
      <c r="Q75" s="25">
        <v>2.2956851736574E-2</v>
      </c>
      <c r="R75" s="25"/>
      <c r="S75" s="25"/>
      <c r="T75" s="25">
        <f t="shared" si="22"/>
        <v>0.92681066528788059</v>
      </c>
      <c r="U75" s="25">
        <v>4.0893314039571896E-3</v>
      </c>
      <c r="V75" s="25"/>
      <c r="W75" s="26"/>
      <c r="X75" s="25">
        <f t="shared" si="23"/>
        <v>7.3189334712119428E-2</v>
      </c>
      <c r="Y75" s="25">
        <v>4.0874286244513896E-3</v>
      </c>
      <c r="Z75" s="25"/>
      <c r="AA75" s="25"/>
      <c r="AB75" s="25"/>
      <c r="AC75" s="25"/>
      <c r="AD75" s="25"/>
      <c r="AE75" s="25"/>
      <c r="AF75" s="25">
        <f t="shared" si="24"/>
        <v>0.44818734085396539</v>
      </c>
      <c r="AG75" s="25">
        <v>2.4617974060636202E-2</v>
      </c>
    </row>
    <row r="76" spans="1:33" hidden="1" x14ac:dyDescent="0.3">
      <c r="A76" s="25">
        <v>2007</v>
      </c>
      <c r="B76" s="25" t="s">
        <v>9</v>
      </c>
      <c r="C76" s="25" t="s">
        <v>12</v>
      </c>
      <c r="D76" s="25">
        <f t="shared" si="36"/>
        <v>35</v>
      </c>
      <c r="E76" s="25">
        <v>0</v>
      </c>
      <c r="F76" s="25">
        <v>10</v>
      </c>
      <c r="G76" s="25">
        <v>30</v>
      </c>
      <c r="H76" s="25">
        <v>5</v>
      </c>
      <c r="I76" s="25">
        <f t="shared" si="37"/>
        <v>5</v>
      </c>
      <c r="J76" s="25"/>
      <c r="K76" s="25"/>
      <c r="L76" s="25">
        <f t="shared" si="25"/>
        <v>3.8171275555053855E-2</v>
      </c>
      <c r="M76" s="25">
        <v>3.73943265799675E-3</v>
      </c>
      <c r="N76" s="25"/>
      <c r="O76" s="25"/>
      <c r="P76" s="25">
        <f t="shared" si="21"/>
        <v>0.41592210559967574</v>
      </c>
      <c r="Q76" s="25">
        <v>2.2956851736574E-2</v>
      </c>
      <c r="R76" s="25"/>
      <c r="S76" s="25"/>
      <c r="T76" s="25">
        <f t="shared" si="22"/>
        <v>0.92681066528788059</v>
      </c>
      <c r="U76" s="25">
        <v>4.0893314039571896E-3</v>
      </c>
      <c r="V76" s="25"/>
      <c r="W76" s="26"/>
      <c r="X76" s="25">
        <f t="shared" si="23"/>
        <v>7.3189334712119428E-2</v>
      </c>
      <c r="Y76" s="25">
        <v>4.0874286244513896E-3</v>
      </c>
      <c r="Z76" s="25"/>
      <c r="AA76" s="25"/>
      <c r="AB76" s="25"/>
      <c r="AC76" s="25"/>
      <c r="AD76" s="25"/>
      <c r="AE76" s="25"/>
      <c r="AF76" s="25">
        <f t="shared" si="24"/>
        <v>0.44818734085396539</v>
      </c>
      <c r="AG76" s="25">
        <v>2.4617974060636202E-2</v>
      </c>
    </row>
    <row r="77" spans="1:33" hidden="1" x14ac:dyDescent="0.3">
      <c r="A77" s="25">
        <v>2008</v>
      </c>
      <c r="B77" s="25" t="s">
        <v>9</v>
      </c>
      <c r="C77" s="25" t="s">
        <v>12</v>
      </c>
      <c r="D77" s="25">
        <f t="shared" si="36"/>
        <v>6</v>
      </c>
      <c r="E77" s="25">
        <v>2</v>
      </c>
      <c r="F77" s="25">
        <v>2</v>
      </c>
      <c r="G77" s="25">
        <v>4</v>
      </c>
      <c r="H77" s="25">
        <v>2</v>
      </c>
      <c r="I77" s="25">
        <f t="shared" si="37"/>
        <v>0</v>
      </c>
      <c r="J77" s="25"/>
      <c r="K77" s="25"/>
      <c r="L77" s="25">
        <f t="shared" si="25"/>
        <v>3.8171275555053855E-2</v>
      </c>
      <c r="M77" s="25">
        <v>3.73943265799675E-3</v>
      </c>
      <c r="N77" s="25"/>
      <c r="O77" s="25"/>
      <c r="P77" s="25">
        <f t="shared" si="21"/>
        <v>0.41592210559967574</v>
      </c>
      <c r="Q77" s="25">
        <v>2.2956851736574E-2</v>
      </c>
      <c r="R77" s="25"/>
      <c r="S77" s="25"/>
      <c r="T77" s="25">
        <f t="shared" si="22"/>
        <v>0.92681066528788059</v>
      </c>
      <c r="U77" s="25">
        <v>4.0893314039571896E-3</v>
      </c>
      <c r="V77" s="25"/>
      <c r="W77" s="26"/>
      <c r="X77" s="25">
        <f t="shared" si="23"/>
        <v>7.3189334712119428E-2</v>
      </c>
      <c r="Y77" s="25">
        <v>4.0874286244513896E-3</v>
      </c>
      <c r="Z77" s="25"/>
      <c r="AA77" s="25"/>
      <c r="AB77" s="25"/>
      <c r="AC77" s="25"/>
      <c r="AD77" s="25"/>
      <c r="AE77" s="25"/>
      <c r="AF77" s="25">
        <f t="shared" si="24"/>
        <v>0.44818734085396539</v>
      </c>
      <c r="AG77" s="25">
        <v>2.4617974060636202E-2</v>
      </c>
    </row>
    <row r="78" spans="1:33" hidden="1" x14ac:dyDescent="0.3">
      <c r="A78" s="25">
        <v>2009</v>
      </c>
      <c r="B78" s="25" t="s">
        <v>9</v>
      </c>
      <c r="C78" s="25" t="s">
        <v>12</v>
      </c>
      <c r="D78" s="25">
        <f t="shared" si="36"/>
        <v>71</v>
      </c>
      <c r="E78" s="25">
        <v>16</v>
      </c>
      <c r="F78" s="25">
        <v>23</v>
      </c>
      <c r="G78" s="25">
        <v>54</v>
      </c>
      <c r="H78" s="25">
        <v>17</v>
      </c>
      <c r="I78" s="25">
        <f t="shared" si="37"/>
        <v>1</v>
      </c>
      <c r="J78" s="25">
        <f t="shared" si="26"/>
        <v>0.22535211267605634</v>
      </c>
      <c r="K78" s="25">
        <f t="shared" si="27"/>
        <v>2.4938362569784907E-3</v>
      </c>
      <c r="L78" s="25">
        <f t="shared" si="25"/>
        <v>3.8171275555053855E-2</v>
      </c>
      <c r="M78" s="25">
        <v>3.73943265799675E-3</v>
      </c>
      <c r="N78" s="25">
        <f t="shared" si="28"/>
        <v>0.323943661971831</v>
      </c>
      <c r="O78" s="25">
        <f t="shared" si="29"/>
        <v>3.1286309405730156E-3</v>
      </c>
      <c r="P78" s="25">
        <f t="shared" si="21"/>
        <v>0.41592210559967574</v>
      </c>
      <c r="Q78" s="25">
        <v>2.2956851736574E-2</v>
      </c>
      <c r="R78" s="25">
        <f t="shared" si="30"/>
        <v>0.76056338028169013</v>
      </c>
      <c r="S78" s="25">
        <f t="shared" si="31"/>
        <v>2.6015246408025621E-3</v>
      </c>
      <c r="T78" s="25">
        <f t="shared" si="22"/>
        <v>0.92681066528788059</v>
      </c>
      <c r="U78" s="25">
        <v>4.0893314039571896E-3</v>
      </c>
      <c r="V78" s="25">
        <f t="shared" si="32"/>
        <v>0.23943661971830985</v>
      </c>
      <c r="W78" s="26">
        <f t="shared" ref="W78:W86" si="39">(V78*(1-V78))/(D78-1)</f>
        <v>2.6015246408025616E-3</v>
      </c>
      <c r="X78" s="25">
        <f t="shared" si="23"/>
        <v>7.3189334712119428E-2</v>
      </c>
      <c r="Y78" s="25">
        <v>4.0874286244513896E-3</v>
      </c>
      <c r="Z78" s="25"/>
      <c r="AA78" s="25"/>
      <c r="AB78" s="25"/>
      <c r="AC78" s="25"/>
      <c r="AD78" s="25">
        <f t="shared" si="34"/>
        <v>0.42592592592592593</v>
      </c>
      <c r="AE78" s="25">
        <f t="shared" si="35"/>
        <v>4.6134534254729919E-3</v>
      </c>
      <c r="AF78" s="25">
        <f t="shared" si="24"/>
        <v>0.44818734085396539</v>
      </c>
      <c r="AG78" s="25">
        <v>2.4617974060636202E-2</v>
      </c>
    </row>
    <row r="79" spans="1:33" hidden="1" x14ac:dyDescent="0.3">
      <c r="A79" s="25">
        <v>2010</v>
      </c>
      <c r="B79" s="25" t="s">
        <v>9</v>
      </c>
      <c r="C79" s="25" t="s">
        <v>12</v>
      </c>
      <c r="D79" s="25">
        <f t="shared" si="36"/>
        <v>330</v>
      </c>
      <c r="E79" s="25">
        <v>2</v>
      </c>
      <c r="F79" s="25">
        <v>84</v>
      </c>
      <c r="G79" s="25">
        <v>321</v>
      </c>
      <c r="H79" s="25">
        <v>9</v>
      </c>
      <c r="I79" s="25">
        <f t="shared" si="37"/>
        <v>7</v>
      </c>
      <c r="J79" s="25">
        <f t="shared" si="26"/>
        <v>6.0606060606060606E-3</v>
      </c>
      <c r="K79" s="25">
        <f t="shared" si="27"/>
        <v>1.8309650804815214E-5</v>
      </c>
      <c r="L79" s="25">
        <f t="shared" si="25"/>
        <v>3.8171275555053855E-2</v>
      </c>
      <c r="M79" s="25">
        <v>3.73943265799675E-3</v>
      </c>
      <c r="N79" s="25">
        <f t="shared" si="28"/>
        <v>0.25454545454545452</v>
      </c>
      <c r="O79" s="25">
        <f t="shared" si="29"/>
        <v>5.7675400035167926E-4</v>
      </c>
      <c r="P79" s="25">
        <f t="shared" si="21"/>
        <v>0.41592210559967574</v>
      </c>
      <c r="Q79" s="25">
        <v>2.2956851736574E-2</v>
      </c>
      <c r="R79" s="25">
        <f t="shared" si="30"/>
        <v>0.97272727272727277</v>
      </c>
      <c r="S79" s="25">
        <f t="shared" si="31"/>
        <v>8.0635032279132725E-5</v>
      </c>
      <c r="T79" s="25">
        <f t="shared" si="22"/>
        <v>0.92681066528788059</v>
      </c>
      <c r="U79" s="25">
        <v>4.0893314039571896E-3</v>
      </c>
      <c r="V79" s="25">
        <f t="shared" si="32"/>
        <v>2.7272727272727271E-2</v>
      </c>
      <c r="W79" s="26">
        <f t="shared" si="39"/>
        <v>8.0635032279132861E-5</v>
      </c>
      <c r="X79" s="25">
        <f t="shared" si="23"/>
        <v>7.3189334712119428E-2</v>
      </c>
      <c r="Y79" s="25">
        <v>4.0874286244513896E-3</v>
      </c>
      <c r="Z79" s="25"/>
      <c r="AA79" s="25"/>
      <c r="AB79" s="25"/>
      <c r="AC79" s="25"/>
      <c r="AD79" s="25">
        <f t="shared" si="34"/>
        <v>0.26168224299065418</v>
      </c>
      <c r="AE79" s="25">
        <f t="shared" si="35"/>
        <v>6.0376452091885744E-4</v>
      </c>
      <c r="AF79" s="25">
        <f t="shared" si="24"/>
        <v>0.44818734085396539</v>
      </c>
      <c r="AG79" s="25">
        <v>2.4617974060636202E-2</v>
      </c>
    </row>
    <row r="80" spans="1:33" hidden="1" x14ac:dyDescent="0.3">
      <c r="A80" s="25">
        <v>2011</v>
      </c>
      <c r="B80" s="25" t="s">
        <v>9</v>
      </c>
      <c r="C80" s="25" t="s">
        <v>12</v>
      </c>
      <c r="D80" s="25">
        <f t="shared" si="36"/>
        <v>92</v>
      </c>
      <c r="E80" s="25">
        <v>6</v>
      </c>
      <c r="F80" s="25">
        <v>30</v>
      </c>
      <c r="G80" s="25">
        <v>82</v>
      </c>
      <c r="H80" s="25">
        <v>10</v>
      </c>
      <c r="I80" s="25">
        <f t="shared" si="37"/>
        <v>4</v>
      </c>
      <c r="J80" s="25">
        <f t="shared" si="26"/>
        <v>6.5217391304347824E-2</v>
      </c>
      <c r="K80" s="25">
        <f t="shared" si="27"/>
        <v>6.6993497995388352E-4</v>
      </c>
      <c r="L80" s="25">
        <f t="shared" si="25"/>
        <v>3.8171275555053855E-2</v>
      </c>
      <c r="M80" s="25">
        <v>3.73943265799675E-3</v>
      </c>
      <c r="N80" s="25">
        <f t="shared" si="28"/>
        <v>0.32608695652173914</v>
      </c>
      <c r="O80" s="25">
        <f t="shared" si="29"/>
        <v>2.414881904484929E-3</v>
      </c>
      <c r="P80" s="25">
        <f t="shared" si="21"/>
        <v>0.41592210559967574</v>
      </c>
      <c r="Q80" s="25">
        <v>2.2956851736574E-2</v>
      </c>
      <c r="R80" s="25">
        <f t="shared" si="30"/>
        <v>0.89130434782608692</v>
      </c>
      <c r="S80" s="25">
        <f t="shared" si="31"/>
        <v>1.0646253557406681E-3</v>
      </c>
      <c r="T80" s="25">
        <f t="shared" si="22"/>
        <v>0.92681066528788059</v>
      </c>
      <c r="U80" s="25">
        <v>4.0893314039571896E-3</v>
      </c>
      <c r="V80" s="25">
        <f t="shared" si="32"/>
        <v>0.10869565217391304</v>
      </c>
      <c r="W80" s="26">
        <f t="shared" si="39"/>
        <v>1.0646253557406676E-3</v>
      </c>
      <c r="X80" s="25">
        <f t="shared" si="23"/>
        <v>7.3189334712119428E-2</v>
      </c>
      <c r="Y80" s="25">
        <v>4.0874286244513896E-3</v>
      </c>
      <c r="Z80" s="25"/>
      <c r="AA80" s="25"/>
      <c r="AB80" s="25"/>
      <c r="AC80" s="25"/>
      <c r="AD80" s="25">
        <f t="shared" si="34"/>
        <v>0.36585365853658536</v>
      </c>
      <c r="AE80" s="25">
        <f t="shared" si="35"/>
        <v>2.864256284839271E-3</v>
      </c>
      <c r="AF80" s="25">
        <f t="shared" si="24"/>
        <v>0.44818734085396539</v>
      </c>
      <c r="AG80" s="25">
        <v>2.4617974060636202E-2</v>
      </c>
    </row>
    <row r="81" spans="1:33" hidden="1" x14ac:dyDescent="0.3">
      <c r="A81" s="25">
        <v>2012</v>
      </c>
      <c r="B81" s="25" t="s">
        <v>9</v>
      </c>
      <c r="C81" s="25" t="s">
        <v>12</v>
      </c>
      <c r="D81" s="25">
        <f t="shared" si="36"/>
        <v>210</v>
      </c>
      <c r="E81" s="25">
        <v>8</v>
      </c>
      <c r="F81" s="25">
        <v>35</v>
      </c>
      <c r="G81" s="25">
        <v>190</v>
      </c>
      <c r="H81" s="25">
        <v>20</v>
      </c>
      <c r="I81" s="25">
        <f t="shared" si="37"/>
        <v>12</v>
      </c>
      <c r="J81" s="25">
        <f t="shared" si="26"/>
        <v>3.8095238095238099E-2</v>
      </c>
      <c r="K81" s="25">
        <f t="shared" si="27"/>
        <v>1.7533010014213023E-4</v>
      </c>
      <c r="L81" s="25">
        <f t="shared" si="25"/>
        <v>3.8171275555053855E-2</v>
      </c>
      <c r="M81" s="25">
        <v>3.73943265799675E-3</v>
      </c>
      <c r="N81" s="25">
        <f t="shared" si="28"/>
        <v>0.16666666666666666</v>
      </c>
      <c r="O81" s="25">
        <f t="shared" si="29"/>
        <v>6.6454013822434877E-4</v>
      </c>
      <c r="P81" s="25">
        <f t="shared" si="21"/>
        <v>0.41592210559967574</v>
      </c>
      <c r="Q81" s="25">
        <v>2.2956851736574E-2</v>
      </c>
      <c r="R81" s="25">
        <f t="shared" si="30"/>
        <v>0.90476190476190477</v>
      </c>
      <c r="S81" s="25">
        <f t="shared" si="31"/>
        <v>4.1228612657184078E-4</v>
      </c>
      <c r="T81" s="25">
        <f t="shared" si="22"/>
        <v>0.92681066528788059</v>
      </c>
      <c r="U81" s="25">
        <v>4.0893314039571896E-3</v>
      </c>
      <c r="V81" s="25">
        <f t="shared" si="32"/>
        <v>9.5238095238095233E-2</v>
      </c>
      <c r="W81" s="26">
        <f t="shared" si="39"/>
        <v>4.1228612657184078E-4</v>
      </c>
      <c r="X81" s="25">
        <f t="shared" si="23"/>
        <v>7.3189334712119428E-2</v>
      </c>
      <c r="Y81" s="25">
        <v>4.0874286244513896E-3</v>
      </c>
      <c r="Z81" s="25"/>
      <c r="AA81" s="25"/>
      <c r="AB81" s="25"/>
      <c r="AC81" s="25"/>
      <c r="AD81" s="25">
        <f t="shared" si="34"/>
        <v>0.18421052631578946</v>
      </c>
      <c r="AE81" s="25">
        <f t="shared" si="35"/>
        <v>7.9511644608597502E-4</v>
      </c>
      <c r="AF81" s="25">
        <f t="shared" si="24"/>
        <v>0.44818734085396539</v>
      </c>
      <c r="AG81" s="25">
        <v>2.4617974060636202E-2</v>
      </c>
    </row>
    <row r="82" spans="1:33" hidden="1" x14ac:dyDescent="0.3">
      <c r="A82" s="25">
        <v>2013</v>
      </c>
      <c r="B82" s="25" t="s">
        <v>9</v>
      </c>
      <c r="C82" s="25" t="s">
        <v>12</v>
      </c>
      <c r="D82" s="25">
        <f t="shared" si="36"/>
        <v>74</v>
      </c>
      <c r="E82" s="25">
        <v>0</v>
      </c>
      <c r="F82" s="25">
        <v>28</v>
      </c>
      <c r="G82" s="25">
        <v>69</v>
      </c>
      <c r="H82" s="25">
        <v>5</v>
      </c>
      <c r="I82" s="25">
        <f t="shared" si="37"/>
        <v>5</v>
      </c>
      <c r="J82" s="25">
        <f t="shared" si="26"/>
        <v>0</v>
      </c>
      <c r="K82" s="25">
        <f t="shared" si="27"/>
        <v>0</v>
      </c>
      <c r="L82" s="25">
        <f t="shared" si="25"/>
        <v>3.8171275555053855E-2</v>
      </c>
      <c r="M82" s="25">
        <v>3.73943265799675E-3</v>
      </c>
      <c r="N82" s="25">
        <f t="shared" si="28"/>
        <v>0.3783783783783784</v>
      </c>
      <c r="O82" s="25">
        <f t="shared" si="29"/>
        <v>3.2220298788236592E-3</v>
      </c>
      <c r="P82" s="25">
        <f t="shared" si="21"/>
        <v>0.41592210559967574</v>
      </c>
      <c r="Q82" s="25">
        <v>2.2956851736574E-2</v>
      </c>
      <c r="R82" s="25">
        <f t="shared" si="30"/>
        <v>0.93243243243243246</v>
      </c>
      <c r="S82" s="25">
        <f t="shared" si="31"/>
        <v>8.6304371754205125E-4</v>
      </c>
      <c r="T82" s="25">
        <f t="shared" si="22"/>
        <v>0.92681066528788059</v>
      </c>
      <c r="U82" s="25">
        <v>4.0893314039571896E-3</v>
      </c>
      <c r="V82" s="25">
        <f t="shared" si="32"/>
        <v>6.7567567567567571E-2</v>
      </c>
      <c r="W82" s="26">
        <f t="shared" si="39"/>
        <v>8.6304371754205168E-4</v>
      </c>
      <c r="X82" s="25">
        <f t="shared" si="23"/>
        <v>7.3189334712119428E-2</v>
      </c>
      <c r="Y82" s="25">
        <v>4.0874286244513896E-3</v>
      </c>
      <c r="Z82" s="25"/>
      <c r="AA82" s="25"/>
      <c r="AB82" s="25"/>
      <c r="AC82" s="25"/>
      <c r="AD82" s="25">
        <f t="shared" si="34"/>
        <v>0.40579710144927539</v>
      </c>
      <c r="AE82" s="25">
        <f t="shared" si="35"/>
        <v>3.5459678515388513E-3</v>
      </c>
      <c r="AF82" s="25">
        <f t="shared" si="24"/>
        <v>0.44818734085396539</v>
      </c>
      <c r="AG82" s="25">
        <v>2.4617974060636202E-2</v>
      </c>
    </row>
    <row r="83" spans="1:33" hidden="1" x14ac:dyDescent="0.3">
      <c r="A83" s="25">
        <v>2014</v>
      </c>
      <c r="B83" s="25" t="s">
        <v>9</v>
      </c>
      <c r="C83" s="25" t="s">
        <v>12</v>
      </c>
      <c r="D83" s="25">
        <f t="shared" si="36"/>
        <v>153</v>
      </c>
      <c r="E83" s="25">
        <v>2</v>
      </c>
      <c r="F83" s="25">
        <v>59</v>
      </c>
      <c r="G83" s="25">
        <v>146</v>
      </c>
      <c r="H83" s="25">
        <v>7</v>
      </c>
      <c r="I83" s="25">
        <f t="shared" si="37"/>
        <v>5</v>
      </c>
      <c r="J83" s="25">
        <f t="shared" si="26"/>
        <v>1.3071895424836602E-2</v>
      </c>
      <c r="K83" s="25">
        <f t="shared" si="27"/>
        <v>8.4875137992360122E-5</v>
      </c>
      <c r="L83" s="25">
        <f t="shared" si="25"/>
        <v>3.8171275555053855E-2</v>
      </c>
      <c r="M83" s="25">
        <v>3.73943265799675E-3</v>
      </c>
      <c r="N83" s="25">
        <f t="shared" si="28"/>
        <v>0.38562091503267976</v>
      </c>
      <c r="O83" s="25">
        <f t="shared" si="29"/>
        <v>1.5586672692239378E-3</v>
      </c>
      <c r="P83" s="25">
        <f t="shared" si="21"/>
        <v>0.41592210559967574</v>
      </c>
      <c r="Q83" s="25">
        <v>2.2956851736574E-2</v>
      </c>
      <c r="R83" s="25">
        <f t="shared" si="30"/>
        <v>0.95424836601307195</v>
      </c>
      <c r="S83" s="25">
        <f t="shared" si="31"/>
        <v>2.8722646035825148E-4</v>
      </c>
      <c r="T83" s="25">
        <f t="shared" si="22"/>
        <v>0.92681066528788059</v>
      </c>
      <c r="U83" s="25">
        <v>4.0893314039571896E-3</v>
      </c>
      <c r="V83" s="25">
        <f t="shared" si="32"/>
        <v>4.5751633986928102E-2</v>
      </c>
      <c r="W83" s="26">
        <f t="shared" si="39"/>
        <v>2.8722646035825175E-4</v>
      </c>
      <c r="X83" s="25">
        <f t="shared" si="23"/>
        <v>7.3189334712119428E-2</v>
      </c>
      <c r="Y83" s="25">
        <v>4.0874286244513896E-3</v>
      </c>
      <c r="Z83" s="25"/>
      <c r="AA83" s="25"/>
      <c r="AB83" s="25"/>
      <c r="AC83" s="25"/>
      <c r="AD83" s="25">
        <f t="shared" si="34"/>
        <v>0.4041095890410959</v>
      </c>
      <c r="AE83" s="25">
        <f t="shared" si="35"/>
        <v>1.6607243385250514E-3</v>
      </c>
      <c r="AF83" s="25">
        <f t="shared" si="24"/>
        <v>0.44818734085396539</v>
      </c>
      <c r="AG83" s="25">
        <v>2.4617974060636202E-2</v>
      </c>
    </row>
    <row r="84" spans="1:33" hidden="1" x14ac:dyDescent="0.3">
      <c r="A84" s="25">
        <v>2015</v>
      </c>
      <c r="B84" s="25" t="s">
        <v>9</v>
      </c>
      <c r="C84" s="25" t="s">
        <v>12</v>
      </c>
      <c r="D84" s="25">
        <f t="shared" si="36"/>
        <v>63</v>
      </c>
      <c r="E84" s="25">
        <v>0</v>
      </c>
      <c r="F84" s="25">
        <v>27</v>
      </c>
      <c r="G84" s="25">
        <v>63</v>
      </c>
      <c r="H84" s="25">
        <v>0</v>
      </c>
      <c r="I84" s="25">
        <f t="shared" si="37"/>
        <v>0</v>
      </c>
      <c r="J84" s="25">
        <f t="shared" si="26"/>
        <v>0</v>
      </c>
      <c r="K84" s="25">
        <f t="shared" si="27"/>
        <v>0</v>
      </c>
      <c r="L84" s="25">
        <f t="shared" si="25"/>
        <v>3.8171275555053855E-2</v>
      </c>
      <c r="M84" s="25">
        <v>3.73943265799675E-3</v>
      </c>
      <c r="N84" s="25">
        <f t="shared" si="28"/>
        <v>0.42857142857142855</v>
      </c>
      <c r="O84" s="25">
        <f t="shared" si="29"/>
        <v>3.949967083607636E-3</v>
      </c>
      <c r="P84" s="25">
        <f t="shared" si="21"/>
        <v>0.41592210559967574</v>
      </c>
      <c r="Q84" s="25">
        <v>2.2956851736574E-2</v>
      </c>
      <c r="R84" s="25">
        <f t="shared" si="30"/>
        <v>1</v>
      </c>
      <c r="S84" s="25">
        <f t="shared" si="31"/>
        <v>0</v>
      </c>
      <c r="T84" s="25">
        <f t="shared" si="22"/>
        <v>0.92681066528788059</v>
      </c>
      <c r="U84" s="25">
        <v>4.0893314039571896E-3</v>
      </c>
      <c r="V84" s="25">
        <f t="shared" si="32"/>
        <v>0</v>
      </c>
      <c r="W84" s="26">
        <f t="shared" si="39"/>
        <v>0</v>
      </c>
      <c r="X84" s="25">
        <f t="shared" si="23"/>
        <v>7.3189334712119428E-2</v>
      </c>
      <c r="Y84" s="25">
        <v>4.0874286244513896E-3</v>
      </c>
      <c r="Z84" s="25"/>
      <c r="AA84" s="25"/>
      <c r="AB84" s="25"/>
      <c r="AC84" s="25"/>
      <c r="AD84" s="25">
        <f t="shared" si="34"/>
        <v>0.42857142857142855</v>
      </c>
      <c r="AE84" s="25">
        <f t="shared" si="35"/>
        <v>3.949967083607636E-3</v>
      </c>
      <c r="AF84" s="25">
        <f t="shared" si="24"/>
        <v>0.44818734085396539</v>
      </c>
      <c r="AG84" s="25">
        <v>2.4617974060636202E-2</v>
      </c>
    </row>
    <row r="85" spans="1:33" hidden="1" x14ac:dyDescent="0.3">
      <c r="A85" s="25">
        <v>2016</v>
      </c>
      <c r="B85" s="25" t="s">
        <v>9</v>
      </c>
      <c r="C85" s="25" t="s">
        <v>12</v>
      </c>
      <c r="D85" s="25">
        <f t="shared" si="36"/>
        <v>110</v>
      </c>
      <c r="E85" s="25">
        <v>0</v>
      </c>
      <c r="F85" s="25">
        <v>41</v>
      </c>
      <c r="G85" s="25">
        <v>105</v>
      </c>
      <c r="H85" s="25">
        <v>5</v>
      </c>
      <c r="I85" s="25">
        <f t="shared" si="37"/>
        <v>5</v>
      </c>
      <c r="J85" s="25">
        <f t="shared" si="26"/>
        <v>0</v>
      </c>
      <c r="K85" s="25">
        <f t="shared" si="27"/>
        <v>0</v>
      </c>
      <c r="L85" s="25">
        <f t="shared" si="25"/>
        <v>3.8171275555053855E-2</v>
      </c>
      <c r="M85" s="25">
        <v>3.73943265799675E-3</v>
      </c>
      <c r="N85" s="25">
        <f t="shared" si="28"/>
        <v>0.37272727272727274</v>
      </c>
      <c r="O85" s="25">
        <f t="shared" si="29"/>
        <v>2.1449692925923115E-3</v>
      </c>
      <c r="P85" s="25">
        <f t="shared" si="21"/>
        <v>0.41592210559967574</v>
      </c>
      <c r="Q85" s="25">
        <v>2.2956851736574E-2</v>
      </c>
      <c r="R85" s="25">
        <f t="shared" si="30"/>
        <v>0.95454545454545459</v>
      </c>
      <c r="S85" s="25">
        <f>(R85*(1-R85))/($D85-1)</f>
        <v>3.9805898855106497E-4</v>
      </c>
      <c r="T85" s="25">
        <f t="shared" si="22"/>
        <v>0.92681066528788059</v>
      </c>
      <c r="U85" s="25">
        <v>4.0893314039571896E-3</v>
      </c>
      <c r="V85" s="25">
        <f t="shared" si="32"/>
        <v>4.5454545454545456E-2</v>
      </c>
      <c r="W85" s="26">
        <f t="shared" si="39"/>
        <v>3.980589885510653E-4</v>
      </c>
      <c r="X85" s="25">
        <f t="shared" si="23"/>
        <v>7.3189334712119428E-2</v>
      </c>
      <c r="Y85" s="25">
        <v>4.0874286244513896E-3</v>
      </c>
      <c r="Z85" s="25"/>
      <c r="AA85" s="25"/>
      <c r="AB85" s="25"/>
      <c r="AC85" s="25"/>
      <c r="AD85" s="25">
        <f t="shared" si="34"/>
        <v>0.39047619047619048</v>
      </c>
      <c r="AE85" s="25">
        <f t="shared" si="35"/>
        <v>2.2885051456480029E-3</v>
      </c>
      <c r="AF85" s="25">
        <f t="shared" si="24"/>
        <v>0.44818734085396539</v>
      </c>
      <c r="AG85" s="25">
        <v>2.4617974060636202E-2</v>
      </c>
    </row>
    <row r="86" spans="1:33" hidden="1" x14ac:dyDescent="0.3">
      <c r="A86" s="25">
        <v>2017</v>
      </c>
      <c r="B86" s="25" t="s">
        <v>9</v>
      </c>
      <c r="C86" s="25" t="s">
        <v>12</v>
      </c>
      <c r="D86" s="25">
        <f t="shared" si="36"/>
        <v>77</v>
      </c>
      <c r="E86" s="25">
        <v>2</v>
      </c>
      <c r="F86" s="25">
        <v>45</v>
      </c>
      <c r="G86" s="25">
        <v>74</v>
      </c>
      <c r="H86" s="25">
        <v>3</v>
      </c>
      <c r="I86" s="25">
        <f t="shared" si="37"/>
        <v>1</v>
      </c>
      <c r="J86" s="25">
        <f t="shared" si="26"/>
        <v>2.5974025974025976E-2</v>
      </c>
      <c r="K86" s="25">
        <f t="shared" si="27"/>
        <v>3.3288652564113946E-4</v>
      </c>
      <c r="L86" s="25">
        <f t="shared" si="25"/>
        <v>3.8171275555053855E-2</v>
      </c>
      <c r="M86" s="25">
        <v>3.73943265799675E-3</v>
      </c>
      <c r="N86" s="25">
        <f t="shared" si="28"/>
        <v>0.58441558441558439</v>
      </c>
      <c r="O86" s="25">
        <f t="shared" si="29"/>
        <v>3.1957106461549386E-3</v>
      </c>
      <c r="P86" s="25">
        <f t="shared" si="21"/>
        <v>0.41592210559967574</v>
      </c>
      <c r="Q86" s="25">
        <v>2.2956851736574E-2</v>
      </c>
      <c r="R86" s="25">
        <f t="shared" si="30"/>
        <v>0.96103896103896103</v>
      </c>
      <c r="S86" s="25">
        <f t="shared" si="31"/>
        <v>4.9267205794888656E-4</v>
      </c>
      <c r="T86" s="25">
        <f t="shared" si="22"/>
        <v>0.92681066528788059</v>
      </c>
      <c r="U86" s="25">
        <v>4.0893314039571896E-3</v>
      </c>
      <c r="V86" s="25">
        <f t="shared" si="32"/>
        <v>3.896103896103896E-2</v>
      </c>
      <c r="W86" s="26">
        <f t="shared" si="39"/>
        <v>4.9267205794888635E-4</v>
      </c>
      <c r="X86" s="25">
        <f t="shared" si="23"/>
        <v>7.3189334712119428E-2</v>
      </c>
      <c r="Y86" s="25">
        <v>4.0874286244513896E-3</v>
      </c>
      <c r="Z86" s="25"/>
      <c r="AA86" s="25"/>
      <c r="AB86" s="25"/>
      <c r="AC86" s="25"/>
      <c r="AD86" s="25">
        <f t="shared" si="34"/>
        <v>0.60810810810810811</v>
      </c>
      <c r="AE86" s="25">
        <f t="shared" si="35"/>
        <v>3.2645566707025426E-3</v>
      </c>
      <c r="AF86" s="25">
        <f t="shared" si="24"/>
        <v>0.44818734085396539</v>
      </c>
      <c r="AG86" s="25">
        <v>2.4617974060636202E-2</v>
      </c>
    </row>
    <row r="87" spans="1:33" hidden="1" x14ac:dyDescent="0.3">
      <c r="A87" s="25">
        <v>2018</v>
      </c>
      <c r="B87" s="25" t="s">
        <v>9</v>
      </c>
      <c r="C87" s="25" t="s">
        <v>12</v>
      </c>
      <c r="D87" s="25">
        <f t="shared" si="36"/>
        <v>307</v>
      </c>
      <c r="E87" s="25">
        <v>12</v>
      </c>
      <c r="F87" s="25">
        <v>140</v>
      </c>
      <c r="G87" s="25">
        <v>287</v>
      </c>
      <c r="H87" s="25">
        <v>20</v>
      </c>
      <c r="I87" s="25">
        <f t="shared" si="37"/>
        <v>8</v>
      </c>
      <c r="J87" s="25">
        <f t="shared" si="26"/>
        <v>3.9087947882736153E-2</v>
      </c>
      <c r="K87" s="25">
        <f t="shared" si="27"/>
        <v>1.2274536017337469E-4</v>
      </c>
      <c r="L87" s="25">
        <f>AVERAGE(J$72,J$74,J$78:J$88)</f>
        <v>3.8171275555053855E-2</v>
      </c>
      <c r="M87" s="25">
        <v>3.73943265799675E-3</v>
      </c>
      <c r="N87" s="25">
        <f t="shared" si="28"/>
        <v>0.4560260586319218</v>
      </c>
      <c r="O87" s="25">
        <f t="shared" si="29"/>
        <v>8.1067415843319218E-4</v>
      </c>
      <c r="P87" s="25">
        <f>AVERAGE(N$72,N$74,N$78:N$88)</f>
        <v>0.41592210559967574</v>
      </c>
      <c r="Q87" s="25">
        <v>2.2956851736574E-2</v>
      </c>
      <c r="R87" s="25">
        <f t="shared" si="30"/>
        <v>0.93485342019543971</v>
      </c>
      <c r="S87" s="25">
        <f t="shared" si="31"/>
        <v>1.9902778739976584E-4</v>
      </c>
      <c r="T87" s="25">
        <f>AVERAGE(R$72,R$74,R$78:R$88)</f>
        <v>0.92681066528788059</v>
      </c>
      <c r="U87" s="25">
        <v>4.0893314039571896E-3</v>
      </c>
      <c r="V87" s="25">
        <f t="shared" si="32"/>
        <v>6.5146579804560262E-2</v>
      </c>
      <c r="W87" s="26">
        <f t="shared" ref="W87:W89" si="40">(V87*(1-V87))/(D87-1)</f>
        <v>1.9902778739976575E-4</v>
      </c>
      <c r="X87" s="25">
        <f>AVERAGE(V$72,V$74,V$78:V$88)</f>
        <v>7.3189334712119428E-2</v>
      </c>
      <c r="Y87" s="25">
        <v>4.0874286244513896E-3</v>
      </c>
      <c r="Z87" s="25"/>
      <c r="AA87" s="25"/>
      <c r="AB87" s="25"/>
      <c r="AC87" s="25"/>
      <c r="AD87" s="25">
        <f t="shared" si="34"/>
        <v>0.48780487804878048</v>
      </c>
      <c r="AE87" s="25">
        <f t="shared" si="35"/>
        <v>8.7360587063145068E-4</v>
      </c>
      <c r="AF87" s="25">
        <f>AVERAGE(AD$72,AD$74,AD$78:AD$88)</f>
        <v>0.44818734085396539</v>
      </c>
      <c r="AG87" s="25">
        <v>2.4617974060636202E-2</v>
      </c>
    </row>
    <row r="88" spans="1:33" hidden="1" x14ac:dyDescent="0.3">
      <c r="A88" s="25">
        <v>2019</v>
      </c>
      <c r="B88" s="25" t="s">
        <v>9</v>
      </c>
      <c r="C88" s="25" t="s">
        <v>12</v>
      </c>
      <c r="D88" s="25">
        <f t="shared" si="36"/>
        <v>281</v>
      </c>
      <c r="E88" s="25">
        <v>5</v>
      </c>
      <c r="F88" s="25">
        <v>216</v>
      </c>
      <c r="G88" s="25">
        <v>270</v>
      </c>
      <c r="H88" s="25">
        <v>11</v>
      </c>
      <c r="I88" s="25">
        <f t="shared" si="37"/>
        <v>6</v>
      </c>
      <c r="J88" s="25">
        <f>E88/D88</f>
        <v>1.7793594306049824E-2</v>
      </c>
      <c r="K88" s="25">
        <f t="shared" ref="K88:K89" si="41">(J88*(1-J88))/(D88-1)</f>
        <v>6.2417793956148339E-5</v>
      </c>
      <c r="L88" s="25">
        <f t="shared" si="25"/>
        <v>3.8171275555053855E-2</v>
      </c>
      <c r="M88" s="25">
        <v>3.73943265799675E-3</v>
      </c>
      <c r="N88" s="25">
        <f>F88/D88</f>
        <v>0.76868327402135228</v>
      </c>
      <c r="O88" s="25">
        <f t="shared" ref="O88:O90" si="42">(N88*(1-N88))/($D88-1)</f>
        <v>6.3503320807559616E-4</v>
      </c>
      <c r="P88" s="25">
        <f>AVERAGE(N$72,N$74,N$78:N$88)</f>
        <v>0.41592210559967574</v>
      </c>
      <c r="Q88" s="25">
        <v>2.2956851736574E-2</v>
      </c>
      <c r="R88" s="25">
        <f>G88/D88</f>
        <v>0.96085409252669041</v>
      </c>
      <c r="S88" s="25">
        <f t="shared" ref="S88:S89" si="43">(R88*(1-R88))/($D88-1)</f>
        <v>1.3433394786214526E-4</v>
      </c>
      <c r="T88" s="25">
        <f>AVERAGE(R$72,R$74,R$78:R$88)</f>
        <v>0.92681066528788059</v>
      </c>
      <c r="U88" s="25">
        <v>4.0893314039571896E-3</v>
      </c>
      <c r="V88" s="25">
        <f>H88/D88</f>
        <v>3.9145907473309607E-2</v>
      </c>
      <c r="W88" s="26">
        <f t="shared" si="40"/>
        <v>1.3433394786214532E-4</v>
      </c>
      <c r="X88" s="25">
        <f>AVERAGE(V$72,V$74,V$78:V$88)</f>
        <v>7.3189334712119428E-2</v>
      </c>
      <c r="Y88" s="25">
        <v>4.0874286244513896E-3</v>
      </c>
      <c r="Z88" s="25"/>
      <c r="AA88" s="25"/>
      <c r="AB88" s="25"/>
      <c r="AC88" s="25"/>
      <c r="AD88" s="25">
        <f>F88/G88</f>
        <v>0.8</v>
      </c>
      <c r="AE88" s="25">
        <f t="shared" ref="AE88:AE89" si="44">(AD88*(1-AD88))/(G88-1)</f>
        <v>5.9479553903345715E-4</v>
      </c>
      <c r="AF88" s="25">
        <f>AVERAGE(AD$72,AD$74,AD$78:AD$88)</f>
        <v>0.44818734085396539</v>
      </c>
      <c r="AG88" s="25">
        <v>2.4617974060636202E-2</v>
      </c>
    </row>
    <row r="89" spans="1:33" hidden="1" x14ac:dyDescent="0.3">
      <c r="A89" s="25">
        <v>2020</v>
      </c>
      <c r="B89" s="25" t="s">
        <v>9</v>
      </c>
      <c r="C89" s="25" t="s">
        <v>12</v>
      </c>
      <c r="D89" s="25">
        <f t="shared" si="36"/>
        <v>159</v>
      </c>
      <c r="E89" s="25">
        <v>3</v>
      </c>
      <c r="F89" s="25">
        <v>123</v>
      </c>
      <c r="G89" s="25">
        <v>151</v>
      </c>
      <c r="H89" s="25">
        <v>8</v>
      </c>
      <c r="I89" s="25">
        <f t="shared" si="37"/>
        <v>5</v>
      </c>
      <c r="J89" s="25">
        <f t="shared" ref="J89" si="45">E89/D89</f>
        <v>1.8867924528301886E-2</v>
      </c>
      <c r="K89" s="25">
        <f t="shared" si="41"/>
        <v>1.1716408830567211E-4</v>
      </c>
      <c r="L89" s="25"/>
      <c r="M89" s="25"/>
      <c r="N89" s="25">
        <f t="shared" ref="N89:N90" si="46">F89/D89</f>
        <v>0.77358490566037741</v>
      </c>
      <c r="O89" s="25">
        <f t="shared" si="42"/>
        <v>1.108552527815205E-3</v>
      </c>
      <c r="P89" s="25"/>
      <c r="Q89" s="25"/>
      <c r="R89" s="25">
        <f t="shared" ref="R89" si="47">G89/D89</f>
        <v>0.94968553459119498</v>
      </c>
      <c r="S89" s="25">
        <f t="shared" si="43"/>
        <v>3.0242354417361509E-4</v>
      </c>
      <c r="T89" s="25"/>
      <c r="U89" s="25"/>
      <c r="V89" s="25">
        <f t="shared" ref="V89:V90" si="48">H89/D89</f>
        <v>5.0314465408805034E-2</v>
      </c>
      <c r="W89" s="26">
        <f t="shared" si="40"/>
        <v>3.0242354417361515E-4</v>
      </c>
      <c r="X89" s="25"/>
      <c r="Y89" s="25"/>
      <c r="Z89" s="25"/>
      <c r="AA89" s="25"/>
      <c r="AB89" s="25"/>
      <c r="AC89" s="25"/>
      <c r="AD89" s="25">
        <f t="shared" ref="AD89" si="49">F89/G89</f>
        <v>0.81456953642384111</v>
      </c>
      <c r="AE89" s="25">
        <f t="shared" si="44"/>
        <v>1.0069733783605978E-3</v>
      </c>
      <c r="AF89" s="25"/>
      <c r="AG89" s="25"/>
    </row>
    <row r="90" spans="1:33" hidden="1" x14ac:dyDescent="0.3">
      <c r="A90" s="25">
        <v>2021</v>
      </c>
      <c r="B90" s="25" t="s">
        <v>9</v>
      </c>
      <c r="C90" s="25" t="s">
        <v>12</v>
      </c>
      <c r="D90" s="25">
        <f t="shared" si="36"/>
        <v>103</v>
      </c>
      <c r="E90" s="25">
        <v>2</v>
      </c>
      <c r="F90" s="25">
        <v>83</v>
      </c>
      <c r="G90" s="25">
        <v>99</v>
      </c>
      <c r="H90" s="25">
        <v>4</v>
      </c>
      <c r="I90" s="25">
        <f t="shared" si="37"/>
        <v>2</v>
      </c>
      <c r="J90" s="25">
        <f>E90/D90</f>
        <v>1.9417475728155338E-2</v>
      </c>
      <c r="K90" s="25">
        <f t="shared" ref="K90" si="50">(J90*(1-J90))/(D90-1)</f>
        <v>1.8667095455393955E-4</v>
      </c>
      <c r="L90" s="25"/>
      <c r="M90" s="25"/>
      <c r="N90" s="25">
        <f t="shared" si="46"/>
        <v>0.80582524271844658</v>
      </c>
      <c r="O90" s="25">
        <f t="shared" si="42"/>
        <v>1.534028636433365E-3</v>
      </c>
      <c r="P90" s="25"/>
      <c r="Q90" s="25"/>
      <c r="R90" s="25">
        <f>G90/D90</f>
        <v>0.96116504854368934</v>
      </c>
      <c r="S90" s="25">
        <f t="shared" ref="S90" si="51">(R90*(1-R90))/($D90-1)</f>
        <v>3.659490000166339E-4</v>
      </c>
      <c r="T90" s="25"/>
      <c r="U90" s="25"/>
      <c r="V90" s="25">
        <f t="shared" si="48"/>
        <v>3.8834951456310676E-2</v>
      </c>
      <c r="W90" s="26">
        <f t="shared" ref="W90" si="52">(V90*(1-V90))/(D90-1)</f>
        <v>3.6594900001663406E-4</v>
      </c>
      <c r="X90" s="25"/>
      <c r="Y90" s="25"/>
      <c r="Z90" s="25"/>
      <c r="AA90" s="25"/>
      <c r="AB90" s="25"/>
      <c r="AC90" s="25"/>
      <c r="AD90" s="25">
        <f>F90/G90</f>
        <v>0.83838383838383834</v>
      </c>
      <c r="AE90" s="25">
        <f t="shared" ref="AE90" si="53">(AD90*(1-AD90))/(G90-1)</f>
        <v>1.3826161012308203E-3</v>
      </c>
      <c r="AF90" s="25"/>
      <c r="AG90" s="25"/>
    </row>
    <row r="91" spans="1:33" hidden="1" x14ac:dyDescent="0.3">
      <c r="A91" s="15">
        <v>2022</v>
      </c>
      <c r="B91" s="15" t="s">
        <v>9</v>
      </c>
      <c r="C91" s="15" t="s">
        <v>12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6"/>
      <c r="X91" s="25"/>
      <c r="Y91" s="25"/>
      <c r="Z91" s="25"/>
      <c r="AA91" s="25"/>
      <c r="AB91" s="25"/>
      <c r="AC91" s="25"/>
      <c r="AD91" s="25"/>
      <c r="AE91" s="25"/>
      <c r="AF91" s="25"/>
      <c r="AG91" s="25"/>
    </row>
    <row r="92" spans="1:33" hidden="1" x14ac:dyDescent="0.3">
      <c r="A92">
        <v>1993</v>
      </c>
      <c r="B92" t="s">
        <v>11</v>
      </c>
      <c r="C92" t="s">
        <v>12</v>
      </c>
      <c r="D92">
        <f t="shared" si="36"/>
        <v>6</v>
      </c>
      <c r="E92">
        <v>0</v>
      </c>
      <c r="F92">
        <v>4</v>
      </c>
      <c r="G92">
        <v>6</v>
      </c>
      <c r="H92">
        <v>0</v>
      </c>
      <c r="I92">
        <f t="shared" si="37"/>
        <v>0</v>
      </c>
    </row>
    <row r="93" spans="1:33" hidden="1" x14ac:dyDescent="0.3">
      <c r="A93">
        <v>1994</v>
      </c>
      <c r="B93" t="s">
        <v>11</v>
      </c>
      <c r="C93" t="s">
        <v>12</v>
      </c>
      <c r="D93">
        <f t="shared" si="36"/>
        <v>0</v>
      </c>
      <c r="E93">
        <v>0</v>
      </c>
      <c r="F93">
        <v>0</v>
      </c>
      <c r="G93">
        <v>0</v>
      </c>
      <c r="H93">
        <v>0</v>
      </c>
      <c r="I93">
        <f>H93-E93</f>
        <v>0</v>
      </c>
    </row>
    <row r="94" spans="1:33" hidden="1" x14ac:dyDescent="0.3">
      <c r="A94">
        <v>1995</v>
      </c>
      <c r="B94" t="s">
        <v>11</v>
      </c>
      <c r="C94" t="s">
        <v>12</v>
      </c>
      <c r="D94">
        <f t="shared" si="36"/>
        <v>7</v>
      </c>
      <c r="E94">
        <v>0</v>
      </c>
      <c r="F94">
        <v>3</v>
      </c>
      <c r="G94">
        <v>7</v>
      </c>
      <c r="H94">
        <v>0</v>
      </c>
      <c r="I94">
        <f t="shared" ref="I94:I123" si="54">H94-E94</f>
        <v>0</v>
      </c>
    </row>
    <row r="95" spans="1:33" hidden="1" x14ac:dyDescent="0.3">
      <c r="A95">
        <v>1996</v>
      </c>
      <c r="B95" t="s">
        <v>11</v>
      </c>
      <c r="C95" t="s">
        <v>12</v>
      </c>
      <c r="D95">
        <f t="shared" si="36"/>
        <v>13</v>
      </c>
      <c r="E95">
        <v>0</v>
      </c>
      <c r="F95">
        <v>2</v>
      </c>
      <c r="G95">
        <v>13</v>
      </c>
      <c r="H95">
        <v>0</v>
      </c>
      <c r="I95">
        <f t="shared" si="54"/>
        <v>0</v>
      </c>
    </row>
    <row r="96" spans="1:33" hidden="1" x14ac:dyDescent="0.3">
      <c r="A96">
        <v>1997</v>
      </c>
      <c r="B96" t="s">
        <v>11</v>
      </c>
      <c r="C96" t="s">
        <v>12</v>
      </c>
      <c r="D96">
        <f t="shared" si="36"/>
        <v>32</v>
      </c>
      <c r="E96">
        <v>2</v>
      </c>
      <c r="F96">
        <v>17</v>
      </c>
      <c r="G96">
        <v>30</v>
      </c>
      <c r="H96">
        <v>2</v>
      </c>
      <c r="I96">
        <f t="shared" si="54"/>
        <v>0</v>
      </c>
    </row>
    <row r="97" spans="1:33" hidden="1" x14ac:dyDescent="0.3">
      <c r="A97">
        <v>1998</v>
      </c>
      <c r="B97" t="s">
        <v>11</v>
      </c>
      <c r="C97" t="s">
        <v>12</v>
      </c>
      <c r="D97">
        <f t="shared" si="36"/>
        <v>27</v>
      </c>
      <c r="E97">
        <v>0</v>
      </c>
      <c r="F97">
        <v>16</v>
      </c>
      <c r="G97">
        <v>27</v>
      </c>
      <c r="H97">
        <v>0</v>
      </c>
      <c r="I97">
        <f t="shared" si="54"/>
        <v>0</v>
      </c>
      <c r="L97">
        <f t="shared" ref="L97:L116" si="55">AVERAGE(J$98,J$100,J$108:J$118)</f>
        <v>1.6067861584743104E-2</v>
      </c>
      <c r="M97">
        <v>3.0588377238467202E-4</v>
      </c>
      <c r="P97">
        <f t="shared" ref="P97:P116" si="56">AVERAGE(N$98,N$100,N$108:N$118)</f>
        <v>0.42417996311218026</v>
      </c>
      <c r="Q97">
        <v>2.9257475540852E-2</v>
      </c>
      <c r="T97">
        <f t="shared" ref="T97:T116" si="57">AVERAGE(R$98,R$100,R$108:R$118)</f>
        <v>0.96636533224366006</v>
      </c>
      <c r="U97">
        <v>7.5886792126357301E-4</v>
      </c>
      <c r="X97">
        <f t="shared" ref="X97:X116" si="58">AVERAGE(V$98,V$100,V$108:V$118)</f>
        <v>3.3634667756339942E-2</v>
      </c>
      <c r="Y97">
        <v>7.5928412258466902E-4</v>
      </c>
      <c r="AF97">
        <f t="shared" ref="AF97:AF116" si="59">AVERAGE(AD$98,AD$100,AD$108:AD$118)</f>
        <v>0.4395240753384293</v>
      </c>
      <c r="AG97">
        <v>3.0790833911267201E-2</v>
      </c>
    </row>
    <row r="98" spans="1:33" hidden="1" x14ac:dyDescent="0.3">
      <c r="A98">
        <v>1999</v>
      </c>
      <c r="B98" t="s">
        <v>11</v>
      </c>
      <c r="C98" t="s">
        <v>12</v>
      </c>
      <c r="D98">
        <f t="shared" si="36"/>
        <v>60</v>
      </c>
      <c r="E98">
        <v>0</v>
      </c>
      <c r="F98">
        <v>39</v>
      </c>
      <c r="G98">
        <v>59</v>
      </c>
      <c r="H98">
        <v>1</v>
      </c>
      <c r="I98">
        <f t="shared" si="54"/>
        <v>1</v>
      </c>
      <c r="J98">
        <f t="shared" ref="J98:J119" si="60">E98/D98</f>
        <v>0</v>
      </c>
      <c r="K98">
        <f t="shared" ref="K98:K117" si="61">(J98*(1-J98))/(D98-1)</f>
        <v>0</v>
      </c>
      <c r="L98">
        <f t="shared" si="55"/>
        <v>1.6067861584743104E-2</v>
      </c>
      <c r="M98">
        <v>3.0588377238467202E-4</v>
      </c>
      <c r="N98">
        <f t="shared" ref="N98:N117" si="62">F98/D98</f>
        <v>0.65</v>
      </c>
      <c r="O98">
        <f t="shared" ref="O98:O117" si="63">(N98*(1-N98))/($D98-1)</f>
        <v>3.85593220338983E-3</v>
      </c>
      <c r="P98">
        <f t="shared" si="56"/>
        <v>0.42417996311218026</v>
      </c>
      <c r="Q98">
        <v>2.9257475540852E-2</v>
      </c>
      <c r="R98">
        <f t="shared" ref="R98:R117" si="64">G98/D98</f>
        <v>0.98333333333333328</v>
      </c>
      <c r="S98">
        <f t="shared" ref="S98:S117" si="65">(R98*(1-R98))/($D98-1)</f>
        <v>2.7777777777777864E-4</v>
      </c>
      <c r="T98">
        <f t="shared" si="57"/>
        <v>0.96636533224366006</v>
      </c>
      <c r="U98">
        <v>7.5886792126357301E-4</v>
      </c>
      <c r="V98">
        <f t="shared" ref="V98:V117" si="66">H98/D98</f>
        <v>1.6666666666666666E-2</v>
      </c>
      <c r="W98" s="23">
        <f t="shared" ref="W98" si="67">(V98*(1-V98))/(D98-1)</f>
        <v>2.7777777777777772E-4</v>
      </c>
      <c r="X98">
        <f t="shared" si="58"/>
        <v>3.3634667756339942E-2</v>
      </c>
      <c r="Y98">
        <v>7.5928412258466902E-4</v>
      </c>
      <c r="AD98">
        <f t="shared" ref="AD98:AD117" si="68">F98/G98</f>
        <v>0.66101694915254239</v>
      </c>
      <c r="AE98">
        <f t="shared" ref="AE98:AE116" si="69">(AD98*(1-AD98))/(G98-1)</f>
        <v>3.8633369325104757E-3</v>
      </c>
      <c r="AF98">
        <f t="shared" si="59"/>
        <v>0.4395240753384293</v>
      </c>
      <c r="AG98">
        <v>3.0790833911267201E-2</v>
      </c>
    </row>
    <row r="99" spans="1:33" hidden="1" x14ac:dyDescent="0.3">
      <c r="A99">
        <v>2000</v>
      </c>
      <c r="B99" t="s">
        <v>11</v>
      </c>
      <c r="C99" t="s">
        <v>12</v>
      </c>
      <c r="D99">
        <f t="shared" si="36"/>
        <v>41</v>
      </c>
      <c r="E99">
        <v>0</v>
      </c>
      <c r="F99">
        <v>27</v>
      </c>
      <c r="G99">
        <v>41</v>
      </c>
      <c r="H99">
        <v>0</v>
      </c>
      <c r="I99">
        <f t="shared" si="54"/>
        <v>0</v>
      </c>
      <c r="L99">
        <f t="shared" si="55"/>
        <v>1.6067861584743104E-2</v>
      </c>
      <c r="M99">
        <v>3.0588377238467202E-4</v>
      </c>
      <c r="P99">
        <f t="shared" si="56"/>
        <v>0.42417996311218026</v>
      </c>
      <c r="Q99">
        <v>2.9257475540852E-2</v>
      </c>
      <c r="T99">
        <f t="shared" si="57"/>
        <v>0.96636533224366006</v>
      </c>
      <c r="U99">
        <v>7.5886792126357301E-4</v>
      </c>
      <c r="X99">
        <f t="shared" si="58"/>
        <v>3.3634667756339942E-2</v>
      </c>
      <c r="Y99">
        <v>7.5928412258466902E-4</v>
      </c>
      <c r="AF99">
        <f t="shared" si="59"/>
        <v>0.4395240753384293</v>
      </c>
      <c r="AG99">
        <v>3.0790833911267201E-2</v>
      </c>
    </row>
    <row r="100" spans="1:33" hidden="1" x14ac:dyDescent="0.3">
      <c r="A100">
        <v>2001</v>
      </c>
      <c r="B100" t="s">
        <v>11</v>
      </c>
      <c r="C100" t="s">
        <v>12</v>
      </c>
      <c r="D100">
        <f t="shared" si="36"/>
        <v>56</v>
      </c>
      <c r="E100">
        <v>0</v>
      </c>
      <c r="F100">
        <v>30</v>
      </c>
      <c r="G100">
        <v>55</v>
      </c>
      <c r="H100">
        <v>1</v>
      </c>
      <c r="I100">
        <f t="shared" si="54"/>
        <v>1</v>
      </c>
      <c r="J100">
        <f t="shared" si="60"/>
        <v>0</v>
      </c>
      <c r="K100">
        <f t="shared" si="61"/>
        <v>0</v>
      </c>
      <c r="L100">
        <f t="shared" si="55"/>
        <v>1.6067861584743104E-2</v>
      </c>
      <c r="M100">
        <v>3.0588377238467202E-4</v>
      </c>
      <c r="N100">
        <f t="shared" si="62"/>
        <v>0.5357142857142857</v>
      </c>
      <c r="O100">
        <f t="shared" si="63"/>
        <v>4.5222634508348793E-3</v>
      </c>
      <c r="P100">
        <f t="shared" si="56"/>
        <v>0.42417996311218026</v>
      </c>
      <c r="Q100">
        <v>2.9257475540852E-2</v>
      </c>
      <c r="R100">
        <f t="shared" si="64"/>
        <v>0.9821428571428571</v>
      </c>
      <c r="S100">
        <f t="shared" si="65"/>
        <v>3.1887755102040901E-4</v>
      </c>
      <c r="T100">
        <f t="shared" si="57"/>
        <v>0.96636533224366006</v>
      </c>
      <c r="U100">
        <v>7.5886792126357301E-4</v>
      </c>
      <c r="V100">
        <f t="shared" si="66"/>
        <v>1.7857142857142856E-2</v>
      </c>
      <c r="W100" s="23">
        <f t="shared" ref="W100" si="70">(V100*(1-V100))/(D100-1)</f>
        <v>3.1887755102040814E-4</v>
      </c>
      <c r="X100">
        <f t="shared" si="58"/>
        <v>3.3634667756339942E-2</v>
      </c>
      <c r="Y100">
        <v>7.5928412258466902E-4</v>
      </c>
      <c r="AD100">
        <f t="shared" si="68"/>
        <v>0.54545454545454541</v>
      </c>
      <c r="AE100">
        <f t="shared" si="69"/>
        <v>4.5913682277318639E-3</v>
      </c>
      <c r="AF100">
        <f t="shared" si="59"/>
        <v>0.4395240753384293</v>
      </c>
      <c r="AG100">
        <v>3.0790833911267201E-2</v>
      </c>
    </row>
    <row r="101" spans="1:33" hidden="1" x14ac:dyDescent="0.3">
      <c r="A101">
        <v>2002</v>
      </c>
      <c r="B101" t="s">
        <v>11</v>
      </c>
      <c r="C101" t="s">
        <v>12</v>
      </c>
      <c r="D101">
        <f t="shared" si="36"/>
        <v>32</v>
      </c>
      <c r="E101">
        <v>0</v>
      </c>
      <c r="F101">
        <v>10</v>
      </c>
      <c r="G101">
        <v>32</v>
      </c>
      <c r="H101">
        <v>0</v>
      </c>
      <c r="I101">
        <f t="shared" si="54"/>
        <v>0</v>
      </c>
      <c r="L101">
        <f t="shared" si="55"/>
        <v>1.6067861584743104E-2</v>
      </c>
      <c r="M101">
        <v>3.0588377238467202E-4</v>
      </c>
      <c r="P101">
        <f t="shared" si="56"/>
        <v>0.42417996311218026</v>
      </c>
      <c r="Q101">
        <v>2.9257475540852E-2</v>
      </c>
      <c r="T101">
        <f t="shared" si="57"/>
        <v>0.96636533224366006</v>
      </c>
      <c r="U101">
        <v>7.5886792126357301E-4</v>
      </c>
      <c r="X101">
        <f t="shared" si="58"/>
        <v>3.3634667756339942E-2</v>
      </c>
      <c r="Y101">
        <v>7.5928412258466902E-4</v>
      </c>
      <c r="AF101">
        <f t="shared" si="59"/>
        <v>0.4395240753384293</v>
      </c>
      <c r="AG101">
        <v>3.0790833911267201E-2</v>
      </c>
    </row>
    <row r="102" spans="1:33" hidden="1" x14ac:dyDescent="0.3">
      <c r="A102">
        <v>2003</v>
      </c>
      <c r="B102" t="s">
        <v>11</v>
      </c>
      <c r="C102" t="s">
        <v>12</v>
      </c>
      <c r="D102">
        <f t="shared" si="36"/>
        <v>41</v>
      </c>
      <c r="E102">
        <v>0</v>
      </c>
      <c r="F102">
        <v>26</v>
      </c>
      <c r="G102">
        <v>40</v>
      </c>
      <c r="H102">
        <v>1</v>
      </c>
      <c r="I102">
        <f t="shared" si="54"/>
        <v>1</v>
      </c>
      <c r="L102">
        <f t="shared" si="55"/>
        <v>1.6067861584743104E-2</v>
      </c>
      <c r="M102">
        <v>3.0588377238467202E-4</v>
      </c>
      <c r="P102">
        <f t="shared" si="56"/>
        <v>0.42417996311218026</v>
      </c>
      <c r="Q102">
        <v>2.9257475540852E-2</v>
      </c>
      <c r="T102">
        <f t="shared" si="57"/>
        <v>0.96636533224366006</v>
      </c>
      <c r="U102">
        <v>7.5886792126357301E-4</v>
      </c>
      <c r="X102">
        <f t="shared" si="58"/>
        <v>3.3634667756339942E-2</v>
      </c>
      <c r="Y102">
        <v>7.5928412258466902E-4</v>
      </c>
      <c r="AF102">
        <f t="shared" si="59"/>
        <v>0.4395240753384293</v>
      </c>
      <c r="AG102">
        <v>3.0790833911267201E-2</v>
      </c>
    </row>
    <row r="103" spans="1:33" hidden="1" x14ac:dyDescent="0.3">
      <c r="A103">
        <v>2004</v>
      </c>
      <c r="B103" t="s">
        <v>11</v>
      </c>
      <c r="C103" t="s">
        <v>12</v>
      </c>
      <c r="D103">
        <f t="shared" si="36"/>
        <v>30</v>
      </c>
      <c r="E103">
        <v>1</v>
      </c>
      <c r="F103">
        <v>5</v>
      </c>
      <c r="G103">
        <v>27</v>
      </c>
      <c r="H103">
        <v>3</v>
      </c>
      <c r="I103">
        <f t="shared" si="54"/>
        <v>2</v>
      </c>
      <c r="L103">
        <f t="shared" si="55"/>
        <v>1.6067861584743104E-2</v>
      </c>
      <c r="M103">
        <v>3.0588377238467202E-4</v>
      </c>
      <c r="P103">
        <f t="shared" si="56"/>
        <v>0.42417996311218026</v>
      </c>
      <c r="Q103">
        <v>2.9257475540852E-2</v>
      </c>
      <c r="T103">
        <f t="shared" si="57"/>
        <v>0.96636533224366006</v>
      </c>
      <c r="U103">
        <v>7.5886792126357301E-4</v>
      </c>
      <c r="X103">
        <f t="shared" si="58"/>
        <v>3.3634667756339942E-2</v>
      </c>
      <c r="Y103">
        <v>7.5928412258466902E-4</v>
      </c>
      <c r="AF103">
        <f t="shared" si="59"/>
        <v>0.4395240753384293</v>
      </c>
      <c r="AG103">
        <v>3.0790833911267201E-2</v>
      </c>
    </row>
    <row r="104" spans="1:33" hidden="1" x14ac:dyDescent="0.3">
      <c r="A104">
        <v>2005</v>
      </c>
      <c r="B104" t="s">
        <v>11</v>
      </c>
      <c r="C104" t="s">
        <v>12</v>
      </c>
      <c r="D104">
        <f t="shared" si="36"/>
        <v>25</v>
      </c>
      <c r="E104">
        <v>1</v>
      </c>
      <c r="F104">
        <v>14</v>
      </c>
      <c r="G104">
        <v>24</v>
      </c>
      <c r="H104">
        <v>1</v>
      </c>
      <c r="I104">
        <f t="shared" si="54"/>
        <v>0</v>
      </c>
      <c r="L104">
        <f t="shared" si="55"/>
        <v>1.6067861584743104E-2</v>
      </c>
      <c r="M104">
        <v>3.0588377238467202E-4</v>
      </c>
      <c r="P104">
        <f t="shared" si="56"/>
        <v>0.42417996311218026</v>
      </c>
      <c r="Q104">
        <v>2.9257475540852E-2</v>
      </c>
      <c r="T104">
        <f t="shared" si="57"/>
        <v>0.96636533224366006</v>
      </c>
      <c r="U104">
        <v>7.5886792126357301E-4</v>
      </c>
      <c r="X104">
        <f t="shared" si="58"/>
        <v>3.3634667756339942E-2</v>
      </c>
      <c r="Y104">
        <v>7.5928412258466902E-4</v>
      </c>
      <c r="AF104">
        <f t="shared" si="59"/>
        <v>0.4395240753384293</v>
      </c>
      <c r="AG104">
        <v>3.0790833911267201E-2</v>
      </c>
    </row>
    <row r="105" spans="1:33" hidden="1" x14ac:dyDescent="0.3">
      <c r="A105">
        <v>2006</v>
      </c>
      <c r="B105" t="s">
        <v>11</v>
      </c>
      <c r="C105" t="s">
        <v>12</v>
      </c>
      <c r="D105">
        <f t="shared" si="36"/>
        <v>12</v>
      </c>
      <c r="E105">
        <v>1</v>
      </c>
      <c r="F105">
        <v>2</v>
      </c>
      <c r="G105">
        <v>10</v>
      </c>
      <c r="H105">
        <v>2</v>
      </c>
      <c r="I105">
        <f t="shared" si="54"/>
        <v>1</v>
      </c>
      <c r="L105">
        <f t="shared" si="55"/>
        <v>1.6067861584743104E-2</v>
      </c>
      <c r="M105">
        <v>3.0588377238467202E-4</v>
      </c>
      <c r="P105">
        <f t="shared" si="56"/>
        <v>0.42417996311218026</v>
      </c>
      <c r="Q105">
        <v>2.9257475540852E-2</v>
      </c>
      <c r="T105">
        <f t="shared" si="57"/>
        <v>0.96636533224366006</v>
      </c>
      <c r="U105">
        <v>7.5886792126357301E-4</v>
      </c>
      <c r="X105">
        <f t="shared" si="58"/>
        <v>3.3634667756339942E-2</v>
      </c>
      <c r="Y105">
        <v>7.5928412258466902E-4</v>
      </c>
      <c r="AF105">
        <f t="shared" si="59"/>
        <v>0.4395240753384293</v>
      </c>
      <c r="AG105">
        <v>3.0790833911267201E-2</v>
      </c>
    </row>
    <row r="106" spans="1:33" hidden="1" x14ac:dyDescent="0.3">
      <c r="A106">
        <v>2007</v>
      </c>
      <c r="B106" t="s">
        <v>11</v>
      </c>
      <c r="C106" t="s">
        <v>12</v>
      </c>
      <c r="D106">
        <f t="shared" si="36"/>
        <v>22</v>
      </c>
      <c r="E106">
        <v>0</v>
      </c>
      <c r="F106">
        <v>8</v>
      </c>
      <c r="G106">
        <v>22</v>
      </c>
      <c r="H106">
        <v>0</v>
      </c>
      <c r="I106">
        <f t="shared" si="54"/>
        <v>0</v>
      </c>
      <c r="L106">
        <f t="shared" si="55"/>
        <v>1.6067861584743104E-2</v>
      </c>
      <c r="M106">
        <v>3.0588377238467202E-4</v>
      </c>
      <c r="P106">
        <f t="shared" si="56"/>
        <v>0.42417996311218026</v>
      </c>
      <c r="Q106">
        <v>2.9257475540852E-2</v>
      </c>
      <c r="T106">
        <f t="shared" si="57"/>
        <v>0.96636533224366006</v>
      </c>
      <c r="U106">
        <v>7.5886792126357301E-4</v>
      </c>
      <c r="X106">
        <f t="shared" si="58"/>
        <v>3.3634667756339942E-2</v>
      </c>
      <c r="Y106">
        <v>7.5928412258466902E-4</v>
      </c>
      <c r="AF106">
        <f t="shared" si="59"/>
        <v>0.4395240753384293</v>
      </c>
      <c r="AG106">
        <v>3.0790833911267201E-2</v>
      </c>
    </row>
    <row r="107" spans="1:33" hidden="1" x14ac:dyDescent="0.3">
      <c r="A107">
        <v>2008</v>
      </c>
      <c r="B107" t="s">
        <v>11</v>
      </c>
      <c r="C107" t="s">
        <v>12</v>
      </c>
      <c r="D107">
        <f t="shared" si="36"/>
        <v>26</v>
      </c>
      <c r="E107">
        <v>0</v>
      </c>
      <c r="F107">
        <v>14</v>
      </c>
      <c r="G107">
        <v>26</v>
      </c>
      <c r="H107">
        <v>0</v>
      </c>
      <c r="I107">
        <f t="shared" si="54"/>
        <v>0</v>
      </c>
      <c r="L107">
        <f t="shared" si="55"/>
        <v>1.6067861584743104E-2</v>
      </c>
      <c r="M107">
        <v>3.0588377238467202E-4</v>
      </c>
      <c r="P107">
        <f t="shared" si="56"/>
        <v>0.42417996311218026</v>
      </c>
      <c r="Q107">
        <v>2.9257475540852E-2</v>
      </c>
      <c r="T107">
        <f t="shared" si="57"/>
        <v>0.96636533224366006</v>
      </c>
      <c r="U107">
        <v>7.5886792126357301E-4</v>
      </c>
      <c r="X107">
        <f t="shared" si="58"/>
        <v>3.3634667756339942E-2</v>
      </c>
      <c r="Y107">
        <v>7.5928412258466902E-4</v>
      </c>
      <c r="AF107">
        <f t="shared" si="59"/>
        <v>0.4395240753384293</v>
      </c>
      <c r="AG107">
        <v>3.0790833911267201E-2</v>
      </c>
    </row>
    <row r="108" spans="1:33" hidden="1" x14ac:dyDescent="0.3">
      <c r="A108">
        <v>2009</v>
      </c>
      <c r="B108" t="s">
        <v>11</v>
      </c>
      <c r="C108" t="s">
        <v>12</v>
      </c>
      <c r="D108">
        <f t="shared" si="36"/>
        <v>103</v>
      </c>
      <c r="E108">
        <v>0</v>
      </c>
      <c r="F108">
        <v>14</v>
      </c>
      <c r="G108">
        <v>103</v>
      </c>
      <c r="H108">
        <v>0</v>
      </c>
      <c r="I108">
        <f t="shared" si="54"/>
        <v>0</v>
      </c>
      <c r="J108">
        <f t="shared" si="60"/>
        <v>0</v>
      </c>
      <c r="K108">
        <f t="shared" si="61"/>
        <v>0</v>
      </c>
      <c r="L108">
        <f t="shared" si="55"/>
        <v>1.6067861584743104E-2</v>
      </c>
      <c r="M108">
        <v>3.0588377238467202E-4</v>
      </c>
      <c r="N108">
        <f t="shared" si="62"/>
        <v>0.13592233009708737</v>
      </c>
      <c r="O108">
        <f t="shared" si="63"/>
        <v>1.1514455909614294E-3</v>
      </c>
      <c r="P108">
        <f t="shared" si="56"/>
        <v>0.42417996311218026</v>
      </c>
      <c r="Q108">
        <v>2.9257475540852E-2</v>
      </c>
      <c r="R108">
        <f t="shared" si="64"/>
        <v>1</v>
      </c>
      <c r="S108">
        <f t="shared" si="65"/>
        <v>0</v>
      </c>
      <c r="T108">
        <f t="shared" si="57"/>
        <v>0.96636533224366006</v>
      </c>
      <c r="U108">
        <v>7.5886792126357301E-4</v>
      </c>
      <c r="V108">
        <f t="shared" si="66"/>
        <v>0</v>
      </c>
      <c r="W108" s="23">
        <f t="shared" ref="W108:W118" si="71">(V108*(1-V108))/(D108-1)</f>
        <v>0</v>
      </c>
      <c r="X108">
        <f t="shared" si="58"/>
        <v>3.3634667756339942E-2</v>
      </c>
      <c r="Y108">
        <v>7.5928412258466902E-4</v>
      </c>
      <c r="AD108">
        <f t="shared" si="68"/>
        <v>0.13592233009708737</v>
      </c>
      <c r="AE108">
        <f t="shared" si="69"/>
        <v>1.1514455909614294E-3</v>
      </c>
      <c r="AF108">
        <f t="shared" si="59"/>
        <v>0.4395240753384293</v>
      </c>
      <c r="AG108">
        <v>3.0790833911267201E-2</v>
      </c>
    </row>
    <row r="109" spans="1:33" hidden="1" x14ac:dyDescent="0.3">
      <c r="A109">
        <v>2010</v>
      </c>
      <c r="B109" t="s">
        <v>11</v>
      </c>
      <c r="C109" t="s">
        <v>12</v>
      </c>
      <c r="D109">
        <f t="shared" si="36"/>
        <v>165</v>
      </c>
      <c r="E109">
        <v>0</v>
      </c>
      <c r="F109">
        <v>37</v>
      </c>
      <c r="G109">
        <v>164</v>
      </c>
      <c r="H109">
        <v>1</v>
      </c>
      <c r="I109">
        <f t="shared" si="54"/>
        <v>1</v>
      </c>
      <c r="J109">
        <f t="shared" si="60"/>
        <v>0</v>
      </c>
      <c r="K109">
        <f t="shared" si="61"/>
        <v>0</v>
      </c>
      <c r="L109">
        <f t="shared" si="55"/>
        <v>1.6067861584743104E-2</v>
      </c>
      <c r="M109">
        <v>3.0588377238467202E-4</v>
      </c>
      <c r="N109">
        <f t="shared" si="62"/>
        <v>0.22424242424242424</v>
      </c>
      <c r="O109">
        <f t="shared" si="63"/>
        <v>1.0607180451969809E-3</v>
      </c>
      <c r="P109">
        <f t="shared" si="56"/>
        <v>0.42417996311218026</v>
      </c>
      <c r="Q109">
        <v>2.9257475540852E-2</v>
      </c>
      <c r="R109">
        <f t="shared" si="64"/>
        <v>0.9939393939393939</v>
      </c>
      <c r="S109">
        <f t="shared" si="65"/>
        <v>3.6730945821855151E-5</v>
      </c>
      <c r="T109">
        <f t="shared" si="57"/>
        <v>0.96636533224366006</v>
      </c>
      <c r="U109">
        <v>7.5886792126357301E-4</v>
      </c>
      <c r="V109">
        <f t="shared" si="66"/>
        <v>6.0606060606060606E-3</v>
      </c>
      <c r="W109" s="23">
        <f t="shared" si="71"/>
        <v>3.6730945821854907E-5</v>
      </c>
      <c r="X109">
        <f t="shared" si="58"/>
        <v>3.3634667756339942E-2</v>
      </c>
      <c r="Y109">
        <v>7.5928412258466902E-4</v>
      </c>
      <c r="AD109">
        <f t="shared" si="68"/>
        <v>0.22560975609756098</v>
      </c>
      <c r="AE109">
        <f t="shared" si="69"/>
        <v>1.0718404543015952E-3</v>
      </c>
      <c r="AF109">
        <f t="shared" si="59"/>
        <v>0.4395240753384293</v>
      </c>
      <c r="AG109">
        <v>3.0790833911267201E-2</v>
      </c>
    </row>
    <row r="110" spans="1:33" hidden="1" x14ac:dyDescent="0.3">
      <c r="A110">
        <v>2011</v>
      </c>
      <c r="B110" t="s">
        <v>11</v>
      </c>
      <c r="C110" t="s">
        <v>12</v>
      </c>
      <c r="D110">
        <f t="shared" si="36"/>
        <v>150</v>
      </c>
      <c r="E110">
        <v>3</v>
      </c>
      <c r="F110">
        <v>52</v>
      </c>
      <c r="G110">
        <v>141</v>
      </c>
      <c r="H110">
        <v>9</v>
      </c>
      <c r="I110">
        <f t="shared" si="54"/>
        <v>6</v>
      </c>
      <c r="J110">
        <f t="shared" si="60"/>
        <v>0.02</v>
      </c>
      <c r="K110">
        <f t="shared" si="61"/>
        <v>1.3154362416107382E-4</v>
      </c>
      <c r="L110">
        <f t="shared" si="55"/>
        <v>1.6067861584743104E-2</v>
      </c>
      <c r="M110">
        <v>3.0588377238467202E-4</v>
      </c>
      <c r="N110">
        <f t="shared" si="62"/>
        <v>0.34666666666666668</v>
      </c>
      <c r="O110">
        <f t="shared" si="63"/>
        <v>1.5200596569724088E-3</v>
      </c>
      <c r="P110">
        <f t="shared" si="56"/>
        <v>0.42417996311218026</v>
      </c>
      <c r="Q110">
        <v>2.9257475540852E-2</v>
      </c>
      <c r="R110">
        <f t="shared" si="64"/>
        <v>0.94</v>
      </c>
      <c r="S110">
        <f t="shared" si="65"/>
        <v>3.7852348993288622E-4</v>
      </c>
      <c r="T110">
        <f t="shared" si="57"/>
        <v>0.96636533224366006</v>
      </c>
      <c r="U110">
        <v>7.5886792126357301E-4</v>
      </c>
      <c r="V110">
        <f t="shared" si="66"/>
        <v>0.06</v>
      </c>
      <c r="W110" s="23">
        <f t="shared" si="71"/>
        <v>3.7852348993288584E-4</v>
      </c>
      <c r="X110">
        <f t="shared" si="58"/>
        <v>3.3634667756339942E-2</v>
      </c>
      <c r="Y110">
        <v>7.5928412258466902E-4</v>
      </c>
      <c r="AD110">
        <f t="shared" si="68"/>
        <v>0.36879432624113473</v>
      </c>
      <c r="AE110">
        <f t="shared" si="69"/>
        <v>1.6627505083820157E-3</v>
      </c>
      <c r="AF110">
        <f t="shared" si="59"/>
        <v>0.4395240753384293</v>
      </c>
      <c r="AG110">
        <v>3.0790833911267201E-2</v>
      </c>
    </row>
    <row r="111" spans="1:33" hidden="1" x14ac:dyDescent="0.3">
      <c r="A111">
        <v>2012</v>
      </c>
      <c r="B111" t="s">
        <v>11</v>
      </c>
      <c r="C111" t="s">
        <v>12</v>
      </c>
      <c r="D111">
        <f t="shared" si="36"/>
        <v>63</v>
      </c>
      <c r="E111">
        <v>1</v>
      </c>
      <c r="F111">
        <v>32</v>
      </c>
      <c r="G111">
        <v>62</v>
      </c>
      <c r="H111">
        <v>1</v>
      </c>
      <c r="I111">
        <f t="shared" si="54"/>
        <v>0</v>
      </c>
      <c r="J111">
        <f t="shared" si="60"/>
        <v>1.5873015873015872E-2</v>
      </c>
      <c r="K111">
        <f t="shared" si="61"/>
        <v>2.5195263290501388E-4</v>
      </c>
      <c r="L111">
        <f t="shared" si="55"/>
        <v>1.6067861584743104E-2</v>
      </c>
      <c r="M111">
        <v>3.0588377238467202E-4</v>
      </c>
      <c r="N111">
        <f t="shared" si="62"/>
        <v>0.50793650793650791</v>
      </c>
      <c r="O111">
        <f t="shared" si="63"/>
        <v>4.0312421264802221E-3</v>
      </c>
      <c r="P111">
        <f t="shared" si="56"/>
        <v>0.42417996311218026</v>
      </c>
      <c r="Q111">
        <v>2.9257475540852E-2</v>
      </c>
      <c r="R111">
        <f t="shared" si="64"/>
        <v>0.98412698412698407</v>
      </c>
      <c r="S111">
        <f t="shared" si="65"/>
        <v>2.519526329050147E-4</v>
      </c>
      <c r="T111">
        <f t="shared" si="57"/>
        <v>0.96636533224366006</v>
      </c>
      <c r="U111">
        <v>7.5886792126357301E-4</v>
      </c>
      <c r="V111">
        <f t="shared" si="66"/>
        <v>1.5873015873015872E-2</v>
      </c>
      <c r="W111" s="23">
        <f t="shared" si="71"/>
        <v>2.5195263290501388E-4</v>
      </c>
      <c r="X111">
        <f t="shared" si="58"/>
        <v>3.3634667756339942E-2</v>
      </c>
      <c r="Y111">
        <v>7.5928412258466902E-4</v>
      </c>
      <c r="AD111">
        <f t="shared" si="68"/>
        <v>0.5161290322580645</v>
      </c>
      <c r="AE111">
        <f t="shared" si="69"/>
        <v>4.094095972433087E-3</v>
      </c>
      <c r="AF111">
        <f t="shared" si="59"/>
        <v>0.4395240753384293</v>
      </c>
      <c r="AG111">
        <v>3.0790833911267201E-2</v>
      </c>
    </row>
    <row r="112" spans="1:33" hidden="1" x14ac:dyDescent="0.3">
      <c r="A112">
        <v>2013</v>
      </c>
      <c r="B112" t="s">
        <v>11</v>
      </c>
      <c r="C112" t="s">
        <v>12</v>
      </c>
      <c r="D112">
        <f t="shared" si="36"/>
        <v>78</v>
      </c>
      <c r="E112">
        <v>4</v>
      </c>
      <c r="F112">
        <v>31</v>
      </c>
      <c r="G112">
        <v>71</v>
      </c>
      <c r="H112">
        <v>7</v>
      </c>
      <c r="I112">
        <f t="shared" si="54"/>
        <v>3</v>
      </c>
      <c r="J112">
        <f t="shared" si="60"/>
        <v>5.128205128205128E-2</v>
      </c>
      <c r="K112">
        <f t="shared" si="61"/>
        <v>6.3184678569293946E-4</v>
      </c>
      <c r="L112">
        <f t="shared" si="55"/>
        <v>1.6067861584743104E-2</v>
      </c>
      <c r="M112">
        <v>3.0588377238467202E-4</v>
      </c>
      <c r="N112">
        <f t="shared" si="62"/>
        <v>0.39743589743589741</v>
      </c>
      <c r="O112">
        <f t="shared" si="63"/>
        <v>3.1101377255223412E-3</v>
      </c>
      <c r="P112">
        <f t="shared" si="56"/>
        <v>0.42417996311218026</v>
      </c>
      <c r="Q112">
        <v>2.9257475540852E-2</v>
      </c>
      <c r="R112">
        <f t="shared" si="64"/>
        <v>0.91025641025641024</v>
      </c>
      <c r="S112">
        <f t="shared" si="65"/>
        <v>1.0609049070587533E-3</v>
      </c>
      <c r="T112">
        <f t="shared" si="57"/>
        <v>0.96636533224366006</v>
      </c>
      <c r="U112">
        <v>7.5886792126357301E-4</v>
      </c>
      <c r="V112">
        <f t="shared" si="66"/>
        <v>8.9743589743589744E-2</v>
      </c>
      <c r="W112" s="23">
        <f t="shared" si="71"/>
        <v>1.0609049070587533E-3</v>
      </c>
      <c r="X112">
        <f t="shared" si="58"/>
        <v>3.3634667756339942E-2</v>
      </c>
      <c r="Y112">
        <v>7.5928412258466902E-4</v>
      </c>
      <c r="AD112">
        <f t="shared" si="68"/>
        <v>0.43661971830985913</v>
      </c>
      <c r="AE112">
        <f t="shared" si="69"/>
        <v>3.5140419984696913E-3</v>
      </c>
      <c r="AF112">
        <f t="shared" si="59"/>
        <v>0.4395240753384293</v>
      </c>
      <c r="AG112">
        <v>3.0790833911267201E-2</v>
      </c>
    </row>
    <row r="113" spans="1:33" hidden="1" x14ac:dyDescent="0.3">
      <c r="A113">
        <v>2014</v>
      </c>
      <c r="B113" t="s">
        <v>11</v>
      </c>
      <c r="C113" t="s">
        <v>12</v>
      </c>
      <c r="D113">
        <f t="shared" si="36"/>
        <v>121</v>
      </c>
      <c r="E113">
        <v>4</v>
      </c>
      <c r="F113">
        <v>37</v>
      </c>
      <c r="G113">
        <v>117</v>
      </c>
      <c r="H113">
        <v>4</v>
      </c>
      <c r="I113">
        <f t="shared" si="54"/>
        <v>0</v>
      </c>
      <c r="J113">
        <f t="shared" si="60"/>
        <v>3.3057851239669422E-2</v>
      </c>
      <c r="K113">
        <f t="shared" si="61"/>
        <v>2.6637524759237755E-4</v>
      </c>
      <c r="L113">
        <f t="shared" si="55"/>
        <v>1.6067861584743104E-2</v>
      </c>
      <c r="M113">
        <v>3.0588377238467202E-4</v>
      </c>
      <c r="N113">
        <f t="shared" si="62"/>
        <v>0.30578512396694213</v>
      </c>
      <c r="O113">
        <f t="shared" si="63"/>
        <v>1.7690048493955331E-3</v>
      </c>
      <c r="P113">
        <f t="shared" si="56"/>
        <v>0.42417996311218026</v>
      </c>
      <c r="Q113">
        <v>2.9257475540852E-2</v>
      </c>
      <c r="R113">
        <f t="shared" si="64"/>
        <v>0.96694214876033058</v>
      </c>
      <c r="S113">
        <f t="shared" si="65"/>
        <v>2.6637524759237755E-4</v>
      </c>
      <c r="T113">
        <f t="shared" si="57"/>
        <v>0.96636533224366006</v>
      </c>
      <c r="U113">
        <v>7.5886792126357301E-4</v>
      </c>
      <c r="V113">
        <f t="shared" si="66"/>
        <v>3.3057851239669422E-2</v>
      </c>
      <c r="W113" s="23">
        <f t="shared" si="71"/>
        <v>2.6637524759237755E-4</v>
      </c>
      <c r="X113">
        <f t="shared" si="58"/>
        <v>3.3634667756339942E-2</v>
      </c>
      <c r="Y113">
        <v>7.5928412258466902E-4</v>
      </c>
      <c r="AD113">
        <f t="shared" si="68"/>
        <v>0.31623931623931623</v>
      </c>
      <c r="AE113">
        <f t="shared" si="69"/>
        <v>1.8640690612397065E-3</v>
      </c>
      <c r="AF113">
        <f t="shared" si="59"/>
        <v>0.4395240753384293</v>
      </c>
      <c r="AG113">
        <v>3.0790833911267201E-2</v>
      </c>
    </row>
    <row r="114" spans="1:33" hidden="1" x14ac:dyDescent="0.3">
      <c r="A114">
        <v>2015</v>
      </c>
      <c r="B114" t="s">
        <v>11</v>
      </c>
      <c r="C114" t="s">
        <v>12</v>
      </c>
      <c r="D114">
        <f t="shared" si="36"/>
        <v>158</v>
      </c>
      <c r="E114">
        <v>4</v>
      </c>
      <c r="F114">
        <v>50</v>
      </c>
      <c r="G114">
        <v>152</v>
      </c>
      <c r="H114">
        <v>6</v>
      </c>
      <c r="I114">
        <f t="shared" si="54"/>
        <v>2</v>
      </c>
      <c r="J114">
        <f t="shared" si="60"/>
        <v>2.5316455696202531E-2</v>
      </c>
      <c r="K114">
        <f t="shared" si="61"/>
        <v>1.5716899851710029E-4</v>
      </c>
      <c r="L114">
        <f t="shared" si="55"/>
        <v>1.6067861584743104E-2</v>
      </c>
      <c r="M114">
        <v>3.0588377238467202E-4</v>
      </c>
      <c r="N114">
        <f t="shared" si="62"/>
        <v>0.31645569620253167</v>
      </c>
      <c r="O114">
        <f t="shared" si="63"/>
        <v>1.3777801818057494E-3</v>
      </c>
      <c r="P114">
        <f t="shared" si="56"/>
        <v>0.42417996311218026</v>
      </c>
      <c r="Q114">
        <v>2.9257475540852E-2</v>
      </c>
      <c r="R114">
        <f t="shared" si="64"/>
        <v>0.96202531645569622</v>
      </c>
      <c r="S114">
        <f t="shared" si="65"/>
        <v>2.3269176403830421E-4</v>
      </c>
      <c r="T114">
        <f t="shared" si="57"/>
        <v>0.96636533224366006</v>
      </c>
      <c r="U114">
        <v>7.5886792126357301E-4</v>
      </c>
      <c r="V114">
        <f t="shared" si="66"/>
        <v>3.7974683544303799E-2</v>
      </c>
      <c r="W114" s="23">
        <f t="shared" si="71"/>
        <v>2.3269176403830434E-4</v>
      </c>
      <c r="X114">
        <f t="shared" si="58"/>
        <v>3.3634667756339942E-2</v>
      </c>
      <c r="Y114">
        <v>7.5928412258466902E-4</v>
      </c>
      <c r="AD114">
        <f t="shared" si="68"/>
        <v>0.32894736842105265</v>
      </c>
      <c r="AE114">
        <f t="shared" si="69"/>
        <v>1.4618609088073967E-3</v>
      </c>
      <c r="AF114">
        <f t="shared" si="59"/>
        <v>0.4395240753384293</v>
      </c>
      <c r="AG114">
        <v>3.0790833911267201E-2</v>
      </c>
    </row>
    <row r="115" spans="1:33" hidden="1" x14ac:dyDescent="0.3">
      <c r="A115">
        <v>2016</v>
      </c>
      <c r="B115" t="s">
        <v>11</v>
      </c>
      <c r="C115" t="s">
        <v>12</v>
      </c>
      <c r="D115">
        <f t="shared" si="36"/>
        <v>107</v>
      </c>
      <c r="E115">
        <v>0</v>
      </c>
      <c r="F115">
        <v>39</v>
      </c>
      <c r="G115">
        <v>105</v>
      </c>
      <c r="H115">
        <v>2</v>
      </c>
      <c r="I115">
        <f t="shared" si="54"/>
        <v>2</v>
      </c>
      <c r="J115">
        <f t="shared" si="60"/>
        <v>0</v>
      </c>
      <c r="K115">
        <f t="shared" si="61"/>
        <v>0</v>
      </c>
      <c r="L115">
        <f t="shared" si="55"/>
        <v>1.6067861584743104E-2</v>
      </c>
      <c r="M115">
        <v>3.0588377238467202E-4</v>
      </c>
      <c r="N115">
        <f t="shared" si="62"/>
        <v>0.3644859813084112</v>
      </c>
      <c r="O115">
        <f t="shared" si="63"/>
        <v>2.1852448182835445E-3</v>
      </c>
      <c r="P115">
        <f t="shared" si="56"/>
        <v>0.42417996311218026</v>
      </c>
      <c r="Q115">
        <v>2.9257475540852E-2</v>
      </c>
      <c r="R115">
        <f t="shared" si="64"/>
        <v>0.98130841121495327</v>
      </c>
      <c r="S115">
        <f t="shared" si="65"/>
        <v>1.7303974805412686E-4</v>
      </c>
      <c r="T115">
        <f t="shared" si="57"/>
        <v>0.96636533224366006</v>
      </c>
      <c r="U115">
        <v>7.5886792126357301E-4</v>
      </c>
      <c r="V115">
        <f t="shared" si="66"/>
        <v>1.8691588785046728E-2</v>
      </c>
      <c r="W115" s="23">
        <f t="shared" si="71"/>
        <v>1.7303974805412683E-4</v>
      </c>
      <c r="X115">
        <f t="shared" si="58"/>
        <v>3.3634667756339942E-2</v>
      </c>
      <c r="Y115">
        <v>7.5928412258466902E-4</v>
      </c>
      <c r="AD115">
        <f t="shared" si="68"/>
        <v>0.37142857142857144</v>
      </c>
      <c r="AE115">
        <f t="shared" si="69"/>
        <v>2.2448979591836735E-3</v>
      </c>
      <c r="AF115">
        <f t="shared" si="59"/>
        <v>0.4395240753384293</v>
      </c>
      <c r="AG115">
        <v>3.0790833911267201E-2</v>
      </c>
    </row>
    <row r="116" spans="1:33" hidden="1" x14ac:dyDescent="0.3">
      <c r="A116">
        <v>2017</v>
      </c>
      <c r="B116" t="s">
        <v>11</v>
      </c>
      <c r="C116" t="s">
        <v>12</v>
      </c>
      <c r="D116">
        <f t="shared" si="36"/>
        <v>81</v>
      </c>
      <c r="E116">
        <v>3</v>
      </c>
      <c r="F116">
        <v>34</v>
      </c>
      <c r="G116">
        <v>75</v>
      </c>
      <c r="H116">
        <v>6</v>
      </c>
      <c r="I116">
        <f t="shared" si="54"/>
        <v>3</v>
      </c>
      <c r="J116">
        <f t="shared" si="60"/>
        <v>3.7037037037037035E-2</v>
      </c>
      <c r="K116">
        <f t="shared" si="61"/>
        <v>4.4581618655692727E-4</v>
      </c>
      <c r="L116">
        <f t="shared" si="55"/>
        <v>1.6067861584743104E-2</v>
      </c>
      <c r="M116">
        <v>3.0588377238467202E-4</v>
      </c>
      <c r="N116">
        <f t="shared" si="62"/>
        <v>0.41975308641975306</v>
      </c>
      <c r="O116">
        <f t="shared" si="63"/>
        <v>3.0445054107605548E-3</v>
      </c>
      <c r="P116">
        <f t="shared" si="56"/>
        <v>0.42417996311218026</v>
      </c>
      <c r="Q116">
        <v>2.9257475540852E-2</v>
      </c>
      <c r="R116">
        <f t="shared" si="64"/>
        <v>0.92592592592592593</v>
      </c>
      <c r="S116">
        <f t="shared" si="65"/>
        <v>8.5733882030178334E-4</v>
      </c>
      <c r="T116">
        <f t="shared" si="57"/>
        <v>0.96636533224366006</v>
      </c>
      <c r="U116">
        <v>7.5886792126357301E-4</v>
      </c>
      <c r="V116">
        <f t="shared" si="66"/>
        <v>7.407407407407407E-2</v>
      </c>
      <c r="W116" s="23">
        <f t="shared" si="71"/>
        <v>8.5733882030178334E-4</v>
      </c>
      <c r="X116">
        <f t="shared" si="58"/>
        <v>3.3634667756339942E-2</v>
      </c>
      <c r="Y116">
        <v>7.5928412258466902E-4</v>
      </c>
      <c r="AD116">
        <f t="shared" si="68"/>
        <v>0.45333333333333331</v>
      </c>
      <c r="AE116">
        <f t="shared" si="69"/>
        <v>3.3489489489489485E-3</v>
      </c>
      <c r="AF116">
        <f t="shared" si="59"/>
        <v>0.4395240753384293</v>
      </c>
      <c r="AG116">
        <v>3.0790833911267201E-2</v>
      </c>
    </row>
    <row r="117" spans="1:33" hidden="1" x14ac:dyDescent="0.3">
      <c r="A117">
        <v>2018</v>
      </c>
      <c r="B117" t="s">
        <v>11</v>
      </c>
      <c r="C117" t="s">
        <v>12</v>
      </c>
      <c r="D117">
        <f t="shared" si="36"/>
        <v>171</v>
      </c>
      <c r="E117">
        <v>3</v>
      </c>
      <c r="F117">
        <v>98</v>
      </c>
      <c r="G117">
        <v>164</v>
      </c>
      <c r="H117">
        <v>7</v>
      </c>
      <c r="I117">
        <f t="shared" si="54"/>
        <v>4</v>
      </c>
      <c r="J117">
        <f t="shared" si="60"/>
        <v>1.7543859649122806E-2</v>
      </c>
      <c r="K117">
        <f t="shared" si="61"/>
        <v>1.0138866257490992E-4</v>
      </c>
      <c r="L117">
        <f>AVERAGE(J$98,J$100,J$108:J$118)</f>
        <v>1.6067861584743104E-2</v>
      </c>
      <c r="M117">
        <v>3.0588377238467202E-4</v>
      </c>
      <c r="N117">
        <f t="shared" si="62"/>
        <v>0.57309941520467833</v>
      </c>
      <c r="O117">
        <f t="shared" si="63"/>
        <v>1.4391557382160826E-3</v>
      </c>
      <c r="P117">
        <f>AVERAGE(N$98,N$100,N$108:N$118)</f>
        <v>0.42417996311218026</v>
      </c>
      <c r="Q117">
        <v>2.9257475540852E-2</v>
      </c>
      <c r="R117">
        <f t="shared" si="64"/>
        <v>0.95906432748538006</v>
      </c>
      <c r="S117">
        <f t="shared" si="65"/>
        <v>2.3094084253173959E-4</v>
      </c>
      <c r="T117">
        <f>AVERAGE(R$98,R$100,R$108:R$118)</f>
        <v>0.96636533224366006</v>
      </c>
      <c r="U117">
        <v>7.5886792126357301E-4</v>
      </c>
      <c r="V117">
        <f t="shared" si="66"/>
        <v>4.0935672514619881E-2</v>
      </c>
      <c r="W117" s="23">
        <f t="shared" ref="W117" si="72">(V117*(1-V117))/(D117-1)</f>
        <v>2.3094084253173926E-4</v>
      </c>
      <c r="X117">
        <f>AVERAGE(V$98,V$100,V$108:V$118)</f>
        <v>3.3634667756339942E-2</v>
      </c>
      <c r="Y117">
        <v>7.5928412258466902E-4</v>
      </c>
      <c r="AD117">
        <f t="shared" si="68"/>
        <v>0.59756097560975607</v>
      </c>
      <c r="AE117">
        <f>(AD117*(1-AD117))/(G117-1)</f>
        <v>1.4753488100495251E-3</v>
      </c>
      <c r="AF117">
        <f>AVERAGE(AD$98,AD$100,AD$108:AD$118)</f>
        <v>0.4395240753384293</v>
      </c>
      <c r="AG117">
        <v>3.0790833911267201E-2</v>
      </c>
    </row>
    <row r="118" spans="1:33" hidden="1" x14ac:dyDescent="0.3">
      <c r="A118">
        <v>2019</v>
      </c>
      <c r="B118" t="s">
        <v>11</v>
      </c>
      <c r="C118" t="s">
        <v>12</v>
      </c>
      <c r="D118">
        <f t="shared" si="36"/>
        <v>228</v>
      </c>
      <c r="E118">
        <v>2</v>
      </c>
      <c r="F118">
        <v>168</v>
      </c>
      <c r="G118">
        <v>222</v>
      </c>
      <c r="H118">
        <v>6</v>
      </c>
      <c r="I118">
        <f t="shared" si="54"/>
        <v>4</v>
      </c>
      <c r="J118">
        <f t="shared" ref="J118" si="73">E118/D118</f>
        <v>8.771929824561403E-3</v>
      </c>
      <c r="K118">
        <f t="shared" ref="K118:K120" si="74">(J118*(1-J118))/(D118-1)</f>
        <v>3.8303890183763754E-5</v>
      </c>
      <c r="L118">
        <f>AVERAGE(J$98,J$100,J$108:J$118)</f>
        <v>1.6067861584743104E-2</v>
      </c>
      <c r="M118">
        <v>3.0588377238467202E-4</v>
      </c>
      <c r="N118">
        <f t="shared" ref="N118:N120" si="75">F118/D118</f>
        <v>0.73684210526315785</v>
      </c>
      <c r="O118">
        <f t="shared" ref="O118:O120" si="76">(N118*(1-N118))/($D118-1)</f>
        <v>8.5421064834588208E-4</v>
      </c>
      <c r="P118">
        <f>AVERAGE(N$98,N$100,N$108:N$118)</f>
        <v>0.42417996311218026</v>
      </c>
      <c r="Q118">
        <v>2.9257475540852E-2</v>
      </c>
      <c r="R118">
        <f>G118/D118</f>
        <v>0.97368421052631582</v>
      </c>
      <c r="S118">
        <f t="shared" ref="S118:S120" si="77">(R118*(1-R118))/($D118-1)</f>
        <v>1.1287783567427716E-4</v>
      </c>
      <c r="T118">
        <f>AVERAGE(R$98,R$100,R$108:R$118)</f>
        <v>0.96636533224366006</v>
      </c>
      <c r="U118">
        <v>7.5886792126357301E-4</v>
      </c>
      <c r="V118">
        <f t="shared" ref="V118:V120" si="78">H118/D118</f>
        <v>2.6315789473684209E-2</v>
      </c>
      <c r="W118" s="23">
        <f t="shared" si="71"/>
        <v>1.1287783567427727E-4</v>
      </c>
      <c r="X118">
        <f>AVERAGE(V$98,V$100,V$108:V$118)</f>
        <v>3.3634667756339942E-2</v>
      </c>
      <c r="Y118">
        <v>7.5928412258466902E-4</v>
      </c>
      <c r="AD118">
        <f t="shared" ref="AD118:AD120" si="79">F118/G118</f>
        <v>0.7567567567567568</v>
      </c>
      <c r="AE118">
        <f t="shared" ref="AE118:AE119" si="80">(AD118*(1-AD118))/(G118-1)</f>
        <v>8.329229314920887E-4</v>
      </c>
      <c r="AF118">
        <f>AVERAGE(AD$98,AD$100,AD$108:AD$118)</f>
        <v>0.4395240753384293</v>
      </c>
      <c r="AG118">
        <v>3.0790833911267201E-2</v>
      </c>
    </row>
    <row r="119" spans="1:33" hidden="1" x14ac:dyDescent="0.3">
      <c r="A119">
        <v>2020</v>
      </c>
      <c r="B119" t="s">
        <v>11</v>
      </c>
      <c r="C119" t="s">
        <v>12</v>
      </c>
      <c r="D119">
        <f t="shared" si="36"/>
        <v>76</v>
      </c>
      <c r="E119">
        <v>4</v>
      </c>
      <c r="F119">
        <v>65</v>
      </c>
      <c r="G119">
        <v>72</v>
      </c>
      <c r="H119">
        <v>4</v>
      </c>
      <c r="I119">
        <f t="shared" si="54"/>
        <v>0</v>
      </c>
      <c r="J119">
        <f t="shared" si="60"/>
        <v>5.2631578947368418E-2</v>
      </c>
      <c r="K119">
        <f t="shared" si="74"/>
        <v>6.64819944598338E-4</v>
      </c>
      <c r="N119">
        <f t="shared" si="75"/>
        <v>0.85526315789473684</v>
      </c>
      <c r="O119">
        <f t="shared" si="76"/>
        <v>1.6505078485687904E-3</v>
      </c>
      <c r="R119">
        <f t="shared" ref="R119:R120" si="81">G119/D119</f>
        <v>0.94736842105263153</v>
      </c>
      <c r="S119">
        <f t="shared" si="77"/>
        <v>6.6481994459833855E-4</v>
      </c>
      <c r="V119">
        <f t="shared" si="78"/>
        <v>5.2631578947368418E-2</v>
      </c>
      <c r="W119" s="23">
        <f t="shared" ref="W119:W120" si="82">(V119*(1-V119))/(D119-1)</f>
        <v>6.64819944598338E-4</v>
      </c>
      <c r="AD119">
        <f t="shared" si="79"/>
        <v>0.90277777777777779</v>
      </c>
      <c r="AE119">
        <f t="shared" si="80"/>
        <v>1.2361980525126062E-3</v>
      </c>
    </row>
    <row r="120" spans="1:33" hidden="1" x14ac:dyDescent="0.3">
      <c r="A120">
        <v>2021</v>
      </c>
      <c r="B120" t="s">
        <v>11</v>
      </c>
      <c r="C120" t="s">
        <v>12</v>
      </c>
      <c r="D120">
        <f t="shared" si="36"/>
        <v>82</v>
      </c>
      <c r="E120">
        <v>2</v>
      </c>
      <c r="F120">
        <v>48</v>
      </c>
      <c r="G120">
        <v>76</v>
      </c>
      <c r="H120">
        <v>6</v>
      </c>
      <c r="I120">
        <f t="shared" si="54"/>
        <v>4</v>
      </c>
      <c r="J120">
        <f t="shared" ref="J120" si="83">E120/D120</f>
        <v>2.4390243902439025E-2</v>
      </c>
      <c r="K120">
        <f t="shared" si="74"/>
        <v>2.937698753681304E-4</v>
      </c>
      <c r="N120">
        <f t="shared" si="75"/>
        <v>0.58536585365853655</v>
      </c>
      <c r="O120">
        <f t="shared" si="76"/>
        <v>2.9964527287549298E-3</v>
      </c>
      <c r="R120">
        <f t="shared" si="81"/>
        <v>0.92682926829268297</v>
      </c>
      <c r="S120">
        <f t="shared" si="77"/>
        <v>8.3724414479917114E-4</v>
      </c>
      <c r="V120">
        <f t="shared" si="78"/>
        <v>7.3170731707317069E-2</v>
      </c>
      <c r="W120" s="23">
        <f t="shared" si="82"/>
        <v>8.3724414479917169E-4</v>
      </c>
      <c r="AD120">
        <f t="shared" si="79"/>
        <v>0.63157894736842102</v>
      </c>
      <c r="AE120">
        <f>(AD120*(1-AD120))/(G120-1)</f>
        <v>3.1024930747922436E-3</v>
      </c>
    </row>
    <row r="121" spans="1:33" hidden="1" x14ac:dyDescent="0.3">
      <c r="A121" s="15">
        <v>2022</v>
      </c>
      <c r="B121" s="15" t="s">
        <v>11</v>
      </c>
      <c r="C121" s="15" t="s">
        <v>12</v>
      </c>
    </row>
    <row r="122" spans="1:33" hidden="1" x14ac:dyDescent="0.3">
      <c r="A122" s="25">
        <v>1993</v>
      </c>
      <c r="B122" s="25" t="s">
        <v>9</v>
      </c>
      <c r="C122" s="25" t="s">
        <v>13</v>
      </c>
      <c r="D122" s="25">
        <f t="shared" si="36"/>
        <v>0</v>
      </c>
      <c r="E122" s="25">
        <v>0</v>
      </c>
      <c r="F122" s="25">
        <v>0</v>
      </c>
      <c r="G122" s="25">
        <v>0</v>
      </c>
      <c r="H122" s="25">
        <v>0</v>
      </c>
      <c r="I122" s="25">
        <f t="shared" si="54"/>
        <v>0</v>
      </c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6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</row>
    <row r="123" spans="1:33" hidden="1" x14ac:dyDescent="0.3">
      <c r="A123" s="25">
        <v>1994</v>
      </c>
      <c r="B123" s="25" t="s">
        <v>9</v>
      </c>
      <c r="C123" s="25" t="s">
        <v>13</v>
      </c>
      <c r="D123" s="25">
        <f t="shared" si="36"/>
        <v>0</v>
      </c>
      <c r="E123" s="25">
        <v>0</v>
      </c>
      <c r="F123" s="25">
        <v>0</v>
      </c>
      <c r="G123" s="25">
        <v>0</v>
      </c>
      <c r="H123" s="25">
        <v>0</v>
      </c>
      <c r="I123" s="25">
        <f t="shared" si="54"/>
        <v>0</v>
      </c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6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</row>
    <row r="124" spans="1:33" hidden="1" x14ac:dyDescent="0.3">
      <c r="A124" s="25">
        <v>1995</v>
      </c>
      <c r="B124" s="25" t="s">
        <v>9</v>
      </c>
      <c r="C124" s="25" t="s">
        <v>13</v>
      </c>
      <c r="D124" s="25">
        <f t="shared" si="36"/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f>H124-E124</f>
        <v>0</v>
      </c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6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</row>
    <row r="125" spans="1:33" hidden="1" x14ac:dyDescent="0.3">
      <c r="A125" s="25">
        <v>1996</v>
      </c>
      <c r="B125" s="25" t="s">
        <v>9</v>
      </c>
      <c r="C125" s="25" t="s">
        <v>13</v>
      </c>
      <c r="D125" s="25">
        <f t="shared" si="36"/>
        <v>0</v>
      </c>
      <c r="E125" s="25">
        <v>0</v>
      </c>
      <c r="F125" s="25">
        <v>0</v>
      </c>
      <c r="G125" s="25">
        <v>0</v>
      </c>
      <c r="H125" s="25">
        <v>0</v>
      </c>
      <c r="I125" s="25">
        <f t="shared" ref="I125" si="84">H125-E125</f>
        <v>0</v>
      </c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6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idden="1" x14ac:dyDescent="0.3">
      <c r="A126" s="25">
        <v>1997</v>
      </c>
      <c r="B126" s="25" t="s">
        <v>9</v>
      </c>
      <c r="C126" s="25" t="s">
        <v>13</v>
      </c>
      <c r="D126" s="25">
        <f t="shared" si="36"/>
        <v>5</v>
      </c>
      <c r="E126" s="25">
        <v>0</v>
      </c>
      <c r="F126" s="25">
        <v>5</v>
      </c>
      <c r="G126" s="25">
        <v>5</v>
      </c>
      <c r="H126" s="25">
        <v>0</v>
      </c>
      <c r="I126" s="25">
        <f>H126-E126</f>
        <v>0</v>
      </c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6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</row>
    <row r="127" spans="1:33" hidden="1" x14ac:dyDescent="0.3">
      <c r="A127" s="25">
        <v>1998</v>
      </c>
      <c r="B127" s="25" t="s">
        <v>9</v>
      </c>
      <c r="C127" s="25" t="s">
        <v>13</v>
      </c>
      <c r="D127" s="25">
        <f t="shared" si="36"/>
        <v>9</v>
      </c>
      <c r="E127" s="25">
        <v>0</v>
      </c>
      <c r="F127" s="25">
        <v>8</v>
      </c>
      <c r="G127" s="25">
        <v>9</v>
      </c>
      <c r="H127" s="25">
        <v>0</v>
      </c>
      <c r="I127" s="25">
        <f t="shared" ref="I127:I196" si="85">H127-E127</f>
        <v>0</v>
      </c>
      <c r="J127" s="25"/>
      <c r="K127" s="25"/>
      <c r="L127" s="25">
        <f t="shared" ref="L127:L147" si="86">AVERAGE(J$138,J$145:J$146)</f>
        <v>2.34593837535014E-2</v>
      </c>
      <c r="M127" s="25">
        <v>8.63077315410329E-4</v>
      </c>
      <c r="N127" s="25"/>
      <c r="O127" s="25"/>
      <c r="P127" s="25">
        <f t="shared" ref="P127:P147" si="87">AVERAGE(N$138,N$145:N$146)</f>
        <v>0.91561624649859941</v>
      </c>
      <c r="Q127" s="25">
        <v>6.3825378995884504E-3</v>
      </c>
      <c r="R127" s="25"/>
      <c r="S127" s="25"/>
      <c r="T127" s="25">
        <f t="shared" ref="T127:T147" si="88">AVERAGE(R$138,R$145:R$146)</f>
        <v>0.97058823529411764</v>
      </c>
      <c r="U127" s="25">
        <v>1.4937863582359201E-3</v>
      </c>
      <c r="V127" s="25"/>
      <c r="W127" s="26"/>
      <c r="X127" s="25">
        <f t="shared" ref="X127:X147" si="89">AVERAGE(V$138,V$145:V$146)</f>
        <v>2.9411764705882349E-2</v>
      </c>
      <c r="Y127" s="25">
        <v>1.4898572743423401E-3</v>
      </c>
      <c r="Z127" s="25"/>
      <c r="AA127" s="25"/>
      <c r="AB127" s="25"/>
      <c r="AC127" s="25"/>
      <c r="AD127" s="25"/>
      <c r="AE127" s="25"/>
      <c r="AF127" s="25">
        <f t="shared" ref="AF127:AF147" si="90">AVERAGE(AD$138,AD$145:AD$146)</f>
        <v>0.94230769230769218</v>
      </c>
      <c r="AG127" s="25">
        <v>2.73143617305068E-3</v>
      </c>
    </row>
    <row r="128" spans="1:33" hidden="1" x14ac:dyDescent="0.3">
      <c r="A128" s="25">
        <v>1999</v>
      </c>
      <c r="B128" s="25" t="s">
        <v>9</v>
      </c>
      <c r="C128" s="25" t="s">
        <v>13</v>
      </c>
      <c r="D128" s="25">
        <f t="shared" si="36"/>
        <v>4</v>
      </c>
      <c r="E128" s="25">
        <v>0</v>
      </c>
      <c r="F128" s="25">
        <v>4</v>
      </c>
      <c r="G128" s="25">
        <v>4</v>
      </c>
      <c r="H128" s="25">
        <v>0</v>
      </c>
      <c r="I128" s="25">
        <f t="shared" si="85"/>
        <v>0</v>
      </c>
      <c r="J128" s="25"/>
      <c r="K128" s="25"/>
      <c r="L128" s="25">
        <f t="shared" si="86"/>
        <v>2.34593837535014E-2</v>
      </c>
      <c r="M128" s="25">
        <v>8.63077315410329E-4</v>
      </c>
      <c r="N128" s="25"/>
      <c r="O128" s="25"/>
      <c r="P128" s="25">
        <f t="shared" si="87"/>
        <v>0.91561624649859941</v>
      </c>
      <c r="Q128" s="25">
        <v>6.3825378995884504E-3</v>
      </c>
      <c r="R128" s="25"/>
      <c r="S128" s="25"/>
      <c r="T128" s="25">
        <f t="shared" si="88"/>
        <v>0.97058823529411764</v>
      </c>
      <c r="U128" s="25">
        <v>1.4937863582359201E-3</v>
      </c>
      <c r="V128" s="25"/>
      <c r="W128" s="26"/>
      <c r="X128" s="25">
        <f t="shared" si="89"/>
        <v>2.9411764705882349E-2</v>
      </c>
      <c r="Y128" s="25">
        <v>1.4898572743423401E-3</v>
      </c>
      <c r="Z128" s="25"/>
      <c r="AA128" s="25"/>
      <c r="AB128" s="25"/>
      <c r="AC128" s="25"/>
      <c r="AD128" s="25"/>
      <c r="AE128" s="25"/>
      <c r="AF128" s="25">
        <f t="shared" si="90"/>
        <v>0.94230769230769218</v>
      </c>
      <c r="AG128" s="25">
        <v>2.73143617305068E-3</v>
      </c>
    </row>
    <row r="129" spans="1:33" hidden="1" x14ac:dyDescent="0.3">
      <c r="A129" s="25">
        <v>2000</v>
      </c>
      <c r="B129" s="25" t="s">
        <v>9</v>
      </c>
      <c r="C129" s="25" t="s">
        <v>13</v>
      </c>
      <c r="D129" s="25">
        <f t="shared" si="36"/>
        <v>22</v>
      </c>
      <c r="E129" s="25">
        <v>0</v>
      </c>
      <c r="F129" s="25">
        <v>21</v>
      </c>
      <c r="G129" s="25">
        <v>22</v>
      </c>
      <c r="H129" s="25">
        <v>0</v>
      </c>
      <c r="I129" s="25">
        <f t="shared" si="85"/>
        <v>0</v>
      </c>
      <c r="J129" s="25"/>
      <c r="K129" s="25"/>
      <c r="L129" s="25">
        <f t="shared" si="86"/>
        <v>2.34593837535014E-2</v>
      </c>
      <c r="M129" s="25">
        <v>8.63077315410329E-4</v>
      </c>
      <c r="N129" s="25"/>
      <c r="O129" s="25"/>
      <c r="P129" s="25">
        <f t="shared" si="87"/>
        <v>0.91561624649859941</v>
      </c>
      <c r="Q129" s="25">
        <v>6.3825378995884504E-3</v>
      </c>
      <c r="R129" s="25"/>
      <c r="S129" s="25"/>
      <c r="T129" s="25">
        <f t="shared" si="88"/>
        <v>0.97058823529411764</v>
      </c>
      <c r="U129" s="25">
        <v>1.4937863582359201E-3</v>
      </c>
      <c r="V129" s="25"/>
      <c r="W129" s="26"/>
      <c r="X129" s="25">
        <f t="shared" si="89"/>
        <v>2.9411764705882349E-2</v>
      </c>
      <c r="Y129" s="25">
        <v>1.4898572743423401E-3</v>
      </c>
      <c r="Z129" s="25"/>
      <c r="AA129" s="25"/>
      <c r="AB129" s="25"/>
      <c r="AC129" s="25"/>
      <c r="AD129" s="25"/>
      <c r="AE129" s="25"/>
      <c r="AF129" s="25">
        <f t="shared" si="90"/>
        <v>0.94230769230769218</v>
      </c>
      <c r="AG129" s="25">
        <v>2.73143617305068E-3</v>
      </c>
    </row>
    <row r="130" spans="1:33" hidden="1" x14ac:dyDescent="0.3">
      <c r="A130" s="25">
        <v>2001</v>
      </c>
      <c r="B130" s="25" t="s">
        <v>9</v>
      </c>
      <c r="C130" s="25" t="s">
        <v>13</v>
      </c>
      <c r="D130" s="25">
        <f t="shared" si="36"/>
        <v>2</v>
      </c>
      <c r="E130" s="25">
        <v>0</v>
      </c>
      <c r="F130" s="25">
        <v>2</v>
      </c>
      <c r="G130" s="25">
        <v>2</v>
      </c>
      <c r="H130" s="25">
        <v>0</v>
      </c>
      <c r="I130" s="25">
        <f t="shared" si="85"/>
        <v>0</v>
      </c>
      <c r="J130" s="25"/>
      <c r="K130" s="25"/>
      <c r="L130" s="25">
        <f t="shared" si="86"/>
        <v>2.34593837535014E-2</v>
      </c>
      <c r="M130" s="25">
        <v>8.63077315410329E-4</v>
      </c>
      <c r="N130" s="25"/>
      <c r="O130" s="25"/>
      <c r="P130" s="25">
        <f t="shared" si="87"/>
        <v>0.91561624649859941</v>
      </c>
      <c r="Q130" s="25">
        <v>6.3825378995884504E-3</v>
      </c>
      <c r="R130" s="25"/>
      <c r="S130" s="25"/>
      <c r="T130" s="25">
        <f t="shared" si="88"/>
        <v>0.97058823529411764</v>
      </c>
      <c r="U130" s="25">
        <v>1.4937863582359201E-3</v>
      </c>
      <c r="V130" s="25"/>
      <c r="W130" s="26"/>
      <c r="X130" s="25">
        <f t="shared" si="89"/>
        <v>2.9411764705882349E-2</v>
      </c>
      <c r="Y130" s="25">
        <v>1.4898572743423401E-3</v>
      </c>
      <c r="Z130" s="25"/>
      <c r="AA130" s="25"/>
      <c r="AB130" s="25"/>
      <c r="AC130" s="25"/>
      <c r="AD130" s="25"/>
      <c r="AE130" s="25"/>
      <c r="AF130" s="25">
        <f t="shared" si="90"/>
        <v>0.94230769230769218</v>
      </c>
      <c r="AG130" s="25">
        <v>2.73143617305068E-3</v>
      </c>
    </row>
    <row r="131" spans="1:33" hidden="1" x14ac:dyDescent="0.3">
      <c r="A131" s="25">
        <v>2002</v>
      </c>
      <c r="B131" s="25" t="s">
        <v>9</v>
      </c>
      <c r="C131" s="25" t="s">
        <v>13</v>
      </c>
      <c r="D131" s="25">
        <f t="shared" si="36"/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f t="shared" si="85"/>
        <v>0</v>
      </c>
      <c r="J131" s="25"/>
      <c r="K131" s="25"/>
      <c r="L131" s="25">
        <f t="shared" si="86"/>
        <v>2.34593837535014E-2</v>
      </c>
      <c r="M131" s="25">
        <v>8.63077315410329E-4</v>
      </c>
      <c r="N131" s="25"/>
      <c r="O131" s="25"/>
      <c r="P131" s="25">
        <f t="shared" si="87"/>
        <v>0.91561624649859941</v>
      </c>
      <c r="Q131" s="25">
        <v>6.3825378995884504E-3</v>
      </c>
      <c r="R131" s="25"/>
      <c r="S131" s="25"/>
      <c r="T131" s="25">
        <f t="shared" si="88"/>
        <v>0.97058823529411764</v>
      </c>
      <c r="U131" s="25">
        <v>1.4937863582359201E-3</v>
      </c>
      <c r="V131" s="25"/>
      <c r="W131" s="26"/>
      <c r="X131" s="25">
        <f t="shared" si="89"/>
        <v>2.9411764705882349E-2</v>
      </c>
      <c r="Y131" s="25">
        <v>1.4898572743423401E-3</v>
      </c>
      <c r="Z131" s="25"/>
      <c r="AA131" s="25"/>
      <c r="AB131" s="25"/>
      <c r="AC131" s="25"/>
      <c r="AD131" s="25"/>
      <c r="AE131" s="25"/>
      <c r="AF131" s="25">
        <f t="shared" si="90"/>
        <v>0.94230769230769218</v>
      </c>
      <c r="AG131" s="25">
        <v>2.73143617305068E-3</v>
      </c>
    </row>
    <row r="132" spans="1:33" hidden="1" x14ac:dyDescent="0.3">
      <c r="A132" s="25">
        <v>2003</v>
      </c>
      <c r="B132" s="25" t="s">
        <v>9</v>
      </c>
      <c r="C132" s="25" t="s">
        <v>13</v>
      </c>
      <c r="D132" s="25">
        <f t="shared" si="36"/>
        <v>13</v>
      </c>
      <c r="E132" s="25">
        <v>0</v>
      </c>
      <c r="F132" s="25">
        <v>12</v>
      </c>
      <c r="G132" s="25">
        <v>13</v>
      </c>
      <c r="H132" s="25">
        <v>0</v>
      </c>
      <c r="I132" s="25">
        <f t="shared" si="85"/>
        <v>0</v>
      </c>
      <c r="J132" s="25"/>
      <c r="K132" s="25"/>
      <c r="L132" s="25">
        <f t="shared" si="86"/>
        <v>2.34593837535014E-2</v>
      </c>
      <c r="M132" s="25">
        <v>8.63077315410329E-4</v>
      </c>
      <c r="N132" s="25"/>
      <c r="O132" s="25"/>
      <c r="P132" s="25">
        <f t="shared" si="87"/>
        <v>0.91561624649859941</v>
      </c>
      <c r="Q132" s="25">
        <v>6.3825378995884504E-3</v>
      </c>
      <c r="R132" s="25"/>
      <c r="S132" s="25"/>
      <c r="T132" s="25">
        <f t="shared" si="88"/>
        <v>0.97058823529411764</v>
      </c>
      <c r="U132" s="25">
        <v>1.4937863582359201E-3</v>
      </c>
      <c r="V132" s="25"/>
      <c r="W132" s="26"/>
      <c r="X132" s="25">
        <f t="shared" si="89"/>
        <v>2.9411764705882349E-2</v>
      </c>
      <c r="Y132" s="25">
        <v>1.4898572743423401E-3</v>
      </c>
      <c r="Z132" s="25"/>
      <c r="AA132" s="25"/>
      <c r="AB132" s="25"/>
      <c r="AC132" s="25"/>
      <c r="AD132" s="25"/>
      <c r="AE132" s="25"/>
      <c r="AF132" s="25">
        <f t="shared" si="90"/>
        <v>0.94230769230769218</v>
      </c>
      <c r="AG132" s="25">
        <v>2.73143617305068E-3</v>
      </c>
    </row>
    <row r="133" spans="1:33" hidden="1" x14ac:dyDescent="0.3">
      <c r="A133" s="25">
        <v>2004</v>
      </c>
      <c r="B133" s="25" t="s">
        <v>9</v>
      </c>
      <c r="C133" s="25" t="s">
        <v>13</v>
      </c>
      <c r="D133" s="25">
        <f t="shared" si="36"/>
        <v>2</v>
      </c>
      <c r="E133" s="25">
        <v>0</v>
      </c>
      <c r="F133" s="25">
        <v>2</v>
      </c>
      <c r="G133" s="25">
        <v>2</v>
      </c>
      <c r="H133" s="25">
        <v>0</v>
      </c>
      <c r="I133" s="25">
        <f t="shared" si="85"/>
        <v>0</v>
      </c>
      <c r="J133" s="25"/>
      <c r="K133" s="25"/>
      <c r="L133" s="25">
        <f t="shared" si="86"/>
        <v>2.34593837535014E-2</v>
      </c>
      <c r="M133" s="25">
        <v>8.63077315410329E-4</v>
      </c>
      <c r="N133" s="25"/>
      <c r="O133" s="25"/>
      <c r="P133" s="25">
        <f t="shared" si="87"/>
        <v>0.91561624649859941</v>
      </c>
      <c r="Q133" s="25">
        <v>6.3825378995884504E-3</v>
      </c>
      <c r="R133" s="25"/>
      <c r="S133" s="25"/>
      <c r="T133" s="25">
        <f t="shared" si="88"/>
        <v>0.97058823529411764</v>
      </c>
      <c r="U133" s="25">
        <v>1.4937863582359201E-3</v>
      </c>
      <c r="V133" s="25"/>
      <c r="W133" s="26"/>
      <c r="X133" s="25">
        <f t="shared" si="89"/>
        <v>2.9411764705882349E-2</v>
      </c>
      <c r="Y133" s="25">
        <v>1.4898572743423401E-3</v>
      </c>
      <c r="Z133" s="25"/>
      <c r="AA133" s="25"/>
      <c r="AB133" s="25"/>
      <c r="AC133" s="25"/>
      <c r="AD133" s="25"/>
      <c r="AE133" s="25"/>
      <c r="AF133" s="25">
        <f t="shared" si="90"/>
        <v>0.94230769230769218</v>
      </c>
      <c r="AG133" s="25">
        <v>2.73143617305068E-3</v>
      </c>
    </row>
    <row r="134" spans="1:33" hidden="1" x14ac:dyDescent="0.3">
      <c r="A134" s="25">
        <v>2005</v>
      </c>
      <c r="B134" s="25" t="s">
        <v>9</v>
      </c>
      <c r="C134" s="25" t="s">
        <v>13</v>
      </c>
      <c r="D134" s="25">
        <f t="shared" si="36"/>
        <v>0</v>
      </c>
      <c r="E134" s="25">
        <v>0</v>
      </c>
      <c r="F134" s="25">
        <v>0</v>
      </c>
      <c r="G134" s="25">
        <v>0</v>
      </c>
      <c r="H134" s="25">
        <v>0</v>
      </c>
      <c r="I134" s="25">
        <f t="shared" si="85"/>
        <v>0</v>
      </c>
      <c r="J134" s="25"/>
      <c r="K134" s="25"/>
      <c r="L134" s="25">
        <f t="shared" si="86"/>
        <v>2.34593837535014E-2</v>
      </c>
      <c r="M134" s="25">
        <v>8.63077315410329E-4</v>
      </c>
      <c r="N134" s="25"/>
      <c r="O134" s="25"/>
      <c r="P134" s="25">
        <f t="shared" si="87"/>
        <v>0.91561624649859941</v>
      </c>
      <c r="Q134" s="25">
        <v>6.3825378995884504E-3</v>
      </c>
      <c r="R134" s="25"/>
      <c r="S134" s="25"/>
      <c r="T134" s="25">
        <f t="shared" si="88"/>
        <v>0.97058823529411764</v>
      </c>
      <c r="U134" s="25">
        <v>1.4937863582359201E-3</v>
      </c>
      <c r="V134" s="25"/>
      <c r="W134" s="26"/>
      <c r="X134" s="25">
        <f t="shared" si="89"/>
        <v>2.9411764705882349E-2</v>
      </c>
      <c r="Y134" s="25">
        <v>1.4898572743423401E-3</v>
      </c>
      <c r="Z134" s="25"/>
      <c r="AA134" s="25"/>
      <c r="AB134" s="25"/>
      <c r="AC134" s="25"/>
      <c r="AD134" s="25"/>
      <c r="AE134" s="25"/>
      <c r="AF134" s="25">
        <f t="shared" si="90"/>
        <v>0.94230769230769218</v>
      </c>
      <c r="AG134" s="25">
        <v>2.73143617305068E-3</v>
      </c>
    </row>
    <row r="135" spans="1:33" hidden="1" x14ac:dyDescent="0.3">
      <c r="A135" s="25">
        <v>2006</v>
      </c>
      <c r="B135" s="25" t="s">
        <v>9</v>
      </c>
      <c r="C135" s="25" t="s">
        <v>13</v>
      </c>
      <c r="D135" s="25">
        <f t="shared" si="36"/>
        <v>20</v>
      </c>
      <c r="E135" s="25">
        <v>3</v>
      </c>
      <c r="F135" s="25">
        <v>13</v>
      </c>
      <c r="G135" s="25">
        <v>17</v>
      </c>
      <c r="H135" s="25">
        <v>3</v>
      </c>
      <c r="I135" s="25">
        <f t="shared" si="85"/>
        <v>0</v>
      </c>
      <c r="J135" s="25"/>
      <c r="K135" s="25"/>
      <c r="L135" s="25">
        <f t="shared" si="86"/>
        <v>2.34593837535014E-2</v>
      </c>
      <c r="M135" s="25">
        <v>8.63077315410329E-4</v>
      </c>
      <c r="N135" s="25"/>
      <c r="O135" s="25"/>
      <c r="P135" s="25">
        <f t="shared" si="87"/>
        <v>0.91561624649859941</v>
      </c>
      <c r="Q135" s="25">
        <v>6.3825378995884504E-3</v>
      </c>
      <c r="R135" s="25"/>
      <c r="S135" s="25"/>
      <c r="T135" s="25">
        <f t="shared" si="88"/>
        <v>0.97058823529411764</v>
      </c>
      <c r="U135" s="25">
        <v>1.4937863582359201E-3</v>
      </c>
      <c r="V135" s="25"/>
      <c r="W135" s="26"/>
      <c r="X135" s="25">
        <f t="shared" si="89"/>
        <v>2.9411764705882349E-2</v>
      </c>
      <c r="Y135" s="25">
        <v>1.4898572743423401E-3</v>
      </c>
      <c r="Z135" s="25"/>
      <c r="AA135" s="25"/>
      <c r="AB135" s="25"/>
      <c r="AC135" s="25"/>
      <c r="AD135" s="25"/>
      <c r="AE135" s="25"/>
      <c r="AF135" s="25">
        <f t="shared" si="90"/>
        <v>0.94230769230769218</v>
      </c>
      <c r="AG135" s="25">
        <v>2.73143617305068E-3</v>
      </c>
    </row>
    <row r="136" spans="1:33" hidden="1" x14ac:dyDescent="0.3">
      <c r="A136" s="25">
        <v>2007</v>
      </c>
      <c r="B136" s="25" t="s">
        <v>9</v>
      </c>
      <c r="C136" s="25" t="s">
        <v>13</v>
      </c>
      <c r="D136" s="25">
        <f t="shared" si="36"/>
        <v>26</v>
      </c>
      <c r="E136" s="25">
        <v>0</v>
      </c>
      <c r="F136" s="25">
        <v>26</v>
      </c>
      <c r="G136" s="25">
        <v>26</v>
      </c>
      <c r="H136" s="25">
        <v>0</v>
      </c>
      <c r="I136" s="25">
        <f t="shared" si="85"/>
        <v>0</v>
      </c>
      <c r="J136" s="25"/>
      <c r="K136" s="25"/>
      <c r="L136" s="25">
        <f>AVERAGE(J$138,J$145:J$146)</f>
        <v>2.34593837535014E-2</v>
      </c>
      <c r="M136" s="25">
        <v>8.63077315410329E-4</v>
      </c>
      <c r="N136" s="25"/>
      <c r="O136" s="25"/>
      <c r="P136" s="25">
        <f t="shared" si="87"/>
        <v>0.91561624649859941</v>
      </c>
      <c r="Q136" s="25">
        <v>6.3825378995884504E-3</v>
      </c>
      <c r="R136" s="25"/>
      <c r="S136" s="25"/>
      <c r="T136" s="25">
        <f t="shared" si="88"/>
        <v>0.97058823529411764</v>
      </c>
      <c r="U136" s="25">
        <v>1.4937863582359201E-3</v>
      </c>
      <c r="V136" s="25"/>
      <c r="W136" s="26"/>
      <c r="X136" s="25">
        <f t="shared" si="89"/>
        <v>2.9411764705882349E-2</v>
      </c>
      <c r="Y136" s="25">
        <v>1.4898572743423401E-3</v>
      </c>
      <c r="Z136" s="25"/>
      <c r="AA136" s="25"/>
      <c r="AB136" s="25"/>
      <c r="AC136" s="25"/>
      <c r="AD136" s="25"/>
      <c r="AE136" s="25"/>
      <c r="AF136" s="25">
        <f>AVERAGE(AD$138,AD$145:AD$146)</f>
        <v>0.94230769230769218</v>
      </c>
      <c r="AG136" s="25">
        <v>2.73143617305068E-3</v>
      </c>
    </row>
    <row r="137" spans="1:33" hidden="1" x14ac:dyDescent="0.3">
      <c r="A137" s="25">
        <v>2008</v>
      </c>
      <c r="B137" s="25" t="s">
        <v>9</v>
      </c>
      <c r="C137" s="25" t="s">
        <v>13</v>
      </c>
      <c r="D137" s="25">
        <f t="shared" si="36"/>
        <v>1</v>
      </c>
      <c r="E137" s="25">
        <v>1</v>
      </c>
      <c r="F137" s="25">
        <v>0</v>
      </c>
      <c r="G137" s="25">
        <v>0</v>
      </c>
      <c r="H137" s="25">
        <v>1</v>
      </c>
      <c r="I137" s="25">
        <f t="shared" si="85"/>
        <v>0</v>
      </c>
      <c r="J137" s="25"/>
      <c r="K137" s="25"/>
      <c r="L137" s="25">
        <f t="shared" si="86"/>
        <v>2.34593837535014E-2</v>
      </c>
      <c r="M137" s="25">
        <v>8.63077315410329E-4</v>
      </c>
      <c r="N137" s="25"/>
      <c r="O137" s="25"/>
      <c r="P137" s="25">
        <f t="shared" si="87"/>
        <v>0.91561624649859941</v>
      </c>
      <c r="Q137" s="25">
        <v>6.3825378995884504E-3</v>
      </c>
      <c r="R137" s="25"/>
      <c r="S137" s="25"/>
      <c r="T137" s="25">
        <f t="shared" si="88"/>
        <v>0.97058823529411764</v>
      </c>
      <c r="U137" s="25">
        <v>1.4937863582359201E-3</v>
      </c>
      <c r="V137" s="25"/>
      <c r="W137" s="26"/>
      <c r="X137" s="25">
        <f t="shared" si="89"/>
        <v>2.9411764705882349E-2</v>
      </c>
      <c r="Y137" s="25">
        <v>1.4898572743423401E-3</v>
      </c>
      <c r="Z137" s="25"/>
      <c r="AA137" s="25"/>
      <c r="AB137" s="25"/>
      <c r="AC137" s="25"/>
      <c r="AD137" s="25"/>
      <c r="AE137" s="25"/>
      <c r="AF137" s="25">
        <f t="shared" si="90"/>
        <v>0.94230769230769218</v>
      </c>
      <c r="AG137" s="25">
        <v>2.73143617305068E-3</v>
      </c>
    </row>
    <row r="138" spans="1:33" hidden="1" x14ac:dyDescent="0.3">
      <c r="A138" s="25">
        <v>2009</v>
      </c>
      <c r="B138" s="25" t="s">
        <v>9</v>
      </c>
      <c r="C138" s="25" t="s">
        <v>13</v>
      </c>
      <c r="D138" s="25">
        <f t="shared" si="36"/>
        <v>50</v>
      </c>
      <c r="E138" s="25">
        <v>0</v>
      </c>
      <c r="F138" s="25">
        <v>50</v>
      </c>
      <c r="G138" s="25">
        <v>50</v>
      </c>
      <c r="H138" s="25">
        <v>0</v>
      </c>
      <c r="I138" s="25">
        <f t="shared" si="85"/>
        <v>0</v>
      </c>
      <c r="J138" s="25">
        <f>E138/D138</f>
        <v>0</v>
      </c>
      <c r="K138" s="25">
        <f t="shared" ref="K138" si="91">(J138*(1-J138))/(D138-1)</f>
        <v>0</v>
      </c>
      <c r="L138" s="25">
        <f t="shared" si="86"/>
        <v>2.34593837535014E-2</v>
      </c>
      <c r="M138" s="25">
        <v>8.63077315410329E-4</v>
      </c>
      <c r="N138" s="25">
        <f>F138/D138</f>
        <v>1</v>
      </c>
      <c r="O138" s="25">
        <f>(N138*(1-N138))/($D138-1)</f>
        <v>0</v>
      </c>
      <c r="P138" s="25">
        <f t="shared" si="87"/>
        <v>0.91561624649859941</v>
      </c>
      <c r="Q138" s="25">
        <v>6.3825378995884504E-3</v>
      </c>
      <c r="R138" s="25">
        <f t="shared" ref="R138" si="92">G138/D138</f>
        <v>1</v>
      </c>
      <c r="S138" s="25">
        <f>(R138*(1-R138))/($D138-1)</f>
        <v>0</v>
      </c>
      <c r="T138" s="25">
        <f t="shared" si="88"/>
        <v>0.97058823529411764</v>
      </c>
      <c r="U138" s="25">
        <v>1.4937863582359201E-3</v>
      </c>
      <c r="V138" s="25">
        <f>H138/D138</f>
        <v>0</v>
      </c>
      <c r="W138" s="26">
        <f t="shared" ref="W138:W145" si="93">(V138*(1-V138))/(D138-1)</f>
        <v>0</v>
      </c>
      <c r="X138" s="25">
        <f t="shared" si="89"/>
        <v>2.9411764705882349E-2</v>
      </c>
      <c r="Y138" s="25">
        <v>1.4898572743423401E-3</v>
      </c>
      <c r="Z138" s="25"/>
      <c r="AA138" s="25"/>
      <c r="AB138" s="25"/>
      <c r="AC138" s="25"/>
      <c r="AD138" s="25">
        <f>F138/G138</f>
        <v>1</v>
      </c>
      <c r="AE138" s="25">
        <f>(AD138*(1-AD138))/(G138-1)</f>
        <v>0</v>
      </c>
      <c r="AF138" s="25">
        <f t="shared" si="90"/>
        <v>0.94230769230769218</v>
      </c>
      <c r="AG138" s="25">
        <v>2.73143617305068E-3</v>
      </c>
    </row>
    <row r="139" spans="1:33" hidden="1" x14ac:dyDescent="0.3">
      <c r="A139" s="25">
        <v>2010</v>
      </c>
      <c r="B139" s="25" t="s">
        <v>9</v>
      </c>
      <c r="C139" s="25" t="s">
        <v>13</v>
      </c>
      <c r="D139" s="25">
        <f t="shared" si="36"/>
        <v>0</v>
      </c>
      <c r="E139" s="25">
        <v>0</v>
      </c>
      <c r="F139" s="25">
        <v>0</v>
      </c>
      <c r="G139" s="25">
        <v>0</v>
      </c>
      <c r="H139" s="25">
        <v>0</v>
      </c>
      <c r="I139" s="25">
        <f t="shared" si="85"/>
        <v>0</v>
      </c>
      <c r="J139" s="25"/>
      <c r="K139" s="25"/>
      <c r="L139" s="25">
        <f t="shared" si="86"/>
        <v>2.34593837535014E-2</v>
      </c>
      <c r="M139" s="25">
        <v>8.63077315410329E-4</v>
      </c>
      <c r="N139" s="25"/>
      <c r="O139" s="25"/>
      <c r="P139" s="25">
        <f t="shared" si="87"/>
        <v>0.91561624649859941</v>
      </c>
      <c r="Q139" s="25">
        <v>6.3825378995884504E-3</v>
      </c>
      <c r="R139" s="25"/>
      <c r="S139" s="25"/>
      <c r="T139" s="25">
        <f t="shared" si="88"/>
        <v>0.97058823529411764</v>
      </c>
      <c r="U139" s="25">
        <v>1.4937863582359201E-3</v>
      </c>
      <c r="V139" s="25"/>
      <c r="W139" s="26"/>
      <c r="X139" s="25">
        <f t="shared" si="89"/>
        <v>2.9411764705882349E-2</v>
      </c>
      <c r="Y139" s="25">
        <v>1.4898572743423401E-3</v>
      </c>
      <c r="Z139" s="25"/>
      <c r="AA139" s="25"/>
      <c r="AB139" s="25"/>
      <c r="AC139" s="25"/>
      <c r="AD139" s="25"/>
      <c r="AE139" s="25"/>
      <c r="AF139" s="25">
        <f>AVERAGE(AD$138,AD$145:AD$146)</f>
        <v>0.94230769230769218</v>
      </c>
      <c r="AG139" s="25">
        <v>2.73143617305068E-3</v>
      </c>
    </row>
    <row r="140" spans="1:33" hidden="1" x14ac:dyDescent="0.3">
      <c r="A140" s="25">
        <v>2011</v>
      </c>
      <c r="B140" s="25" t="s">
        <v>9</v>
      </c>
      <c r="C140" s="25" t="s">
        <v>13</v>
      </c>
      <c r="D140" s="25">
        <f t="shared" si="36"/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f t="shared" si="85"/>
        <v>0</v>
      </c>
      <c r="J140" s="25"/>
      <c r="K140" s="25"/>
      <c r="L140" s="25">
        <f t="shared" si="86"/>
        <v>2.34593837535014E-2</v>
      </c>
      <c r="M140" s="25">
        <v>8.63077315410329E-4</v>
      </c>
      <c r="N140" s="25"/>
      <c r="O140" s="25"/>
      <c r="P140" s="25">
        <f t="shared" si="87"/>
        <v>0.91561624649859941</v>
      </c>
      <c r="Q140" s="25">
        <v>6.3825378995884504E-3</v>
      </c>
      <c r="R140" s="25"/>
      <c r="S140" s="25"/>
      <c r="T140" s="25">
        <f t="shared" si="88"/>
        <v>0.97058823529411764</v>
      </c>
      <c r="U140" s="25">
        <v>1.4937863582359201E-3</v>
      </c>
      <c r="V140" s="25"/>
      <c r="W140" s="26"/>
      <c r="X140" s="25">
        <f t="shared" si="89"/>
        <v>2.9411764705882349E-2</v>
      </c>
      <c r="Y140" s="25">
        <v>1.4898572743423401E-3</v>
      </c>
      <c r="Z140" s="25"/>
      <c r="AA140" s="25"/>
      <c r="AB140" s="25"/>
      <c r="AC140" s="25"/>
      <c r="AD140" s="25"/>
      <c r="AE140" s="25"/>
      <c r="AF140" s="25">
        <f t="shared" si="90"/>
        <v>0.94230769230769218</v>
      </c>
      <c r="AG140" s="25">
        <v>2.73143617305068E-3</v>
      </c>
    </row>
    <row r="141" spans="1:33" hidden="1" x14ac:dyDescent="0.3">
      <c r="A141" s="25">
        <v>2012</v>
      </c>
      <c r="B141" s="25" t="s">
        <v>9</v>
      </c>
      <c r="C141" s="25" t="s">
        <v>13</v>
      </c>
      <c r="D141" s="25">
        <f t="shared" si="36"/>
        <v>25</v>
      </c>
      <c r="E141" s="25">
        <v>0</v>
      </c>
      <c r="F141" s="25">
        <v>21</v>
      </c>
      <c r="G141" s="25">
        <v>25</v>
      </c>
      <c r="H141" s="25">
        <v>0</v>
      </c>
      <c r="I141" s="25">
        <f t="shared" si="85"/>
        <v>0</v>
      </c>
      <c r="J141" s="25"/>
      <c r="K141" s="25"/>
      <c r="L141" s="25">
        <f t="shared" si="86"/>
        <v>2.34593837535014E-2</v>
      </c>
      <c r="M141" s="25">
        <v>8.63077315410329E-4</v>
      </c>
      <c r="N141" s="25"/>
      <c r="O141" s="25"/>
      <c r="P141" s="25">
        <f t="shared" si="87"/>
        <v>0.91561624649859941</v>
      </c>
      <c r="Q141" s="25">
        <v>6.3825378995884504E-3</v>
      </c>
      <c r="R141" s="25"/>
      <c r="S141" s="25"/>
      <c r="T141" s="25">
        <f t="shared" si="88"/>
        <v>0.97058823529411764</v>
      </c>
      <c r="U141" s="25">
        <v>1.4937863582359201E-3</v>
      </c>
      <c r="V141" s="25"/>
      <c r="W141" s="26"/>
      <c r="X141" s="25">
        <f t="shared" si="89"/>
        <v>2.9411764705882349E-2</v>
      </c>
      <c r="Y141" s="25">
        <v>1.4898572743423401E-3</v>
      </c>
      <c r="Z141" s="25"/>
      <c r="AA141" s="25"/>
      <c r="AB141" s="25"/>
      <c r="AC141" s="25"/>
      <c r="AD141" s="25"/>
      <c r="AE141" s="25"/>
      <c r="AF141" s="25">
        <f t="shared" si="90"/>
        <v>0.94230769230769218</v>
      </c>
      <c r="AG141" s="25">
        <v>2.73143617305068E-3</v>
      </c>
    </row>
    <row r="142" spans="1:33" hidden="1" x14ac:dyDescent="0.3">
      <c r="A142" s="25">
        <v>2013</v>
      </c>
      <c r="B142" s="25" t="s">
        <v>9</v>
      </c>
      <c r="C142" s="25" t="s">
        <v>13</v>
      </c>
      <c r="D142" s="25">
        <f t="shared" si="36"/>
        <v>0</v>
      </c>
      <c r="E142" s="25">
        <v>0</v>
      </c>
      <c r="F142" s="25">
        <v>0</v>
      </c>
      <c r="G142" s="25">
        <v>0</v>
      </c>
      <c r="H142" s="25">
        <v>0</v>
      </c>
      <c r="I142" s="25">
        <f t="shared" si="85"/>
        <v>0</v>
      </c>
      <c r="J142" s="25"/>
      <c r="K142" s="25"/>
      <c r="L142" s="25">
        <f t="shared" si="86"/>
        <v>2.34593837535014E-2</v>
      </c>
      <c r="M142" s="25">
        <v>8.63077315410329E-4</v>
      </c>
      <c r="N142" s="25"/>
      <c r="O142" s="25"/>
      <c r="P142" s="25">
        <f t="shared" si="87"/>
        <v>0.91561624649859941</v>
      </c>
      <c r="Q142" s="25">
        <v>6.3825378995884504E-3</v>
      </c>
      <c r="R142" s="25"/>
      <c r="S142" s="25"/>
      <c r="T142" s="25">
        <f t="shared" si="88"/>
        <v>0.97058823529411764</v>
      </c>
      <c r="U142" s="25">
        <v>1.4937863582359201E-3</v>
      </c>
      <c r="V142" s="25"/>
      <c r="W142" s="26"/>
      <c r="X142" s="25">
        <f t="shared" si="89"/>
        <v>2.9411764705882349E-2</v>
      </c>
      <c r="Y142" s="25">
        <v>1.4898572743423401E-3</v>
      </c>
      <c r="Z142" s="25"/>
      <c r="AA142" s="25"/>
      <c r="AB142" s="25"/>
      <c r="AC142" s="25"/>
      <c r="AD142" s="25"/>
      <c r="AE142" s="25"/>
      <c r="AF142" s="25">
        <f t="shared" si="90"/>
        <v>0.94230769230769218</v>
      </c>
      <c r="AG142" s="25">
        <v>2.73143617305068E-3</v>
      </c>
    </row>
    <row r="143" spans="1:33" hidden="1" x14ac:dyDescent="0.3">
      <c r="A143" s="25">
        <v>2014</v>
      </c>
      <c r="B143" s="25" t="s">
        <v>9</v>
      </c>
      <c r="C143" s="25" t="s">
        <v>13</v>
      </c>
      <c r="D143" s="25">
        <f t="shared" si="36"/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f t="shared" si="85"/>
        <v>0</v>
      </c>
      <c r="J143" s="25"/>
      <c r="K143" s="25"/>
      <c r="L143" s="25">
        <f t="shared" si="86"/>
        <v>2.34593837535014E-2</v>
      </c>
      <c r="M143" s="25">
        <v>8.63077315410329E-4</v>
      </c>
      <c r="N143" s="25"/>
      <c r="O143" s="25"/>
      <c r="P143" s="25">
        <f t="shared" si="87"/>
        <v>0.91561624649859941</v>
      </c>
      <c r="Q143" s="25">
        <v>6.3825378995884504E-3</v>
      </c>
      <c r="R143" s="25"/>
      <c r="S143" s="25"/>
      <c r="T143" s="25">
        <f t="shared" si="88"/>
        <v>0.97058823529411764</v>
      </c>
      <c r="U143" s="25">
        <v>1.4937863582359201E-3</v>
      </c>
      <c r="V143" s="25"/>
      <c r="W143" s="26"/>
      <c r="X143" s="25">
        <f t="shared" si="89"/>
        <v>2.9411764705882349E-2</v>
      </c>
      <c r="Y143" s="25">
        <v>1.4898572743423401E-3</v>
      </c>
      <c r="Z143" s="25"/>
      <c r="AA143" s="25"/>
      <c r="AB143" s="25"/>
      <c r="AC143" s="25"/>
      <c r="AD143" s="25"/>
      <c r="AE143" s="25"/>
      <c r="AF143" s="25">
        <f t="shared" si="90"/>
        <v>0.94230769230769218</v>
      </c>
      <c r="AG143" s="25">
        <v>2.73143617305068E-3</v>
      </c>
    </row>
    <row r="144" spans="1:33" hidden="1" x14ac:dyDescent="0.3">
      <c r="A144" s="25">
        <v>2015</v>
      </c>
      <c r="B144" s="25" t="s">
        <v>9</v>
      </c>
      <c r="C144" s="25" t="s">
        <v>13</v>
      </c>
      <c r="D144" s="25">
        <f t="shared" si="36"/>
        <v>26</v>
      </c>
      <c r="E144" s="25">
        <v>0</v>
      </c>
      <c r="F144" s="25">
        <v>21</v>
      </c>
      <c r="G144" s="25">
        <v>25</v>
      </c>
      <c r="H144" s="25">
        <v>1</v>
      </c>
      <c r="I144" s="25">
        <f t="shared" si="85"/>
        <v>1</v>
      </c>
      <c r="J144" s="25"/>
      <c r="K144" s="25"/>
      <c r="L144" s="25">
        <f t="shared" si="86"/>
        <v>2.34593837535014E-2</v>
      </c>
      <c r="M144" s="25">
        <v>8.63077315410329E-4</v>
      </c>
      <c r="N144" s="25"/>
      <c r="O144" s="25"/>
      <c r="P144" s="25">
        <f t="shared" si="87"/>
        <v>0.91561624649859941</v>
      </c>
      <c r="Q144" s="25">
        <v>6.3825378995884504E-3</v>
      </c>
      <c r="R144" s="25"/>
      <c r="S144" s="25"/>
      <c r="T144" s="25">
        <f t="shared" si="88"/>
        <v>0.97058823529411764</v>
      </c>
      <c r="U144" s="25">
        <v>1.4937863582359201E-3</v>
      </c>
      <c r="V144" s="25"/>
      <c r="W144" s="26"/>
      <c r="X144" s="25">
        <f t="shared" si="89"/>
        <v>2.9411764705882349E-2</v>
      </c>
      <c r="Y144" s="25">
        <v>1.4898572743423401E-3</v>
      </c>
      <c r="Z144" s="25"/>
      <c r="AA144" s="25"/>
      <c r="AB144" s="25"/>
      <c r="AC144" s="25"/>
      <c r="AD144" s="25"/>
      <c r="AE144" s="25"/>
      <c r="AF144" s="25">
        <f t="shared" si="90"/>
        <v>0.94230769230769218</v>
      </c>
      <c r="AG144" s="25">
        <v>2.73143617305068E-3</v>
      </c>
    </row>
    <row r="145" spans="1:33" hidden="1" x14ac:dyDescent="0.3">
      <c r="A145" s="25">
        <v>2016</v>
      </c>
      <c r="B145" s="25" t="s">
        <v>9</v>
      </c>
      <c r="C145" s="25" t="s">
        <v>13</v>
      </c>
      <c r="D145" s="25">
        <f t="shared" ref="D145:D160" si="94">G145+H145</f>
        <v>56</v>
      </c>
      <c r="E145" s="25">
        <v>3</v>
      </c>
      <c r="F145" s="25">
        <v>47</v>
      </c>
      <c r="G145" s="25">
        <v>52</v>
      </c>
      <c r="H145" s="25">
        <v>4</v>
      </c>
      <c r="I145" s="25">
        <f t="shared" si="85"/>
        <v>1</v>
      </c>
      <c r="J145" s="25">
        <f t="shared" ref="J145:J146" si="95">E145/D145</f>
        <v>5.3571428571428568E-2</v>
      </c>
      <c r="K145" s="25">
        <f t="shared" ref="K145:K146" si="96">(J145*(1-J145))/(D145-1)</f>
        <v>9.2184601113172535E-4</v>
      </c>
      <c r="L145" s="25">
        <f t="shared" si="86"/>
        <v>2.34593837535014E-2</v>
      </c>
      <c r="M145" s="25">
        <v>8.63077315410329E-4</v>
      </c>
      <c r="N145" s="25">
        <f t="shared" ref="N145" si="97">F145/D145</f>
        <v>0.8392857142857143</v>
      </c>
      <c r="O145" s="25">
        <f t="shared" ref="O145:O146" si="98">(N145*(1-N145))/($D145-1)</f>
        <v>2.4524582560296847E-3</v>
      </c>
      <c r="P145" s="25">
        <f t="shared" si="87"/>
        <v>0.91561624649859941</v>
      </c>
      <c r="Q145" s="25">
        <v>6.3825378995884504E-3</v>
      </c>
      <c r="R145" s="25">
        <f t="shared" ref="R145:R146" si="99">G145/D145</f>
        <v>0.9285714285714286</v>
      </c>
      <c r="S145" s="25">
        <f>(R145*(1-R145))/($D145-1)</f>
        <v>1.2059369202226341E-3</v>
      </c>
      <c r="T145" s="25">
        <f t="shared" si="88"/>
        <v>0.97058823529411764</v>
      </c>
      <c r="U145" s="25">
        <v>1.4937863582359201E-3</v>
      </c>
      <c r="V145" s="25">
        <f t="shared" ref="V145:V146" si="100">H145/D145</f>
        <v>7.1428571428571425E-2</v>
      </c>
      <c r="W145" s="26">
        <f t="shared" si="93"/>
        <v>1.2059369202226345E-3</v>
      </c>
      <c r="X145" s="25">
        <f t="shared" si="89"/>
        <v>2.9411764705882349E-2</v>
      </c>
      <c r="Y145" s="25">
        <v>1.4898572743423401E-3</v>
      </c>
      <c r="Z145" s="25"/>
      <c r="AA145" s="25"/>
      <c r="AB145" s="25"/>
      <c r="AC145" s="25"/>
      <c r="AD145" s="25">
        <f>F145/G145</f>
        <v>0.90384615384615385</v>
      </c>
      <c r="AE145" s="25">
        <f>(AD145*(1-AD145))/(G145-1)</f>
        <v>1.704084000464091E-3</v>
      </c>
      <c r="AF145" s="25">
        <f t="shared" si="90"/>
        <v>0.94230769230769218</v>
      </c>
      <c r="AG145" s="25">
        <v>2.73143617305068E-3</v>
      </c>
    </row>
    <row r="146" spans="1:33" hidden="1" x14ac:dyDescent="0.3">
      <c r="A146" s="25">
        <v>2017</v>
      </c>
      <c r="B146" s="25" t="s">
        <v>9</v>
      </c>
      <c r="C146" s="25" t="s">
        <v>13</v>
      </c>
      <c r="D146" s="25">
        <f t="shared" si="94"/>
        <v>119</v>
      </c>
      <c r="E146" s="25">
        <v>2</v>
      </c>
      <c r="F146" s="25">
        <v>108</v>
      </c>
      <c r="G146" s="25">
        <v>117</v>
      </c>
      <c r="H146" s="25">
        <v>2</v>
      </c>
      <c r="I146" s="25">
        <f t="shared" si="85"/>
        <v>0</v>
      </c>
      <c r="J146" s="25">
        <f t="shared" si="95"/>
        <v>1.680672268907563E-2</v>
      </c>
      <c r="K146" s="25">
        <f t="shared" si="96"/>
        <v>1.4003607425023848E-4</v>
      </c>
      <c r="L146" s="25">
        <f t="shared" si="86"/>
        <v>2.34593837535014E-2</v>
      </c>
      <c r="M146" s="25">
        <v>8.63077315410329E-4</v>
      </c>
      <c r="N146" s="25">
        <f>F146/D146</f>
        <v>0.90756302521008403</v>
      </c>
      <c r="O146" s="25">
        <f t="shared" si="98"/>
        <v>7.1095237696274926E-4</v>
      </c>
      <c r="P146" s="25">
        <f t="shared" si="87"/>
        <v>0.91561624649859941</v>
      </c>
      <c r="Q146" s="25">
        <v>6.3825378995884504E-3</v>
      </c>
      <c r="R146" s="25">
        <f t="shared" si="99"/>
        <v>0.98319327731092432</v>
      </c>
      <c r="S146" s="25">
        <f t="shared" ref="S146" si="101">(R146*(1-R146))/($D146-1)</f>
        <v>1.4003607425023889E-4</v>
      </c>
      <c r="T146" s="25">
        <f t="shared" si="88"/>
        <v>0.97058823529411764</v>
      </c>
      <c r="U146" s="25">
        <v>1.4937863582359201E-3</v>
      </c>
      <c r="V146" s="25">
        <f t="shared" si="100"/>
        <v>1.680672268907563E-2</v>
      </c>
      <c r="W146" s="26">
        <f>(V146*(1-V146))/(D146-1)</f>
        <v>1.4003607425023848E-4</v>
      </c>
      <c r="X146" s="25">
        <f t="shared" si="89"/>
        <v>2.9411764705882349E-2</v>
      </c>
      <c r="Y146" s="25">
        <v>1.4898572743423401E-3</v>
      </c>
      <c r="Z146" s="25"/>
      <c r="AA146" s="25"/>
      <c r="AB146" s="25"/>
      <c r="AC146" s="25"/>
      <c r="AD146" s="25">
        <f>F146/G146</f>
        <v>0.92307692307692313</v>
      </c>
      <c r="AE146" s="25">
        <f>(AD146*(1-AD146))/(G146-1)</f>
        <v>6.1211997551520068E-4</v>
      </c>
      <c r="AF146" s="25">
        <f t="shared" si="90"/>
        <v>0.94230769230769218</v>
      </c>
      <c r="AG146" s="25">
        <v>2.73143617305068E-3</v>
      </c>
    </row>
    <row r="147" spans="1:33" hidden="1" x14ac:dyDescent="0.3">
      <c r="A147" s="25">
        <v>2018</v>
      </c>
      <c r="B147" s="25" t="s">
        <v>9</v>
      </c>
      <c r="C147" s="25" t="s">
        <v>13</v>
      </c>
      <c r="D147" s="25">
        <f t="shared" si="94"/>
        <v>37</v>
      </c>
      <c r="E147" s="25">
        <v>0</v>
      </c>
      <c r="F147" s="25">
        <v>36</v>
      </c>
      <c r="G147" s="25">
        <v>37</v>
      </c>
      <c r="H147" s="25">
        <v>0</v>
      </c>
      <c r="I147" s="25">
        <f t="shared" si="85"/>
        <v>0</v>
      </c>
      <c r="J147" s="25"/>
      <c r="K147" s="25"/>
      <c r="L147" s="25">
        <f t="shared" si="86"/>
        <v>2.34593837535014E-2</v>
      </c>
      <c r="M147" s="25">
        <v>8.63077315410329E-4</v>
      </c>
      <c r="N147" s="25"/>
      <c r="O147" s="25"/>
      <c r="P147" s="25">
        <f t="shared" si="87"/>
        <v>0.91561624649859941</v>
      </c>
      <c r="Q147" s="25">
        <v>6.3825378995884504E-3</v>
      </c>
      <c r="R147" s="25"/>
      <c r="S147" s="25"/>
      <c r="T147" s="25">
        <f t="shared" si="88"/>
        <v>0.97058823529411764</v>
      </c>
      <c r="U147" s="25">
        <v>1.4937863582359201E-3</v>
      </c>
      <c r="V147" s="25"/>
      <c r="W147" s="26"/>
      <c r="X147" s="25">
        <f t="shared" si="89"/>
        <v>2.9411764705882349E-2</v>
      </c>
      <c r="Y147" s="25">
        <v>1.4898572743423401E-3</v>
      </c>
      <c r="Z147" s="25"/>
      <c r="AA147" s="25"/>
      <c r="AB147" s="25"/>
      <c r="AC147" s="25"/>
      <c r="AD147" s="25"/>
      <c r="AE147" s="25"/>
      <c r="AF147" s="25">
        <f t="shared" si="90"/>
        <v>0.94230769230769218</v>
      </c>
      <c r="AG147" s="25">
        <v>2.73143617305068E-3</v>
      </c>
    </row>
    <row r="148" spans="1:33" hidden="1" x14ac:dyDescent="0.3">
      <c r="A148" s="25">
        <v>2019</v>
      </c>
      <c r="B148" s="25" t="s">
        <v>9</v>
      </c>
      <c r="C148" s="25" t="s">
        <v>13</v>
      </c>
      <c r="D148" s="25">
        <f t="shared" si="94"/>
        <v>35</v>
      </c>
      <c r="E148" s="25">
        <v>0</v>
      </c>
      <c r="F148" s="25">
        <v>34</v>
      </c>
      <c r="G148" s="25">
        <v>35</v>
      </c>
      <c r="H148" s="25">
        <v>0</v>
      </c>
      <c r="I148" s="25">
        <f t="shared" si="85"/>
        <v>0</v>
      </c>
      <c r="J148" s="25"/>
      <c r="K148" s="25"/>
      <c r="L148" s="25">
        <f>AVERAGE(J$138,J$145:J$146)</f>
        <v>2.34593837535014E-2</v>
      </c>
      <c r="M148" s="25">
        <v>8.63077315410329E-4</v>
      </c>
      <c r="N148" s="25"/>
      <c r="O148" s="25"/>
      <c r="P148" s="25">
        <f t="shared" ref="P148:P149" si="102">AVERAGE(N$138,N$145:N$146)</f>
        <v>0.91561624649859941</v>
      </c>
      <c r="Q148" s="25">
        <v>6.3825378995884504E-3</v>
      </c>
      <c r="R148" s="25"/>
      <c r="S148" s="25"/>
      <c r="T148" s="25">
        <f t="shared" ref="T148:T150" si="103">AVERAGE(R$138,R$145:R$146)</f>
        <v>0.97058823529411764</v>
      </c>
      <c r="U148" s="25">
        <v>1.4937863582359201E-3</v>
      </c>
      <c r="V148" s="25"/>
      <c r="W148" s="26"/>
      <c r="X148" s="25">
        <f t="shared" ref="X148:X149" si="104">AVERAGE(V$138,V$145:V$146)</f>
        <v>2.9411764705882349E-2</v>
      </c>
      <c r="Y148" s="25">
        <v>1.4898572743423401E-3</v>
      </c>
      <c r="Z148" s="25"/>
      <c r="AA148" s="25"/>
      <c r="AB148" s="25"/>
      <c r="AC148" s="25"/>
      <c r="AD148" s="25"/>
      <c r="AE148" s="25"/>
      <c r="AF148" s="25">
        <f t="shared" ref="AF148:AF149" si="105">AVERAGE(AD$138,AD$145:AD$146)</f>
        <v>0.94230769230769218</v>
      </c>
      <c r="AG148" s="25">
        <v>2.73143617305068E-3</v>
      </c>
    </row>
    <row r="149" spans="1:33" hidden="1" x14ac:dyDescent="0.3">
      <c r="A149" s="25">
        <v>2020</v>
      </c>
      <c r="B149" s="25" t="s">
        <v>9</v>
      </c>
      <c r="C149" s="25" t="s">
        <v>13</v>
      </c>
      <c r="D149" s="25">
        <f t="shared" si="94"/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f t="shared" si="85"/>
        <v>0</v>
      </c>
      <c r="J149" s="25"/>
      <c r="K149" s="25"/>
      <c r="L149" s="25">
        <f>AVERAGE(J$138,J$145:J$146)</f>
        <v>2.34593837535014E-2</v>
      </c>
      <c r="M149" s="25">
        <v>8.63077315410329E-4</v>
      </c>
      <c r="N149" s="25"/>
      <c r="O149" s="25"/>
      <c r="P149" s="25">
        <f t="shared" si="102"/>
        <v>0.91561624649859941</v>
      </c>
      <c r="Q149" s="25">
        <v>6.3825378995884504E-3</v>
      </c>
      <c r="R149" s="25"/>
      <c r="S149" s="25"/>
      <c r="T149" s="25">
        <f t="shared" si="103"/>
        <v>0.97058823529411764</v>
      </c>
      <c r="U149" s="25">
        <v>1.4937863582359201E-3</v>
      </c>
      <c r="V149" s="25"/>
      <c r="W149" s="26"/>
      <c r="X149" s="25">
        <f t="shared" si="104"/>
        <v>2.9411764705882349E-2</v>
      </c>
      <c r="Y149" s="25">
        <v>1.4898572743423401E-3</v>
      </c>
      <c r="Z149" s="25"/>
      <c r="AA149" s="25"/>
      <c r="AB149" s="25"/>
      <c r="AC149" s="25"/>
      <c r="AD149" s="25"/>
      <c r="AE149" s="25"/>
      <c r="AF149" s="25">
        <f t="shared" si="105"/>
        <v>0.94230769230769218</v>
      </c>
      <c r="AG149" s="25">
        <v>2.73143617305068E-3</v>
      </c>
    </row>
    <row r="150" spans="1:33" hidden="1" x14ac:dyDescent="0.3">
      <c r="A150" s="25">
        <v>2021</v>
      </c>
      <c r="B150" s="25" t="s">
        <v>9</v>
      </c>
      <c r="C150" s="25" t="s">
        <v>13</v>
      </c>
      <c r="D150" s="25">
        <f t="shared" si="94"/>
        <v>20</v>
      </c>
      <c r="E150" s="25">
        <v>0</v>
      </c>
      <c r="F150" s="25">
        <v>9</v>
      </c>
      <c r="G150" s="25">
        <v>20</v>
      </c>
      <c r="H150" s="25">
        <v>0</v>
      </c>
      <c r="I150" s="25">
        <f t="shared" si="85"/>
        <v>0</v>
      </c>
      <c r="J150" s="25"/>
      <c r="K150" s="25"/>
      <c r="L150" s="25">
        <f t="shared" ref="L150" si="106">AVERAGE(J$138,J$145:J$146)</f>
        <v>2.34593837535014E-2</v>
      </c>
      <c r="M150" s="25">
        <v>8.63077315410329E-4</v>
      </c>
      <c r="N150" s="25"/>
      <c r="O150" s="25"/>
      <c r="P150" s="25">
        <f t="shared" ref="P150" si="107">AVERAGE(N$138,N$145:N$146)</f>
        <v>0.91561624649859941</v>
      </c>
      <c r="Q150" s="25">
        <v>6.3825378995884504E-3</v>
      </c>
      <c r="R150" s="25"/>
      <c r="S150" s="25"/>
      <c r="T150" s="25">
        <f t="shared" si="103"/>
        <v>0.97058823529411764</v>
      </c>
      <c r="U150" s="25">
        <v>1.4937863582359201E-3</v>
      </c>
      <c r="V150" s="25"/>
      <c r="W150" s="26"/>
      <c r="X150" s="25">
        <f t="shared" ref="X150" si="108">AVERAGE(V$138,V$145:V$146)</f>
        <v>2.9411764705882349E-2</v>
      </c>
      <c r="Y150" s="25">
        <v>1.4898572743423401E-3</v>
      </c>
      <c r="Z150" s="25"/>
      <c r="AA150" s="25"/>
      <c r="AB150" s="25"/>
      <c r="AC150" s="25"/>
      <c r="AD150" s="25"/>
      <c r="AE150" s="25"/>
      <c r="AF150" s="25">
        <f>AVERAGE(AD$138,AD$145:AD$146)</f>
        <v>0.94230769230769218</v>
      </c>
      <c r="AG150" s="25">
        <v>2.73143617305068E-3</v>
      </c>
    </row>
    <row r="151" spans="1:33" hidden="1" x14ac:dyDescent="0.3">
      <c r="A151" s="25">
        <v>2022</v>
      </c>
      <c r="B151" s="15" t="s">
        <v>9</v>
      </c>
      <c r="C151" s="15" t="s">
        <v>13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6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</row>
    <row r="152" spans="1:33" hidden="1" x14ac:dyDescent="0.3">
      <c r="A152">
        <v>1993</v>
      </c>
      <c r="B152" t="s">
        <v>11</v>
      </c>
      <c r="C152" t="s">
        <v>13</v>
      </c>
      <c r="D152">
        <f t="shared" si="94"/>
        <v>0</v>
      </c>
      <c r="E152">
        <v>0</v>
      </c>
      <c r="F152">
        <v>0</v>
      </c>
      <c r="G152">
        <v>0</v>
      </c>
      <c r="H152">
        <v>0</v>
      </c>
      <c r="I152">
        <f t="shared" si="85"/>
        <v>0</v>
      </c>
    </row>
    <row r="153" spans="1:33" hidden="1" x14ac:dyDescent="0.3">
      <c r="A153">
        <v>1994</v>
      </c>
      <c r="B153" t="s">
        <v>11</v>
      </c>
      <c r="C153" t="s">
        <v>13</v>
      </c>
      <c r="D153">
        <f t="shared" si="94"/>
        <v>0</v>
      </c>
      <c r="E153">
        <v>0</v>
      </c>
      <c r="F153">
        <v>0</v>
      </c>
      <c r="G153">
        <v>0</v>
      </c>
      <c r="H153">
        <v>0</v>
      </c>
      <c r="I153">
        <f t="shared" si="85"/>
        <v>0</v>
      </c>
    </row>
    <row r="154" spans="1:33" hidden="1" x14ac:dyDescent="0.3">
      <c r="A154">
        <v>1995</v>
      </c>
      <c r="B154" t="s">
        <v>11</v>
      </c>
      <c r="C154" t="s">
        <v>13</v>
      </c>
      <c r="D154">
        <f t="shared" si="94"/>
        <v>0</v>
      </c>
      <c r="E154">
        <v>0</v>
      </c>
      <c r="F154">
        <v>0</v>
      </c>
      <c r="G154">
        <v>0</v>
      </c>
      <c r="H154">
        <v>0</v>
      </c>
      <c r="I154">
        <f t="shared" si="85"/>
        <v>0</v>
      </c>
    </row>
    <row r="155" spans="1:33" hidden="1" x14ac:dyDescent="0.3">
      <c r="A155">
        <v>1996</v>
      </c>
      <c r="B155" t="s">
        <v>11</v>
      </c>
      <c r="C155" t="s">
        <v>13</v>
      </c>
      <c r="D155">
        <f t="shared" si="94"/>
        <v>0</v>
      </c>
      <c r="E155">
        <v>0</v>
      </c>
      <c r="F155">
        <v>0</v>
      </c>
      <c r="G155">
        <v>0</v>
      </c>
      <c r="H155">
        <v>0</v>
      </c>
      <c r="I155">
        <f t="shared" si="85"/>
        <v>0</v>
      </c>
    </row>
    <row r="156" spans="1:33" hidden="1" x14ac:dyDescent="0.3">
      <c r="A156">
        <v>1997</v>
      </c>
      <c r="B156" t="s">
        <v>11</v>
      </c>
      <c r="C156" t="s">
        <v>13</v>
      </c>
      <c r="D156">
        <f t="shared" si="94"/>
        <v>0</v>
      </c>
      <c r="E156">
        <v>0</v>
      </c>
      <c r="F156">
        <v>0</v>
      </c>
      <c r="G156">
        <v>0</v>
      </c>
      <c r="H156">
        <v>0</v>
      </c>
      <c r="I156">
        <f t="shared" si="85"/>
        <v>0</v>
      </c>
    </row>
    <row r="157" spans="1:33" hidden="1" x14ac:dyDescent="0.3">
      <c r="A157">
        <v>1998</v>
      </c>
      <c r="B157" t="s">
        <v>11</v>
      </c>
      <c r="C157" t="s">
        <v>13</v>
      </c>
      <c r="D157">
        <f t="shared" si="94"/>
        <v>0</v>
      </c>
      <c r="E157">
        <v>0</v>
      </c>
      <c r="F157">
        <v>0</v>
      </c>
      <c r="G157">
        <v>0</v>
      </c>
      <c r="H157">
        <v>0</v>
      </c>
      <c r="I157">
        <f t="shared" si="85"/>
        <v>0</v>
      </c>
    </row>
    <row r="158" spans="1:33" hidden="1" x14ac:dyDescent="0.3">
      <c r="A158">
        <v>1999</v>
      </c>
      <c r="B158" t="s">
        <v>11</v>
      </c>
      <c r="C158" t="s">
        <v>13</v>
      </c>
      <c r="D158">
        <f t="shared" si="94"/>
        <v>1</v>
      </c>
      <c r="E158">
        <v>0</v>
      </c>
      <c r="F158">
        <v>1</v>
      </c>
      <c r="G158">
        <v>1</v>
      </c>
      <c r="H158">
        <v>0</v>
      </c>
      <c r="I158">
        <f t="shared" si="85"/>
        <v>0</v>
      </c>
    </row>
    <row r="159" spans="1:33" hidden="1" x14ac:dyDescent="0.3">
      <c r="A159">
        <v>2000</v>
      </c>
      <c r="B159" t="s">
        <v>11</v>
      </c>
      <c r="C159" t="s">
        <v>13</v>
      </c>
      <c r="D159">
        <f t="shared" si="94"/>
        <v>11</v>
      </c>
      <c r="E159">
        <v>0</v>
      </c>
      <c r="F159">
        <v>11</v>
      </c>
      <c r="G159">
        <v>11</v>
      </c>
      <c r="H159">
        <v>0</v>
      </c>
      <c r="I159">
        <f t="shared" si="85"/>
        <v>0</v>
      </c>
    </row>
    <row r="160" spans="1:33" hidden="1" x14ac:dyDescent="0.3">
      <c r="A160">
        <v>2001</v>
      </c>
      <c r="B160" t="s">
        <v>11</v>
      </c>
      <c r="C160" t="s">
        <v>13</v>
      </c>
      <c r="D160">
        <f t="shared" si="94"/>
        <v>10</v>
      </c>
      <c r="E160">
        <v>0</v>
      </c>
      <c r="F160">
        <v>10</v>
      </c>
      <c r="G160">
        <v>10</v>
      </c>
      <c r="H160">
        <v>0</v>
      </c>
      <c r="I160">
        <f t="shared" si="85"/>
        <v>0</v>
      </c>
    </row>
    <row r="161" spans="1:9" hidden="1" x14ac:dyDescent="0.3">
      <c r="A161">
        <v>2002</v>
      </c>
      <c r="B161" t="s">
        <v>11</v>
      </c>
      <c r="C161" t="s">
        <v>13</v>
      </c>
      <c r="D161">
        <f>G161+H161</f>
        <v>0</v>
      </c>
      <c r="E161">
        <v>0</v>
      </c>
      <c r="F161">
        <v>0</v>
      </c>
      <c r="G161">
        <v>0</v>
      </c>
      <c r="H161">
        <v>0</v>
      </c>
      <c r="I161">
        <f t="shared" si="85"/>
        <v>0</v>
      </c>
    </row>
    <row r="162" spans="1:9" hidden="1" x14ac:dyDescent="0.3">
      <c r="A162">
        <v>2003</v>
      </c>
      <c r="B162" t="s">
        <v>11</v>
      </c>
      <c r="C162" t="s">
        <v>13</v>
      </c>
      <c r="D162">
        <f t="shared" ref="D162:D233" si="109">G162+H162</f>
        <v>4</v>
      </c>
      <c r="E162">
        <v>0</v>
      </c>
      <c r="F162">
        <v>4</v>
      </c>
      <c r="G162">
        <v>4</v>
      </c>
      <c r="H162">
        <v>0</v>
      </c>
      <c r="I162">
        <f t="shared" si="85"/>
        <v>0</v>
      </c>
    </row>
    <row r="163" spans="1:9" hidden="1" x14ac:dyDescent="0.3">
      <c r="A163">
        <v>2004</v>
      </c>
      <c r="B163" t="s">
        <v>11</v>
      </c>
      <c r="C163" t="s">
        <v>13</v>
      </c>
      <c r="D163">
        <f t="shared" si="109"/>
        <v>1</v>
      </c>
      <c r="E163">
        <v>0</v>
      </c>
      <c r="F163">
        <v>1</v>
      </c>
      <c r="G163">
        <v>1</v>
      </c>
      <c r="H163">
        <v>0</v>
      </c>
      <c r="I163">
        <f t="shared" si="85"/>
        <v>0</v>
      </c>
    </row>
    <row r="164" spans="1:9" hidden="1" x14ac:dyDescent="0.3">
      <c r="A164">
        <v>2005</v>
      </c>
      <c r="B164" t="s">
        <v>11</v>
      </c>
      <c r="C164" t="s">
        <v>13</v>
      </c>
      <c r="D164">
        <f t="shared" si="109"/>
        <v>0</v>
      </c>
      <c r="E164">
        <v>0</v>
      </c>
      <c r="F164">
        <v>0</v>
      </c>
      <c r="G164">
        <v>0</v>
      </c>
      <c r="H164">
        <v>0</v>
      </c>
      <c r="I164">
        <f t="shared" si="85"/>
        <v>0</v>
      </c>
    </row>
    <row r="165" spans="1:9" hidden="1" x14ac:dyDescent="0.3">
      <c r="A165">
        <v>2006</v>
      </c>
      <c r="B165" t="s">
        <v>11</v>
      </c>
      <c r="C165" t="s">
        <v>13</v>
      </c>
      <c r="D165">
        <f t="shared" si="109"/>
        <v>0</v>
      </c>
      <c r="E165">
        <v>0</v>
      </c>
      <c r="F165">
        <v>0</v>
      </c>
      <c r="G165">
        <v>0</v>
      </c>
      <c r="H165">
        <v>0</v>
      </c>
      <c r="I165">
        <f t="shared" si="85"/>
        <v>0</v>
      </c>
    </row>
    <row r="166" spans="1:9" hidden="1" x14ac:dyDescent="0.3">
      <c r="A166">
        <v>2007</v>
      </c>
      <c r="B166" t="s">
        <v>11</v>
      </c>
      <c r="C166" t="s">
        <v>13</v>
      </c>
      <c r="D166">
        <f t="shared" si="109"/>
        <v>0</v>
      </c>
      <c r="E166">
        <v>0</v>
      </c>
      <c r="F166">
        <v>0</v>
      </c>
      <c r="G166">
        <v>0</v>
      </c>
      <c r="H166">
        <v>0</v>
      </c>
      <c r="I166">
        <f t="shared" si="85"/>
        <v>0</v>
      </c>
    </row>
    <row r="167" spans="1:9" hidden="1" x14ac:dyDescent="0.3">
      <c r="A167">
        <v>2008</v>
      </c>
      <c r="B167" t="s">
        <v>11</v>
      </c>
      <c r="C167" t="s">
        <v>13</v>
      </c>
      <c r="D167">
        <f t="shared" si="109"/>
        <v>0</v>
      </c>
      <c r="E167">
        <v>0</v>
      </c>
      <c r="F167">
        <v>0</v>
      </c>
      <c r="G167">
        <v>0</v>
      </c>
      <c r="H167">
        <v>0</v>
      </c>
      <c r="I167">
        <f t="shared" si="85"/>
        <v>0</v>
      </c>
    </row>
    <row r="168" spans="1:9" hidden="1" x14ac:dyDescent="0.3">
      <c r="A168">
        <v>2009</v>
      </c>
      <c r="B168" t="s">
        <v>11</v>
      </c>
      <c r="C168" t="s">
        <v>13</v>
      </c>
      <c r="D168">
        <f t="shared" si="109"/>
        <v>0</v>
      </c>
      <c r="E168">
        <v>0</v>
      </c>
      <c r="F168">
        <v>0</v>
      </c>
      <c r="G168">
        <v>0</v>
      </c>
      <c r="H168">
        <v>0</v>
      </c>
      <c r="I168">
        <f t="shared" si="85"/>
        <v>0</v>
      </c>
    </row>
    <row r="169" spans="1:9" hidden="1" x14ac:dyDescent="0.3">
      <c r="A169">
        <v>2010</v>
      </c>
      <c r="B169" t="s">
        <v>11</v>
      </c>
      <c r="C169" t="s">
        <v>13</v>
      </c>
      <c r="D169">
        <f t="shared" si="109"/>
        <v>0</v>
      </c>
      <c r="E169">
        <v>0</v>
      </c>
      <c r="F169">
        <v>0</v>
      </c>
      <c r="G169">
        <v>0</v>
      </c>
      <c r="H169">
        <v>0</v>
      </c>
      <c r="I169">
        <f t="shared" si="85"/>
        <v>0</v>
      </c>
    </row>
    <row r="170" spans="1:9" hidden="1" x14ac:dyDescent="0.3">
      <c r="A170">
        <v>2011</v>
      </c>
      <c r="B170" t="s">
        <v>11</v>
      </c>
      <c r="C170" t="s">
        <v>13</v>
      </c>
      <c r="D170">
        <f t="shared" si="109"/>
        <v>0</v>
      </c>
      <c r="E170">
        <v>0</v>
      </c>
      <c r="F170">
        <v>0</v>
      </c>
      <c r="G170">
        <v>0</v>
      </c>
      <c r="H170">
        <v>0</v>
      </c>
      <c r="I170">
        <f t="shared" si="85"/>
        <v>0</v>
      </c>
    </row>
    <row r="171" spans="1:9" hidden="1" x14ac:dyDescent="0.3">
      <c r="A171">
        <v>2012</v>
      </c>
      <c r="B171" t="s">
        <v>11</v>
      </c>
      <c r="C171" t="s">
        <v>13</v>
      </c>
      <c r="D171">
        <f t="shared" si="109"/>
        <v>0</v>
      </c>
      <c r="E171">
        <v>0</v>
      </c>
      <c r="F171">
        <v>0</v>
      </c>
      <c r="G171">
        <v>0</v>
      </c>
      <c r="H171">
        <v>0</v>
      </c>
      <c r="I171">
        <f t="shared" si="85"/>
        <v>0</v>
      </c>
    </row>
    <row r="172" spans="1:9" hidden="1" x14ac:dyDescent="0.3">
      <c r="A172">
        <v>2013</v>
      </c>
      <c r="B172" t="s">
        <v>11</v>
      </c>
      <c r="C172" t="s">
        <v>13</v>
      </c>
      <c r="D172">
        <f t="shared" si="109"/>
        <v>0</v>
      </c>
      <c r="E172">
        <v>0</v>
      </c>
      <c r="F172">
        <v>0</v>
      </c>
      <c r="G172">
        <v>0</v>
      </c>
      <c r="H172">
        <v>0</v>
      </c>
      <c r="I172">
        <f t="shared" si="85"/>
        <v>0</v>
      </c>
    </row>
    <row r="173" spans="1:9" hidden="1" x14ac:dyDescent="0.3">
      <c r="A173">
        <v>2014</v>
      </c>
      <c r="B173" t="s">
        <v>11</v>
      </c>
      <c r="C173" t="s">
        <v>13</v>
      </c>
      <c r="D173">
        <f t="shared" si="109"/>
        <v>0</v>
      </c>
      <c r="E173">
        <v>0</v>
      </c>
      <c r="F173">
        <v>0</v>
      </c>
      <c r="G173">
        <v>0</v>
      </c>
      <c r="H173">
        <v>0</v>
      </c>
      <c r="I173">
        <f t="shared" si="85"/>
        <v>0</v>
      </c>
    </row>
    <row r="174" spans="1:9" hidden="1" x14ac:dyDescent="0.3">
      <c r="A174">
        <v>2015</v>
      </c>
      <c r="B174" t="s">
        <v>11</v>
      </c>
      <c r="C174" t="s">
        <v>13</v>
      </c>
      <c r="D174">
        <f t="shared" si="109"/>
        <v>16</v>
      </c>
      <c r="E174">
        <v>0</v>
      </c>
      <c r="F174">
        <v>16</v>
      </c>
      <c r="G174">
        <v>16</v>
      </c>
      <c r="H174">
        <v>0</v>
      </c>
      <c r="I174">
        <f t="shared" si="85"/>
        <v>0</v>
      </c>
    </row>
    <row r="175" spans="1:9" hidden="1" x14ac:dyDescent="0.3">
      <c r="A175">
        <v>2016</v>
      </c>
      <c r="B175" t="s">
        <v>11</v>
      </c>
      <c r="C175" t="s">
        <v>13</v>
      </c>
      <c r="D175">
        <f t="shared" si="109"/>
        <v>0</v>
      </c>
      <c r="E175">
        <v>0</v>
      </c>
      <c r="F175">
        <v>0</v>
      </c>
      <c r="G175">
        <v>0</v>
      </c>
      <c r="H175">
        <v>0</v>
      </c>
      <c r="I175">
        <f t="shared" si="85"/>
        <v>0</v>
      </c>
    </row>
    <row r="176" spans="1:9" hidden="1" x14ac:dyDescent="0.3">
      <c r="A176">
        <v>2017</v>
      </c>
      <c r="B176" t="s">
        <v>11</v>
      </c>
      <c r="C176" t="s">
        <v>13</v>
      </c>
      <c r="D176">
        <f t="shared" si="109"/>
        <v>25</v>
      </c>
      <c r="E176">
        <v>0</v>
      </c>
      <c r="F176">
        <v>24</v>
      </c>
      <c r="G176">
        <v>25</v>
      </c>
      <c r="H176">
        <v>0</v>
      </c>
      <c r="I176">
        <f t="shared" si="85"/>
        <v>0</v>
      </c>
    </row>
    <row r="177" spans="1:33" hidden="1" x14ac:dyDescent="0.3">
      <c r="A177">
        <v>2018</v>
      </c>
      <c r="B177" t="s">
        <v>11</v>
      </c>
      <c r="C177" t="s">
        <v>13</v>
      </c>
      <c r="D177">
        <f t="shared" si="109"/>
        <v>2</v>
      </c>
      <c r="E177">
        <v>0</v>
      </c>
      <c r="F177">
        <v>2</v>
      </c>
      <c r="G177">
        <v>2</v>
      </c>
      <c r="H177">
        <v>0</v>
      </c>
      <c r="I177">
        <f t="shared" si="85"/>
        <v>0</v>
      </c>
    </row>
    <row r="178" spans="1:33" hidden="1" x14ac:dyDescent="0.3">
      <c r="A178">
        <v>2019</v>
      </c>
      <c r="B178" t="s">
        <v>11</v>
      </c>
      <c r="C178" t="s">
        <v>13</v>
      </c>
      <c r="D178">
        <f t="shared" si="109"/>
        <v>0</v>
      </c>
      <c r="E178">
        <v>0</v>
      </c>
      <c r="F178">
        <v>0</v>
      </c>
      <c r="G178">
        <v>0</v>
      </c>
      <c r="H178">
        <v>0</v>
      </c>
      <c r="I178">
        <f t="shared" si="85"/>
        <v>0</v>
      </c>
    </row>
    <row r="179" spans="1:33" hidden="1" x14ac:dyDescent="0.3">
      <c r="A179">
        <v>2020</v>
      </c>
      <c r="B179" t="s">
        <v>11</v>
      </c>
      <c r="C179" t="s">
        <v>13</v>
      </c>
      <c r="D179">
        <f t="shared" si="109"/>
        <v>0</v>
      </c>
      <c r="E179">
        <v>0</v>
      </c>
      <c r="F179">
        <v>0</v>
      </c>
      <c r="G179">
        <v>0</v>
      </c>
      <c r="H179">
        <v>0</v>
      </c>
      <c r="I179">
        <f t="shared" si="85"/>
        <v>0</v>
      </c>
    </row>
    <row r="180" spans="1:33" hidden="1" x14ac:dyDescent="0.3">
      <c r="A180">
        <v>2021</v>
      </c>
      <c r="B180" t="s">
        <v>11</v>
      </c>
      <c r="C180" t="s">
        <v>13</v>
      </c>
      <c r="D180">
        <f t="shared" si="109"/>
        <v>0</v>
      </c>
      <c r="E180">
        <v>0</v>
      </c>
      <c r="F180">
        <v>0</v>
      </c>
      <c r="G180">
        <v>0</v>
      </c>
      <c r="H180">
        <v>0</v>
      </c>
      <c r="I180">
        <f t="shared" si="85"/>
        <v>0</v>
      </c>
    </row>
    <row r="181" spans="1:33" hidden="1" x14ac:dyDescent="0.3">
      <c r="A181">
        <v>2022</v>
      </c>
      <c r="B181" s="15" t="s">
        <v>11</v>
      </c>
      <c r="C181" s="15" t="s">
        <v>13</v>
      </c>
    </row>
    <row r="182" spans="1:33" hidden="1" x14ac:dyDescent="0.3">
      <c r="A182" s="25">
        <v>1993</v>
      </c>
      <c r="B182" s="25" t="s">
        <v>9</v>
      </c>
      <c r="C182" s="25" t="s">
        <v>14</v>
      </c>
      <c r="D182" s="25">
        <f t="shared" si="109"/>
        <v>254</v>
      </c>
      <c r="E182" s="25">
        <v>70</v>
      </c>
      <c r="F182" s="25">
        <v>137</v>
      </c>
      <c r="G182" s="25">
        <v>171</v>
      </c>
      <c r="H182" s="25">
        <v>83</v>
      </c>
      <c r="I182" s="25">
        <f t="shared" si="85"/>
        <v>13</v>
      </c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6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</row>
    <row r="183" spans="1:33" hidden="1" x14ac:dyDescent="0.3">
      <c r="A183" s="25">
        <v>1994</v>
      </c>
      <c r="B183" s="25" t="s">
        <v>9</v>
      </c>
      <c r="C183" s="25" t="s">
        <v>14</v>
      </c>
      <c r="D183" s="25">
        <f t="shared" si="109"/>
        <v>174</v>
      </c>
      <c r="E183" s="25">
        <v>62</v>
      </c>
      <c r="F183" s="25">
        <v>74</v>
      </c>
      <c r="G183" s="25">
        <v>97</v>
      </c>
      <c r="H183" s="25">
        <v>77</v>
      </c>
      <c r="I183" s="25">
        <f t="shared" si="85"/>
        <v>15</v>
      </c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6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</row>
    <row r="184" spans="1:33" hidden="1" x14ac:dyDescent="0.3">
      <c r="A184" s="25">
        <v>1995</v>
      </c>
      <c r="B184" s="25" t="s">
        <v>9</v>
      </c>
      <c r="C184" s="25" t="s">
        <v>14</v>
      </c>
      <c r="D184" s="25">
        <f t="shared" si="109"/>
        <v>215</v>
      </c>
      <c r="E184" s="25">
        <v>74</v>
      </c>
      <c r="F184" s="25">
        <v>94</v>
      </c>
      <c r="G184" s="25">
        <v>120</v>
      </c>
      <c r="H184" s="25">
        <v>95</v>
      </c>
      <c r="I184" s="25">
        <f t="shared" si="85"/>
        <v>21</v>
      </c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6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</row>
    <row r="185" spans="1:33" hidden="1" x14ac:dyDescent="0.3">
      <c r="A185" s="25">
        <v>1996</v>
      </c>
      <c r="B185" s="25" t="s">
        <v>9</v>
      </c>
      <c r="C185" s="25" t="s">
        <v>14</v>
      </c>
      <c r="D185" s="25">
        <f t="shared" si="109"/>
        <v>164</v>
      </c>
      <c r="E185" s="25">
        <v>24</v>
      </c>
      <c r="F185" s="25">
        <v>134</v>
      </c>
      <c r="G185" s="25">
        <v>138</v>
      </c>
      <c r="H185" s="25">
        <v>26</v>
      </c>
      <c r="I185" s="25">
        <f t="shared" si="85"/>
        <v>2</v>
      </c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6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</row>
    <row r="186" spans="1:33" hidden="1" x14ac:dyDescent="0.3">
      <c r="A186" s="25">
        <v>1997</v>
      </c>
      <c r="B186" s="25" t="s">
        <v>9</v>
      </c>
      <c r="C186" s="25" t="s">
        <v>14</v>
      </c>
      <c r="D186" s="25">
        <f t="shared" si="109"/>
        <v>190</v>
      </c>
      <c r="E186" s="25">
        <v>105</v>
      </c>
      <c r="F186" s="25">
        <v>56</v>
      </c>
      <c r="G186" s="25">
        <v>72</v>
      </c>
      <c r="H186" s="25">
        <v>118</v>
      </c>
      <c r="I186" s="25">
        <f t="shared" si="85"/>
        <v>13</v>
      </c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6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</row>
    <row r="187" spans="1:33" hidden="1" x14ac:dyDescent="0.3">
      <c r="A187" s="25">
        <v>1998</v>
      </c>
      <c r="B187" s="25" t="s">
        <v>9</v>
      </c>
      <c r="C187" s="25" t="s">
        <v>14</v>
      </c>
      <c r="D187" s="25">
        <f t="shared" si="109"/>
        <v>144</v>
      </c>
      <c r="E187" s="25">
        <v>38</v>
      </c>
      <c r="F187" s="25">
        <v>89</v>
      </c>
      <c r="G187" s="25">
        <v>101</v>
      </c>
      <c r="H187" s="25">
        <v>43</v>
      </c>
      <c r="I187" s="25">
        <f t="shared" si="85"/>
        <v>5</v>
      </c>
      <c r="J187" s="25">
        <v>0.16789455789463764</v>
      </c>
      <c r="K187" s="25">
        <f t="shared" ref="K187:K251" si="110">(J187*(1-J187))/(D187-1)</f>
        <v>9.7696486240560708E-4</v>
      </c>
      <c r="L187" s="25">
        <f t="shared" ref="L187:L206" si="111">AVERAGE(J$187:J$208)</f>
        <v>0.14475210356444002</v>
      </c>
      <c r="M187" s="25">
        <v>6.9680624305690697E-3</v>
      </c>
      <c r="N187" s="25">
        <v>0.7065791123892734</v>
      </c>
      <c r="O187" s="25">
        <f t="shared" ref="O187:O251" si="112">(N187*(1-N187))/($D187-1)</f>
        <v>1.4498256666046151E-3</v>
      </c>
      <c r="P187" s="25">
        <f t="shared" ref="P187:P206" si="113">AVERAGE(N$187:N$208)</f>
        <v>0.67795833387246252</v>
      </c>
      <c r="Q187" s="25">
        <v>6.3338400076989503E-3</v>
      </c>
      <c r="R187" s="25">
        <v>0.79605280804633294</v>
      </c>
      <c r="S187" s="25">
        <f t="shared" ref="S187:S251" si="114">(R187*(1-R187))/($D187-1)</f>
        <v>1.1353338101250431E-3</v>
      </c>
      <c r="T187" s="25">
        <f t="shared" ref="T187:T206" si="115">AVERAGE(R$187:R$208)</f>
        <v>0.77944522937517458</v>
      </c>
      <c r="U187" s="25">
        <v>8.1081873394634706E-3</v>
      </c>
      <c r="V187" s="25">
        <v>0.20394719195366717</v>
      </c>
      <c r="W187" s="26">
        <f>(V187*(1-V187))/(D187-1)</f>
        <v>1.1353338101250433E-3</v>
      </c>
      <c r="X187" s="25">
        <f t="shared" ref="X187:X206" si="116">AVERAGE(V$187:V$208)</f>
        <v>0.22055477062482554</v>
      </c>
      <c r="Y187" s="25">
        <v>8.1162864468348004E-3</v>
      </c>
      <c r="Z187" s="25"/>
      <c r="AA187" s="25"/>
      <c r="AB187" s="25">
        <f t="shared" ref="AB187:AB206" si="117">AVERAGE(Z$188:Z$208)</f>
        <v>0.62181095043288981</v>
      </c>
      <c r="AC187" s="25">
        <v>2.3872599839031901E-2</v>
      </c>
      <c r="AD187" s="25">
        <v>0.88760331632188427</v>
      </c>
      <c r="AE187" s="25">
        <f t="shared" ref="AE187:AE211" si="118">(AD187*(1-AD187))/(G187-1)</f>
        <v>9.9763669176277324E-4</v>
      </c>
      <c r="AF187" s="25">
        <f t="shared" ref="AF187:AF206" si="119">AVERAGE(AD$187:AD$208)</f>
        <v>0.87135088832797003</v>
      </c>
      <c r="AG187" s="25">
        <v>2.5705042162044501E-3</v>
      </c>
    </row>
    <row r="188" spans="1:33" hidden="1" x14ac:dyDescent="0.3">
      <c r="A188" s="25">
        <v>1999</v>
      </c>
      <c r="B188" s="25" t="s">
        <v>9</v>
      </c>
      <c r="C188" s="25" t="s">
        <v>14</v>
      </c>
      <c r="D188" s="25">
        <f t="shared" si="109"/>
        <v>382</v>
      </c>
      <c r="E188" s="25">
        <v>125</v>
      </c>
      <c r="F188" s="25">
        <v>197</v>
      </c>
      <c r="G188" s="25">
        <v>241</v>
      </c>
      <c r="H188" s="25">
        <v>141</v>
      </c>
      <c r="I188" s="25">
        <f t="shared" si="85"/>
        <v>16</v>
      </c>
      <c r="J188" s="25">
        <v>0.3440401689272965</v>
      </c>
      <c r="K188" s="25">
        <f t="shared" si="110"/>
        <v>5.9232685325924885E-4</v>
      </c>
      <c r="L188" s="25">
        <f t="shared" si="111"/>
        <v>0.14475210356444002</v>
      </c>
      <c r="M188" s="25">
        <v>6.9680624305690697E-3</v>
      </c>
      <c r="N188" s="25">
        <v>0.56148171241678591</v>
      </c>
      <c r="O188" s="25">
        <f t="shared" si="112"/>
        <v>6.4624671663595702E-4</v>
      </c>
      <c r="P188" s="25">
        <f t="shared" si="113"/>
        <v>0.67795833387246252</v>
      </c>
      <c r="Q188" s="25">
        <v>6.3338400076989503E-3</v>
      </c>
      <c r="R188" s="25">
        <v>0.60254934367044855</v>
      </c>
      <c r="S188" s="25">
        <f t="shared" si="114"/>
        <v>6.2856596355055183E-4</v>
      </c>
      <c r="T188" s="25">
        <f t="shared" si="115"/>
        <v>0.77944522937517458</v>
      </c>
      <c r="U188" s="25">
        <v>8.1081873394634706E-3</v>
      </c>
      <c r="V188" s="25">
        <v>0.39745065632955168</v>
      </c>
      <c r="W188" s="26">
        <f t="shared" ref="W188:W211" si="120">(V188*(1-V188))/(D188-1)</f>
        <v>6.2856596355055194E-4</v>
      </c>
      <c r="X188" s="25">
        <f t="shared" si="116"/>
        <v>0.22055477062482554</v>
      </c>
      <c r="Y188" s="25">
        <v>8.1162864468348004E-3</v>
      </c>
      <c r="Z188" s="25">
        <v>0.86561731235897332</v>
      </c>
      <c r="AA188" s="25">
        <f t="shared" ref="AA188:AA211" si="121">(Z188*(1-Z188))/(H188-1)</f>
        <v>8.3088557788143526E-4</v>
      </c>
      <c r="AB188" s="25">
        <f t="shared" si="117"/>
        <v>0.62181095043288981</v>
      </c>
      <c r="AC188" s="25">
        <v>2.3872599839031901E-2</v>
      </c>
      <c r="AD188" s="25">
        <v>0.93184353831754618</v>
      </c>
      <c r="AE188" s="25">
        <f t="shared" si="118"/>
        <v>2.6462982672242511E-4</v>
      </c>
      <c r="AF188" s="25">
        <f t="shared" si="119"/>
        <v>0.87135088832797003</v>
      </c>
      <c r="AG188" s="25">
        <v>2.5705042162044501E-3</v>
      </c>
    </row>
    <row r="189" spans="1:33" hidden="1" x14ac:dyDescent="0.3">
      <c r="A189" s="25">
        <v>2000</v>
      </c>
      <c r="B189" s="25" t="s">
        <v>9</v>
      </c>
      <c r="C189" s="25" t="s">
        <v>14</v>
      </c>
      <c r="D189" s="25">
        <f t="shared" si="109"/>
        <v>259</v>
      </c>
      <c r="E189" s="25">
        <v>140</v>
      </c>
      <c r="F189" s="25">
        <v>81</v>
      </c>
      <c r="G189" s="25">
        <v>99</v>
      </c>
      <c r="H189" s="25">
        <v>160</v>
      </c>
      <c r="I189" s="25">
        <f t="shared" si="85"/>
        <v>20</v>
      </c>
      <c r="J189" s="25">
        <v>0.36619548939986168</v>
      </c>
      <c r="K189" s="25">
        <f t="shared" si="110"/>
        <v>8.9959826722115302E-4</v>
      </c>
      <c r="L189" s="25">
        <f t="shared" si="111"/>
        <v>0.14475210356444002</v>
      </c>
      <c r="M189" s="25">
        <v>6.9680624305690697E-3</v>
      </c>
      <c r="N189" s="25">
        <v>0.44322227340002845</v>
      </c>
      <c r="O189" s="25">
        <f t="shared" si="112"/>
        <v>9.5649724714007333E-4</v>
      </c>
      <c r="P189" s="25">
        <f t="shared" si="113"/>
        <v>0.67795833387246252</v>
      </c>
      <c r="Q189" s="25">
        <v>6.3338400076989503E-3</v>
      </c>
      <c r="R189" s="25">
        <v>0.50409134149181023</v>
      </c>
      <c r="S189" s="25">
        <f t="shared" si="114"/>
        <v>9.6892736792557126E-4</v>
      </c>
      <c r="T189" s="25">
        <f t="shared" si="115"/>
        <v>0.77944522937517458</v>
      </c>
      <c r="U189" s="25">
        <v>8.1081873394634706E-3</v>
      </c>
      <c r="V189" s="25">
        <v>0.49590865850818988</v>
      </c>
      <c r="W189" s="26">
        <f t="shared" si="120"/>
        <v>9.6892736792557126E-4</v>
      </c>
      <c r="X189" s="25">
        <f t="shared" si="116"/>
        <v>0.22055477062482554</v>
      </c>
      <c r="Y189" s="25">
        <v>8.1162864468348004E-3</v>
      </c>
      <c r="Z189" s="25">
        <v>0.73843334476446532</v>
      </c>
      <c r="AA189" s="25">
        <f t="shared" si="121"/>
        <v>1.2147769817888656E-3</v>
      </c>
      <c r="AB189" s="25">
        <f t="shared" si="117"/>
        <v>0.62181095043288981</v>
      </c>
      <c r="AC189" s="25">
        <v>2.3872599839031901E-2</v>
      </c>
      <c r="AD189" s="25">
        <v>0.87924992341339259</v>
      </c>
      <c r="AE189" s="25">
        <f t="shared" si="118"/>
        <v>1.0833621999075088E-3</v>
      </c>
      <c r="AF189" s="25">
        <f t="shared" si="119"/>
        <v>0.87135088832797003</v>
      </c>
      <c r="AG189" s="25">
        <v>2.5705042162044501E-3</v>
      </c>
    </row>
    <row r="190" spans="1:33" hidden="1" x14ac:dyDescent="0.3">
      <c r="A190" s="25">
        <v>2001</v>
      </c>
      <c r="B190" s="25" t="s">
        <v>9</v>
      </c>
      <c r="C190" s="25" t="s">
        <v>14</v>
      </c>
      <c r="D190" s="25">
        <f t="shared" si="109"/>
        <v>272</v>
      </c>
      <c r="E190" s="25">
        <v>89</v>
      </c>
      <c r="F190" s="25">
        <v>131</v>
      </c>
      <c r="G190" s="25">
        <v>163</v>
      </c>
      <c r="H190" s="25">
        <v>109</v>
      </c>
      <c r="I190" s="25">
        <f t="shared" si="85"/>
        <v>20</v>
      </c>
      <c r="J190" s="25">
        <v>0.18068404866155927</v>
      </c>
      <c r="K190" s="25">
        <f t="shared" si="110"/>
        <v>5.4626318531670313E-4</v>
      </c>
      <c r="L190" s="25">
        <f t="shared" si="111"/>
        <v>0.14475210356444002</v>
      </c>
      <c r="M190" s="25">
        <v>6.9680624305690697E-3</v>
      </c>
      <c r="N190" s="25">
        <v>0.66426270230648432</v>
      </c>
      <c r="O190" s="25">
        <f t="shared" si="112"/>
        <v>8.2294378092609335E-4</v>
      </c>
      <c r="P190" s="25">
        <f t="shared" si="113"/>
        <v>0.67795833387246252</v>
      </c>
      <c r="Q190" s="25">
        <v>6.3338400076989503E-3</v>
      </c>
      <c r="R190" s="25">
        <v>0.72971409297820999</v>
      </c>
      <c r="S190" s="25">
        <f t="shared" si="114"/>
        <v>7.2779127486051031E-4</v>
      </c>
      <c r="T190" s="25">
        <f t="shared" si="115"/>
        <v>0.77944522937517458</v>
      </c>
      <c r="U190" s="25">
        <v>8.1081873394634706E-3</v>
      </c>
      <c r="V190" s="25">
        <v>0.27028590702179006</v>
      </c>
      <c r="W190" s="26">
        <f t="shared" si="120"/>
        <v>7.2779127486051053E-4</v>
      </c>
      <c r="X190" s="25">
        <f t="shared" si="116"/>
        <v>0.22055477062482554</v>
      </c>
      <c r="Y190" s="25">
        <v>8.1162864468348004E-3</v>
      </c>
      <c r="Z190" s="25">
        <v>0.66849230376999558</v>
      </c>
      <c r="AA190" s="25">
        <f t="shared" si="121"/>
        <v>2.0519476256507362E-3</v>
      </c>
      <c r="AB190" s="25">
        <f t="shared" si="117"/>
        <v>0.62181095043288981</v>
      </c>
      <c r="AC190" s="25">
        <v>2.3872599839031901E-2</v>
      </c>
      <c r="AD190" s="25">
        <v>0.91030543153607402</v>
      </c>
      <c r="AE190" s="25">
        <f t="shared" si="118"/>
        <v>5.0400896822219807E-4</v>
      </c>
      <c r="AF190" s="25">
        <f t="shared" si="119"/>
        <v>0.87135088832797003</v>
      </c>
      <c r="AG190" s="25">
        <v>2.5705042162044501E-3</v>
      </c>
    </row>
    <row r="191" spans="1:33" hidden="1" x14ac:dyDescent="0.3">
      <c r="A191" s="25">
        <v>2002</v>
      </c>
      <c r="B191" s="25" t="s">
        <v>9</v>
      </c>
      <c r="C191" s="25" t="s">
        <v>14</v>
      </c>
      <c r="D191" s="25">
        <f t="shared" si="109"/>
        <v>286</v>
      </c>
      <c r="E191" s="25">
        <v>62</v>
      </c>
      <c r="F191" s="25">
        <v>190</v>
      </c>
      <c r="G191" s="25">
        <v>211</v>
      </c>
      <c r="H191" s="25">
        <v>75</v>
      </c>
      <c r="I191" s="25">
        <f t="shared" si="85"/>
        <v>13</v>
      </c>
      <c r="J191" s="25">
        <v>0.15060238952853716</v>
      </c>
      <c r="K191" s="25">
        <f t="shared" si="110"/>
        <v>4.4884670104151551E-4</v>
      </c>
      <c r="L191" s="25">
        <f t="shared" si="111"/>
        <v>0.14475210356444002</v>
      </c>
      <c r="M191" s="25">
        <v>6.9680624305690697E-3</v>
      </c>
      <c r="N191" s="25">
        <v>0.70712928195899116</v>
      </c>
      <c r="O191" s="25">
        <f t="shared" si="112"/>
        <v>7.2665775633386925E-4</v>
      </c>
      <c r="P191" s="25">
        <f t="shared" si="113"/>
        <v>0.67795833387246252</v>
      </c>
      <c r="Q191" s="25">
        <v>6.3338400076989503E-3</v>
      </c>
      <c r="R191" s="25">
        <v>0.79876802288572457</v>
      </c>
      <c r="S191" s="25">
        <f t="shared" si="114"/>
        <v>5.6399181930159707E-4</v>
      </c>
      <c r="T191" s="25">
        <f t="shared" si="115"/>
        <v>0.77944522937517458</v>
      </c>
      <c r="U191" s="25">
        <v>8.1081873394634706E-3</v>
      </c>
      <c r="V191" s="25">
        <v>0.20123197711427562</v>
      </c>
      <c r="W191" s="26">
        <f t="shared" si="120"/>
        <v>5.639918193015975E-4</v>
      </c>
      <c r="X191" s="25">
        <f t="shared" si="116"/>
        <v>0.22055477062482554</v>
      </c>
      <c r="Y191" s="25">
        <v>8.1162864468348004E-3</v>
      </c>
      <c r="Z191" s="25">
        <v>0.74840187771455968</v>
      </c>
      <c r="AA191" s="25">
        <f t="shared" si="121"/>
        <v>2.5445473938902827E-3</v>
      </c>
      <c r="AB191" s="25">
        <f t="shared" si="117"/>
        <v>0.62181095043288981</v>
      </c>
      <c r="AC191" s="25">
        <v>2.3872599839031901E-2</v>
      </c>
      <c r="AD191" s="25">
        <v>0.88527490047026625</v>
      </c>
      <c r="AE191" s="25">
        <f t="shared" si="118"/>
        <v>4.8363452889345923E-4</v>
      </c>
      <c r="AF191" s="25">
        <f t="shared" si="119"/>
        <v>0.87135088832797003</v>
      </c>
      <c r="AG191" s="25">
        <v>2.5705042162044501E-3</v>
      </c>
    </row>
    <row r="192" spans="1:33" hidden="1" x14ac:dyDescent="0.3">
      <c r="A192" s="25">
        <v>2003</v>
      </c>
      <c r="B192" s="25" t="s">
        <v>9</v>
      </c>
      <c r="C192" s="25" t="s">
        <v>14</v>
      </c>
      <c r="D192" s="25">
        <f t="shared" si="109"/>
        <v>639</v>
      </c>
      <c r="E192" s="25">
        <v>121</v>
      </c>
      <c r="F192" s="25">
        <v>402</v>
      </c>
      <c r="G192" s="25">
        <v>504</v>
      </c>
      <c r="H192" s="25">
        <v>135</v>
      </c>
      <c r="I192" s="25">
        <f t="shared" si="85"/>
        <v>14</v>
      </c>
      <c r="J192" s="25">
        <v>0.11009503360930212</v>
      </c>
      <c r="K192" s="25">
        <f t="shared" si="110"/>
        <v>1.5356444699665952E-4</v>
      </c>
      <c r="L192" s="25">
        <f t="shared" si="111"/>
        <v>0.14475210356444002</v>
      </c>
      <c r="M192" s="25">
        <v>6.9680624305690697E-3</v>
      </c>
      <c r="N192" s="25">
        <v>0.77126532375406354</v>
      </c>
      <c r="O192" s="25">
        <f t="shared" si="112"/>
        <v>2.7651273374389195E-4</v>
      </c>
      <c r="P192" s="25">
        <f t="shared" si="113"/>
        <v>0.67795833387246252</v>
      </c>
      <c r="Q192" s="25">
        <v>6.3338400076989503E-3</v>
      </c>
      <c r="R192" s="25">
        <v>0.86387059514449804</v>
      </c>
      <c r="S192" s="25">
        <f t="shared" si="114"/>
        <v>1.8432318180123635E-4</v>
      </c>
      <c r="T192" s="25">
        <f t="shared" si="115"/>
        <v>0.77944522937517458</v>
      </c>
      <c r="U192" s="25">
        <v>8.1081873394634706E-3</v>
      </c>
      <c r="V192" s="25">
        <v>0.13612940485550187</v>
      </c>
      <c r="W192" s="26">
        <f t="shared" si="120"/>
        <v>1.8432318180123627E-4</v>
      </c>
      <c r="X192" s="25">
        <f t="shared" si="116"/>
        <v>0.22055477062482554</v>
      </c>
      <c r="Y192" s="25">
        <v>8.1162864468348004E-3</v>
      </c>
      <c r="Z192" s="25">
        <v>0.80875277260019884</v>
      </c>
      <c r="AA192" s="25">
        <f t="shared" si="121"/>
        <v>1.1542666075499248E-3</v>
      </c>
      <c r="AB192" s="25">
        <f t="shared" si="117"/>
        <v>0.62181095043288981</v>
      </c>
      <c r="AC192" s="25">
        <v>2.3872599839031901E-2</v>
      </c>
      <c r="AD192" s="25">
        <v>0.89280191742729176</v>
      </c>
      <c r="AE192" s="25">
        <f t="shared" si="118"/>
        <v>1.9027167726728243E-4</v>
      </c>
      <c r="AF192" s="25">
        <f t="shared" si="119"/>
        <v>0.87135088832797003</v>
      </c>
      <c r="AG192" s="25">
        <v>2.5705042162044501E-3</v>
      </c>
    </row>
    <row r="193" spans="1:33" hidden="1" x14ac:dyDescent="0.3">
      <c r="A193" s="25">
        <v>2004</v>
      </c>
      <c r="B193" s="25" t="s">
        <v>9</v>
      </c>
      <c r="C193" s="25" t="s">
        <v>14</v>
      </c>
      <c r="D193" s="25">
        <f t="shared" si="109"/>
        <v>825</v>
      </c>
      <c r="E193" s="25">
        <v>160</v>
      </c>
      <c r="F193" s="25">
        <v>572</v>
      </c>
      <c r="G193" s="25">
        <v>636</v>
      </c>
      <c r="H193" s="25">
        <v>189</v>
      </c>
      <c r="I193" s="25">
        <f t="shared" si="85"/>
        <v>29</v>
      </c>
      <c r="J193" s="25">
        <v>0.19198931310060099</v>
      </c>
      <c r="K193" s="25">
        <f t="shared" si="110"/>
        <v>1.8826385528611698E-4</v>
      </c>
      <c r="L193" s="25">
        <f t="shared" si="111"/>
        <v>0.14475210356444002</v>
      </c>
      <c r="M193" s="25">
        <v>6.9680624305690697E-3</v>
      </c>
      <c r="N193" s="25">
        <v>0.69665018889217911</v>
      </c>
      <c r="O193" s="25">
        <f t="shared" si="112"/>
        <v>2.5646687282605618E-4</v>
      </c>
      <c r="P193" s="25">
        <f t="shared" si="113"/>
        <v>0.67795833387246252</v>
      </c>
      <c r="Q193" s="25">
        <v>6.3338400076989503E-3</v>
      </c>
      <c r="R193" s="25">
        <v>0.77295767803401383</v>
      </c>
      <c r="S193" s="25">
        <f t="shared" si="114"/>
        <v>2.1297828398334908E-4</v>
      </c>
      <c r="T193" s="25">
        <f t="shared" si="115"/>
        <v>0.77944522937517458</v>
      </c>
      <c r="U193" s="25">
        <v>8.1081873394634706E-3</v>
      </c>
      <c r="V193" s="25">
        <v>0.22704232196598623</v>
      </c>
      <c r="W193" s="26">
        <f t="shared" si="120"/>
        <v>2.129782839833491E-4</v>
      </c>
      <c r="X193" s="25">
        <f t="shared" si="116"/>
        <v>0.22055477062482554</v>
      </c>
      <c r="Y193" s="25">
        <v>8.1162864468348004E-3</v>
      </c>
      <c r="Z193" s="25">
        <v>0.84561024322753087</v>
      </c>
      <c r="AA193" s="25">
        <f t="shared" si="121"/>
        <v>6.9443382859684548E-4</v>
      </c>
      <c r="AB193" s="25">
        <f t="shared" si="117"/>
        <v>0.62181095043288981</v>
      </c>
      <c r="AC193" s="25">
        <v>2.3872599839031901E-2</v>
      </c>
      <c r="AD193" s="25">
        <v>0.9012785676236249</v>
      </c>
      <c r="AE193" s="25">
        <f t="shared" si="118"/>
        <v>1.4011891522194001E-4</v>
      </c>
      <c r="AF193" s="25">
        <f t="shared" si="119"/>
        <v>0.87135088832797003</v>
      </c>
      <c r="AG193" s="25">
        <v>2.5705042162044501E-3</v>
      </c>
    </row>
    <row r="194" spans="1:33" hidden="1" x14ac:dyDescent="0.3">
      <c r="A194" s="25">
        <v>2005</v>
      </c>
      <c r="B194" s="25" t="s">
        <v>9</v>
      </c>
      <c r="C194" s="25" t="s">
        <v>14</v>
      </c>
      <c r="D194" s="25">
        <f t="shared" si="109"/>
        <v>549</v>
      </c>
      <c r="E194" s="25">
        <v>132</v>
      </c>
      <c r="F194" s="25">
        <v>333</v>
      </c>
      <c r="G194" s="25">
        <v>365</v>
      </c>
      <c r="H194" s="25">
        <v>184</v>
      </c>
      <c r="I194" s="25">
        <f t="shared" si="85"/>
        <v>52</v>
      </c>
      <c r="J194" s="25">
        <v>0.2401662203499664</v>
      </c>
      <c r="K194" s="25">
        <f t="shared" si="110"/>
        <v>3.3300439224959448E-4</v>
      </c>
      <c r="L194" s="25">
        <f t="shared" si="111"/>
        <v>0.14475210356444002</v>
      </c>
      <c r="M194" s="25">
        <v>6.9680624305690697E-3</v>
      </c>
      <c r="N194" s="25">
        <v>0.60681699631847674</v>
      </c>
      <c r="O194" s="25">
        <f t="shared" si="112"/>
        <v>4.3538344762317254E-4</v>
      </c>
      <c r="P194" s="25">
        <f t="shared" si="113"/>
        <v>0.67795833387246252</v>
      </c>
      <c r="Q194" s="25">
        <v>6.3338400076989503E-3</v>
      </c>
      <c r="R194" s="25">
        <v>0.66506744743005541</v>
      </c>
      <c r="S194" s="25">
        <f t="shared" si="114"/>
        <v>4.0648309817322244E-4</v>
      </c>
      <c r="T194" s="25">
        <f t="shared" si="115"/>
        <v>0.77944522937517458</v>
      </c>
      <c r="U194" s="25">
        <v>8.1081873394634706E-3</v>
      </c>
      <c r="V194" s="25">
        <v>0.33493255256994475</v>
      </c>
      <c r="W194" s="26">
        <f t="shared" si="120"/>
        <v>4.0648309817322255E-4</v>
      </c>
      <c r="X194" s="25">
        <f t="shared" si="116"/>
        <v>0.22055477062482554</v>
      </c>
      <c r="Y194" s="25">
        <v>8.1162864468348004E-3</v>
      </c>
      <c r="Z194" s="25">
        <v>0.71705846000087414</v>
      </c>
      <c r="AA194" s="25">
        <f t="shared" si="121"/>
        <v>1.1086646171696662E-3</v>
      </c>
      <c r="AB194" s="25">
        <f t="shared" si="117"/>
        <v>0.62181095043288981</v>
      </c>
      <c r="AC194" s="25">
        <v>2.3872599839031901E-2</v>
      </c>
      <c r="AD194" s="25">
        <v>0.91241422003637496</v>
      </c>
      <c r="AE194" s="25">
        <f t="shared" si="118"/>
        <v>2.1954536019722117E-4</v>
      </c>
      <c r="AF194" s="25">
        <f t="shared" si="119"/>
        <v>0.87135088832797003</v>
      </c>
      <c r="AG194" s="25">
        <v>2.5705042162044501E-3</v>
      </c>
    </row>
    <row r="195" spans="1:33" hidden="1" x14ac:dyDescent="0.3">
      <c r="A195" s="25">
        <v>2006</v>
      </c>
      <c r="B195" s="25" t="s">
        <v>9</v>
      </c>
      <c r="C195" s="25" t="s">
        <v>14</v>
      </c>
      <c r="D195" s="25">
        <f t="shared" si="109"/>
        <v>744</v>
      </c>
      <c r="E195" s="25">
        <v>120</v>
      </c>
      <c r="F195" s="25">
        <v>516</v>
      </c>
      <c r="G195" s="25">
        <v>572</v>
      </c>
      <c r="H195" s="25">
        <v>172</v>
      </c>
      <c r="I195" s="25">
        <f t="shared" si="85"/>
        <v>52</v>
      </c>
      <c r="J195" s="25">
        <v>0.145731275007244</v>
      </c>
      <c r="K195" s="25">
        <f t="shared" si="110"/>
        <v>1.6755541116017096E-4</v>
      </c>
      <c r="L195" s="25">
        <f t="shared" si="111"/>
        <v>0.14475210356444002</v>
      </c>
      <c r="M195" s="25">
        <v>6.9680624305690697E-3</v>
      </c>
      <c r="N195" s="25">
        <v>0.71537641104048633</v>
      </c>
      <c r="O195" s="25">
        <f t="shared" si="112"/>
        <v>2.740417248550733E-4</v>
      </c>
      <c r="P195" s="25">
        <f t="shared" si="113"/>
        <v>0.67795833387246252</v>
      </c>
      <c r="Q195" s="25">
        <v>6.3338400076989503E-3</v>
      </c>
      <c r="R195" s="25">
        <v>0.77922592882581287</v>
      </c>
      <c r="S195" s="25">
        <f t="shared" si="114"/>
        <v>2.3153819740425583E-4</v>
      </c>
      <c r="T195" s="25">
        <f t="shared" si="115"/>
        <v>0.77944522937517458</v>
      </c>
      <c r="U195" s="25">
        <v>8.1081873394634706E-3</v>
      </c>
      <c r="V195" s="25">
        <v>0.22077407117418707</v>
      </c>
      <c r="W195" s="26">
        <f t="shared" si="120"/>
        <v>2.3153819740425583E-4</v>
      </c>
      <c r="X195" s="25">
        <f t="shared" si="116"/>
        <v>0.22055477062482554</v>
      </c>
      <c r="Y195" s="25">
        <v>8.1162864468348004E-3</v>
      </c>
      <c r="Z195" s="25">
        <v>0.66009234794725702</v>
      </c>
      <c r="AA195" s="25">
        <f t="shared" si="121"/>
        <v>1.3121078370101427E-3</v>
      </c>
      <c r="AB195" s="25">
        <f t="shared" si="117"/>
        <v>0.62181095043288981</v>
      </c>
      <c r="AC195" s="25">
        <v>2.3872599839031901E-2</v>
      </c>
      <c r="AD195" s="25">
        <v>0.9180603270202532</v>
      </c>
      <c r="AE195" s="25">
        <f t="shared" si="118"/>
        <v>1.3174354285765141E-4</v>
      </c>
      <c r="AF195" s="25">
        <f t="shared" si="119"/>
        <v>0.87135088832797003</v>
      </c>
      <c r="AG195" s="25">
        <v>2.5705042162044501E-3</v>
      </c>
    </row>
    <row r="196" spans="1:33" hidden="1" x14ac:dyDescent="0.3">
      <c r="A196" s="25">
        <v>2007</v>
      </c>
      <c r="B196" s="25" t="s">
        <v>9</v>
      </c>
      <c r="C196" s="25" t="s">
        <v>14</v>
      </c>
      <c r="D196" s="25">
        <f t="shared" si="109"/>
        <v>615</v>
      </c>
      <c r="E196" s="25">
        <v>54</v>
      </c>
      <c r="F196" s="25">
        <v>508</v>
      </c>
      <c r="G196" s="25">
        <v>532</v>
      </c>
      <c r="H196" s="25">
        <v>83</v>
      </c>
      <c r="I196" s="25">
        <f t="shared" si="85"/>
        <v>29</v>
      </c>
      <c r="J196" s="25">
        <v>7.6736217802123599E-2</v>
      </c>
      <c r="K196" s="25">
        <f t="shared" si="110"/>
        <v>1.1538724866376E-4</v>
      </c>
      <c r="L196" s="25">
        <f t="shared" si="111"/>
        <v>0.14475210356444002</v>
      </c>
      <c r="M196" s="25">
        <v>6.9680624305690697E-3</v>
      </c>
      <c r="N196" s="25">
        <v>0.83479012031775157</v>
      </c>
      <c r="O196" s="25">
        <f t="shared" si="112"/>
        <v>2.2461820087561147E-4</v>
      </c>
      <c r="P196" s="25">
        <f t="shared" si="113"/>
        <v>0.67795833387246252</v>
      </c>
      <c r="Q196" s="25">
        <v>6.3338400076989503E-3</v>
      </c>
      <c r="R196" s="25">
        <v>0.86616890052103512</v>
      </c>
      <c r="S196" s="25">
        <f t="shared" si="114"/>
        <v>1.8879533597917963E-4</v>
      </c>
      <c r="T196" s="25">
        <f t="shared" si="115"/>
        <v>0.77944522937517458</v>
      </c>
      <c r="U196" s="25">
        <v>8.1081873394634706E-3</v>
      </c>
      <c r="V196" s="25">
        <v>0.13383109947896502</v>
      </c>
      <c r="W196" s="26">
        <f t="shared" si="120"/>
        <v>1.8879533597917976E-4</v>
      </c>
      <c r="X196" s="25">
        <f t="shared" si="116"/>
        <v>0.22055477062482554</v>
      </c>
      <c r="Y196" s="25">
        <v>8.1162864468348004E-3</v>
      </c>
      <c r="Z196" s="25">
        <v>0.57338106091091823</v>
      </c>
      <c r="AA196" s="25">
        <f t="shared" si="121"/>
        <v>2.983112437799855E-3</v>
      </c>
      <c r="AB196" s="25">
        <f t="shared" si="117"/>
        <v>0.62181095043288981</v>
      </c>
      <c r="AC196" s="25">
        <v>2.3872599839031901E-2</v>
      </c>
      <c r="AD196" s="25">
        <v>0.96377290828104312</v>
      </c>
      <c r="AE196" s="25">
        <f t="shared" si="118"/>
        <v>6.5752711006672636E-5</v>
      </c>
      <c r="AF196" s="25">
        <f t="shared" si="119"/>
        <v>0.87135088832797003</v>
      </c>
      <c r="AG196" s="25">
        <v>2.5705042162044501E-3</v>
      </c>
    </row>
    <row r="197" spans="1:33" hidden="1" x14ac:dyDescent="0.3">
      <c r="A197" s="25">
        <v>2008</v>
      </c>
      <c r="B197" s="25" t="s">
        <v>9</v>
      </c>
      <c r="C197" s="25" t="s">
        <v>14</v>
      </c>
      <c r="D197" s="25">
        <f t="shared" si="109"/>
        <v>712</v>
      </c>
      <c r="E197" s="25">
        <v>102</v>
      </c>
      <c r="F197" s="25">
        <v>549</v>
      </c>
      <c r="G197" s="25">
        <v>574</v>
      </c>
      <c r="H197" s="25">
        <v>138</v>
      </c>
      <c r="I197" s="25">
        <f t="shared" ref="I197:I266" si="122">H197-E197</f>
        <v>36</v>
      </c>
      <c r="J197" s="25">
        <v>0.13617903233234432</v>
      </c>
      <c r="K197" s="25">
        <f t="shared" si="110"/>
        <v>1.6544909069672383E-4</v>
      </c>
      <c r="L197" s="25">
        <f t="shared" si="111"/>
        <v>0.14475210356444002</v>
      </c>
      <c r="M197" s="25">
        <v>6.9680624305690697E-3</v>
      </c>
      <c r="N197" s="25">
        <v>0.77554738288270453</v>
      </c>
      <c r="O197" s="25">
        <f t="shared" si="112"/>
        <v>2.4482931052952496E-4</v>
      </c>
      <c r="P197" s="25">
        <f t="shared" si="113"/>
        <v>0.67795833387246252</v>
      </c>
      <c r="Q197" s="25">
        <v>6.3338400076989503E-3</v>
      </c>
      <c r="R197" s="25">
        <v>0.81282445612108589</v>
      </c>
      <c r="S197" s="25">
        <f t="shared" si="114"/>
        <v>2.1398151849865937E-4</v>
      </c>
      <c r="T197" s="25">
        <f t="shared" si="115"/>
        <v>0.77944522937517458</v>
      </c>
      <c r="U197" s="25">
        <v>8.1081873394634706E-3</v>
      </c>
      <c r="V197" s="25">
        <v>0.18717554387891402</v>
      </c>
      <c r="W197" s="26">
        <f t="shared" si="120"/>
        <v>2.1398151849865929E-4</v>
      </c>
      <c r="X197" s="25">
        <f t="shared" si="116"/>
        <v>0.22055477062482554</v>
      </c>
      <c r="Y197" s="25">
        <v>8.1162864468348004E-3</v>
      </c>
      <c r="Z197" s="25">
        <v>0.72754714376809859</v>
      </c>
      <c r="AA197" s="25">
        <f t="shared" si="121"/>
        <v>1.4468780829414618E-3</v>
      </c>
      <c r="AB197" s="25">
        <f t="shared" si="117"/>
        <v>0.62181095043288981</v>
      </c>
      <c r="AC197" s="25">
        <v>2.3872599839031901E-2</v>
      </c>
      <c r="AD197" s="25">
        <v>0.95413883901048824</v>
      </c>
      <c r="AE197" s="25">
        <f t="shared" si="118"/>
        <v>7.6366343633867096E-5</v>
      </c>
      <c r="AF197" s="25">
        <f t="shared" si="119"/>
        <v>0.87135088832797003</v>
      </c>
      <c r="AG197" s="25">
        <v>2.5705042162044501E-3</v>
      </c>
    </row>
    <row r="198" spans="1:33" hidden="1" x14ac:dyDescent="0.3">
      <c r="A198" s="25">
        <v>2009</v>
      </c>
      <c r="B198" s="25" t="s">
        <v>9</v>
      </c>
      <c r="C198" s="25" t="s">
        <v>14</v>
      </c>
      <c r="D198" s="25">
        <f t="shared" si="109"/>
        <v>952</v>
      </c>
      <c r="E198" s="25">
        <v>101</v>
      </c>
      <c r="F198" s="25">
        <v>651</v>
      </c>
      <c r="G198" s="25">
        <v>791</v>
      </c>
      <c r="H198" s="25">
        <v>161</v>
      </c>
      <c r="I198" s="25">
        <f t="shared" si="122"/>
        <v>60</v>
      </c>
      <c r="J198" s="25">
        <v>0.10611987492384888</v>
      </c>
      <c r="K198" s="25">
        <f t="shared" si="110"/>
        <v>9.9746001125126756E-5</v>
      </c>
      <c r="L198" s="25">
        <f t="shared" si="111"/>
        <v>0.14475210356444002</v>
      </c>
      <c r="M198" s="25">
        <v>6.9680624305690697E-3</v>
      </c>
      <c r="N198" s="25">
        <v>0.68406236528555031</v>
      </c>
      <c r="O198" s="25">
        <f t="shared" si="112"/>
        <v>2.2725662006886293E-4</v>
      </c>
      <c r="P198" s="25">
        <f t="shared" si="113"/>
        <v>0.67795833387246252</v>
      </c>
      <c r="Q198" s="25">
        <v>6.3338400076989503E-3</v>
      </c>
      <c r="R198" s="25">
        <v>0.83100426323902987</v>
      </c>
      <c r="S198" s="25">
        <f t="shared" si="114"/>
        <v>1.4767211116465512E-4</v>
      </c>
      <c r="T198" s="25">
        <f t="shared" si="115"/>
        <v>0.77944522937517458</v>
      </c>
      <c r="U198" s="25">
        <v>8.1081873394634706E-3</v>
      </c>
      <c r="V198" s="25">
        <v>0.16899573676097004</v>
      </c>
      <c r="W198" s="26">
        <f t="shared" si="120"/>
        <v>1.4767211116465507E-4</v>
      </c>
      <c r="X198" s="25">
        <f t="shared" si="116"/>
        <v>0.22055477062482554</v>
      </c>
      <c r="Y198" s="25">
        <v>8.1162864468348004E-3</v>
      </c>
      <c r="Z198" s="25">
        <v>0.62794409467231893</v>
      </c>
      <c r="AA198" s="25">
        <f t="shared" si="121"/>
        <v>1.4601894289905043E-3</v>
      </c>
      <c r="AB198" s="25">
        <f t="shared" si="117"/>
        <v>0.62181095043288981</v>
      </c>
      <c r="AC198" s="25">
        <v>2.3872599839031901E-2</v>
      </c>
      <c r="AD198" s="25">
        <v>0.82317551852172233</v>
      </c>
      <c r="AE198" s="25">
        <f t="shared" si="118"/>
        <v>1.8425010661799482E-4</v>
      </c>
      <c r="AF198" s="25">
        <f t="shared" si="119"/>
        <v>0.87135088832797003</v>
      </c>
      <c r="AG198" s="25">
        <v>2.5705042162044501E-3</v>
      </c>
    </row>
    <row r="199" spans="1:33" hidden="1" x14ac:dyDescent="0.3">
      <c r="A199" s="25">
        <v>2010</v>
      </c>
      <c r="B199" s="25" t="s">
        <v>9</v>
      </c>
      <c r="C199" s="25" t="s">
        <v>14</v>
      </c>
      <c r="D199" s="25">
        <f t="shared" si="109"/>
        <v>1144</v>
      </c>
      <c r="E199" s="25">
        <v>207</v>
      </c>
      <c r="F199" s="25">
        <v>716</v>
      </c>
      <c r="G199" s="25">
        <v>861</v>
      </c>
      <c r="H199" s="25">
        <v>283</v>
      </c>
      <c r="I199" s="25">
        <f t="shared" si="122"/>
        <v>76</v>
      </c>
      <c r="J199" s="25">
        <v>0.18573663566236512</v>
      </c>
      <c r="K199" s="25">
        <f t="shared" si="110"/>
        <v>1.3231718095817232E-4</v>
      </c>
      <c r="L199" s="25">
        <f t="shared" si="111"/>
        <v>0.14475210356444002</v>
      </c>
      <c r="M199" s="25">
        <v>6.9680624305690697E-3</v>
      </c>
      <c r="N199" s="25">
        <v>0.63415171348441923</v>
      </c>
      <c r="O199" s="25">
        <f t="shared" si="112"/>
        <v>2.0297753085668792E-4</v>
      </c>
      <c r="P199" s="25">
        <f t="shared" si="113"/>
        <v>0.67795833387246252</v>
      </c>
      <c r="Q199" s="25">
        <v>6.3338400076989503E-3</v>
      </c>
      <c r="R199" s="25">
        <v>0.74065121745060747</v>
      </c>
      <c r="S199" s="25">
        <f t="shared" si="114"/>
        <v>1.6805511070825936E-4</v>
      </c>
      <c r="T199" s="25">
        <f t="shared" si="115"/>
        <v>0.77944522937517458</v>
      </c>
      <c r="U199" s="25">
        <v>8.1081873394634706E-3</v>
      </c>
      <c r="V199" s="25">
        <v>0.25934878254939253</v>
      </c>
      <c r="W199" s="26">
        <f t="shared" si="120"/>
        <v>1.6805511070825936E-4</v>
      </c>
      <c r="X199" s="25">
        <f t="shared" si="116"/>
        <v>0.22055477062482554</v>
      </c>
      <c r="Y199" s="25">
        <v>8.1162864468348004E-3</v>
      </c>
      <c r="Z199" s="25">
        <v>0.71616544267753357</v>
      </c>
      <c r="AA199" s="25">
        <f t="shared" si="121"/>
        <v>7.2082447302136861E-4</v>
      </c>
      <c r="AB199" s="25">
        <f t="shared" si="117"/>
        <v>0.62181095043288981</v>
      </c>
      <c r="AC199" s="25">
        <v>2.3872599839031901E-2</v>
      </c>
      <c r="AD199" s="25">
        <v>0.85620829149141242</v>
      </c>
      <c r="AE199" s="25">
        <f t="shared" si="118"/>
        <v>1.4315773613112669E-4</v>
      </c>
      <c r="AF199" s="25">
        <f t="shared" si="119"/>
        <v>0.87135088832797003</v>
      </c>
      <c r="AG199" s="25">
        <v>2.5705042162044501E-3</v>
      </c>
    </row>
    <row r="200" spans="1:33" hidden="1" x14ac:dyDescent="0.3">
      <c r="A200" s="25">
        <v>2011</v>
      </c>
      <c r="B200" s="25" t="s">
        <v>9</v>
      </c>
      <c r="C200" s="25" t="s">
        <v>14</v>
      </c>
      <c r="D200" s="25">
        <f t="shared" si="109"/>
        <v>859</v>
      </c>
      <c r="E200" s="25">
        <v>98</v>
      </c>
      <c r="F200" s="25">
        <v>562</v>
      </c>
      <c r="G200" s="25">
        <v>707</v>
      </c>
      <c r="H200" s="25">
        <v>152</v>
      </c>
      <c r="I200" s="25">
        <f t="shared" si="122"/>
        <v>54</v>
      </c>
      <c r="J200" s="25">
        <v>0.109502742311836</v>
      </c>
      <c r="K200" s="25">
        <f t="shared" si="110"/>
        <v>1.1365022347089002E-4</v>
      </c>
      <c r="L200" s="25">
        <f t="shared" si="111"/>
        <v>0.14475210356444002</v>
      </c>
      <c r="M200" s="25">
        <v>6.9680624305690697E-3</v>
      </c>
      <c r="N200" s="25">
        <v>0.65505348878069658</v>
      </c>
      <c r="O200" s="25">
        <f t="shared" si="112"/>
        <v>2.633547967563338E-4</v>
      </c>
      <c r="P200" s="25">
        <f t="shared" si="113"/>
        <v>0.67795833387246252</v>
      </c>
      <c r="Q200" s="25">
        <v>6.3338400076989503E-3</v>
      </c>
      <c r="R200" s="25">
        <v>0.82588742513826718</v>
      </c>
      <c r="S200" s="25">
        <f t="shared" si="114"/>
        <v>1.6759602113840361E-4</v>
      </c>
      <c r="T200" s="25">
        <f t="shared" si="115"/>
        <v>0.77944522937517458</v>
      </c>
      <c r="U200" s="25">
        <v>8.1081873394634706E-3</v>
      </c>
      <c r="V200" s="25">
        <v>0.17411257486173284</v>
      </c>
      <c r="W200" s="26">
        <f t="shared" si="120"/>
        <v>1.6759602113840366E-4</v>
      </c>
      <c r="X200" s="25">
        <f t="shared" si="116"/>
        <v>0.22055477062482554</v>
      </c>
      <c r="Y200" s="25">
        <v>8.1162864468348004E-3</v>
      </c>
      <c r="Z200" s="25">
        <v>0.62891920585744521</v>
      </c>
      <c r="AA200" s="25">
        <f t="shared" si="121"/>
        <v>1.5455618434508985E-3</v>
      </c>
      <c r="AB200" s="25">
        <f t="shared" si="117"/>
        <v>0.62181095043288981</v>
      </c>
      <c r="AC200" s="25">
        <v>2.3872599839031901E-2</v>
      </c>
      <c r="AD200" s="25">
        <v>0.79315106253255985</v>
      </c>
      <c r="AE200" s="25">
        <f t="shared" si="118"/>
        <v>2.323830800793643E-4</v>
      </c>
      <c r="AF200" s="25">
        <f t="shared" si="119"/>
        <v>0.87135088832797003</v>
      </c>
      <c r="AG200" s="25">
        <v>2.5705042162044501E-3</v>
      </c>
    </row>
    <row r="201" spans="1:33" hidden="1" x14ac:dyDescent="0.3">
      <c r="A201" s="25">
        <v>2012</v>
      </c>
      <c r="B201" s="25" t="s">
        <v>9</v>
      </c>
      <c r="C201" s="25" t="s">
        <v>14</v>
      </c>
      <c r="D201" s="25">
        <f t="shared" si="109"/>
        <v>823</v>
      </c>
      <c r="E201" s="25">
        <v>104</v>
      </c>
      <c r="F201" s="25">
        <v>582</v>
      </c>
      <c r="G201" s="25">
        <v>653</v>
      </c>
      <c r="H201" s="25">
        <v>170</v>
      </c>
      <c r="I201" s="25">
        <f t="shared" si="122"/>
        <v>66</v>
      </c>
      <c r="J201" s="25">
        <v>0.12924861281128205</v>
      </c>
      <c r="K201" s="25">
        <f t="shared" si="110"/>
        <v>1.3691412274652231E-4</v>
      </c>
      <c r="L201" s="25">
        <f t="shared" si="111"/>
        <v>0.14475210356444002</v>
      </c>
      <c r="M201" s="25">
        <v>6.9680624305690697E-3</v>
      </c>
      <c r="N201" s="25">
        <v>0.69922233632121689</v>
      </c>
      <c r="O201" s="25">
        <f t="shared" si="112"/>
        <v>2.5585214198383933E-4</v>
      </c>
      <c r="P201" s="25">
        <f t="shared" si="113"/>
        <v>0.67795833387246252</v>
      </c>
      <c r="Q201" s="25">
        <v>6.3338400076989503E-3</v>
      </c>
      <c r="R201" s="25">
        <v>0.78854420584561502</v>
      </c>
      <c r="S201" s="25">
        <f t="shared" si="114"/>
        <v>2.0284944193786294E-4</v>
      </c>
      <c r="T201" s="25">
        <f t="shared" si="115"/>
        <v>0.77944522937517458</v>
      </c>
      <c r="U201" s="25">
        <v>8.1081873394634706E-3</v>
      </c>
      <c r="V201" s="25">
        <v>0.21145579415438509</v>
      </c>
      <c r="W201" s="26">
        <f t="shared" si="120"/>
        <v>2.0284944193786305E-4</v>
      </c>
      <c r="X201" s="25">
        <f t="shared" si="116"/>
        <v>0.22055477062482554</v>
      </c>
      <c r="Y201" s="25">
        <v>8.1162864468348004E-3</v>
      </c>
      <c r="Z201" s="25">
        <v>0.61123230663008876</v>
      </c>
      <c r="AA201" s="25">
        <f t="shared" si="121"/>
        <v>1.4060791358683426E-3</v>
      </c>
      <c r="AB201" s="25">
        <f t="shared" si="117"/>
        <v>0.62181095043288981</v>
      </c>
      <c r="AC201" s="25">
        <v>2.3872599839031901E-2</v>
      </c>
      <c r="AD201" s="25">
        <v>0.88672560287395474</v>
      </c>
      <c r="AE201" s="25">
        <f t="shared" si="118"/>
        <v>1.5405415349965682E-4</v>
      </c>
      <c r="AF201" s="25">
        <f t="shared" si="119"/>
        <v>0.87135088832797003</v>
      </c>
      <c r="AG201" s="25">
        <v>2.5705042162044501E-3</v>
      </c>
    </row>
    <row r="202" spans="1:33" hidden="1" x14ac:dyDescent="0.3">
      <c r="A202" s="25">
        <v>2013</v>
      </c>
      <c r="B202" s="25" t="s">
        <v>9</v>
      </c>
      <c r="C202" s="25" t="s">
        <v>14</v>
      </c>
      <c r="D202" s="25">
        <f t="shared" si="109"/>
        <v>1190</v>
      </c>
      <c r="E202" s="25">
        <v>131</v>
      </c>
      <c r="F202" s="25">
        <v>788</v>
      </c>
      <c r="G202" s="25">
        <v>978</v>
      </c>
      <c r="H202" s="25">
        <v>212</v>
      </c>
      <c r="I202" s="25">
        <f t="shared" si="122"/>
        <v>81</v>
      </c>
      <c r="J202" s="25">
        <v>0.10401057728492939</v>
      </c>
      <c r="K202" s="25">
        <f t="shared" si="110"/>
        <v>7.8378786457346608E-5</v>
      </c>
      <c r="L202" s="25">
        <f t="shared" si="111"/>
        <v>0.14475210356444002</v>
      </c>
      <c r="M202" s="25">
        <v>6.9680624305690697E-3</v>
      </c>
      <c r="N202" s="25">
        <v>0.67211540680900173</v>
      </c>
      <c r="O202" s="25">
        <f t="shared" si="112"/>
        <v>1.8534590978887454E-4</v>
      </c>
      <c r="P202" s="25">
        <f t="shared" si="113"/>
        <v>0.67795833387246252</v>
      </c>
      <c r="Q202" s="25">
        <v>6.3338400076989503E-3</v>
      </c>
      <c r="R202" s="25">
        <v>0.82334231722376938</v>
      </c>
      <c r="S202" s="25">
        <f t="shared" si="114"/>
        <v>1.2232947509870757E-4</v>
      </c>
      <c r="T202" s="25">
        <f t="shared" si="115"/>
        <v>0.77944522937517458</v>
      </c>
      <c r="U202" s="25">
        <v>8.1081873394634706E-3</v>
      </c>
      <c r="V202" s="25">
        <v>0.17665768277623067</v>
      </c>
      <c r="W202" s="26">
        <f t="shared" si="120"/>
        <v>1.2232947509870757E-4</v>
      </c>
      <c r="X202" s="25">
        <f t="shared" si="116"/>
        <v>0.22055477062482554</v>
      </c>
      <c r="Y202" s="25">
        <v>8.1162864468348004E-3</v>
      </c>
      <c r="Z202" s="25">
        <v>0.58876905691488013</v>
      </c>
      <c r="AA202" s="25">
        <f t="shared" si="121"/>
        <v>1.1474884101158424E-3</v>
      </c>
      <c r="AB202" s="25">
        <f t="shared" si="117"/>
        <v>0.62181095043288981</v>
      </c>
      <c r="AC202" s="25">
        <v>2.3872599839031901E-2</v>
      </c>
      <c r="AD202" s="25">
        <v>0.81632559477242694</v>
      </c>
      <c r="AE202" s="25">
        <f t="shared" si="118"/>
        <v>1.5346787931614161E-4</v>
      </c>
      <c r="AF202" s="25">
        <f t="shared" si="119"/>
        <v>0.87135088832797003</v>
      </c>
      <c r="AG202" s="25">
        <v>2.5705042162044501E-3</v>
      </c>
    </row>
    <row r="203" spans="1:33" hidden="1" x14ac:dyDescent="0.3">
      <c r="A203" s="25">
        <v>2014</v>
      </c>
      <c r="B203" s="25" t="s">
        <v>9</v>
      </c>
      <c r="C203" s="25" t="s">
        <v>14</v>
      </c>
      <c r="D203" s="25">
        <f t="shared" si="109"/>
        <v>948</v>
      </c>
      <c r="E203" s="25">
        <v>74</v>
      </c>
      <c r="F203" s="25">
        <v>645</v>
      </c>
      <c r="G203" s="25">
        <v>762</v>
      </c>
      <c r="H203" s="25">
        <v>186</v>
      </c>
      <c r="I203" s="25">
        <f t="shared" si="122"/>
        <v>112</v>
      </c>
      <c r="J203" s="25">
        <v>7.5756008180062478E-2</v>
      </c>
      <c r="K203" s="25">
        <f t="shared" si="110"/>
        <v>7.393562344739682E-5</v>
      </c>
      <c r="L203" s="25">
        <f t="shared" si="111"/>
        <v>0.14475210356444002</v>
      </c>
      <c r="M203" s="25">
        <v>6.9680624305690697E-3</v>
      </c>
      <c r="N203" s="25">
        <v>0.67729708141422429</v>
      </c>
      <c r="O203" s="25">
        <f t="shared" si="112"/>
        <v>2.3079804110031461E-4</v>
      </c>
      <c r="P203" s="25">
        <f t="shared" si="113"/>
        <v>0.67795833387246252</v>
      </c>
      <c r="Q203" s="25">
        <v>6.3338400076989503E-3</v>
      </c>
      <c r="R203" s="25">
        <v>0.80343402080183302</v>
      </c>
      <c r="S203" s="25">
        <f t="shared" si="114"/>
        <v>1.6676641501587409E-4</v>
      </c>
      <c r="T203" s="25">
        <f t="shared" si="115"/>
        <v>0.77944522937517458</v>
      </c>
      <c r="U203" s="25">
        <v>8.1081873394634706E-3</v>
      </c>
      <c r="V203" s="25">
        <v>0.19656597919816682</v>
      </c>
      <c r="W203" s="26">
        <f t="shared" si="120"/>
        <v>1.6676641501587398E-4</v>
      </c>
      <c r="X203" s="25">
        <f t="shared" si="116"/>
        <v>0.22055477062482554</v>
      </c>
      <c r="Y203" s="25">
        <v>8.1162864468348004E-3</v>
      </c>
      <c r="Z203" s="25">
        <v>0.38539735354554666</v>
      </c>
      <c r="AA203" s="25">
        <f t="shared" si="121"/>
        <v>1.2803580185169491E-3</v>
      </c>
      <c r="AB203" s="25">
        <f t="shared" si="117"/>
        <v>0.62181095043288981</v>
      </c>
      <c r="AC203" s="25">
        <v>2.3872599839031901E-2</v>
      </c>
      <c r="AD203" s="25">
        <v>0.84300274058382141</v>
      </c>
      <c r="AE203" s="25">
        <f t="shared" si="118"/>
        <v>1.7391474369512184E-4</v>
      </c>
      <c r="AF203" s="25">
        <f t="shared" si="119"/>
        <v>0.87135088832797003</v>
      </c>
      <c r="AG203" s="25">
        <v>2.5705042162044501E-3</v>
      </c>
    </row>
    <row r="204" spans="1:33" hidden="1" x14ac:dyDescent="0.3">
      <c r="A204" s="25">
        <v>2015</v>
      </c>
      <c r="B204" s="25" t="s">
        <v>9</v>
      </c>
      <c r="C204" s="25" t="s">
        <v>14</v>
      </c>
      <c r="D204" s="25">
        <f t="shared" si="109"/>
        <v>494</v>
      </c>
      <c r="E204" s="25">
        <v>30</v>
      </c>
      <c r="F204" s="25">
        <v>357</v>
      </c>
      <c r="G204" s="25">
        <v>422</v>
      </c>
      <c r="H204" s="25">
        <v>72</v>
      </c>
      <c r="I204" s="25">
        <f t="shared" si="122"/>
        <v>42</v>
      </c>
      <c r="J204" s="25">
        <v>4.906632556664061E-2</v>
      </c>
      <c r="K204" s="25">
        <f t="shared" si="110"/>
        <v>9.4642639476732329E-5</v>
      </c>
      <c r="L204" s="25">
        <f t="shared" si="111"/>
        <v>0.14475210356444002</v>
      </c>
      <c r="M204" s="25">
        <v>6.9680624305690697E-3</v>
      </c>
      <c r="N204" s="25">
        <v>0.71079979816407746</v>
      </c>
      <c r="O204" s="25">
        <f t="shared" si="112"/>
        <v>4.1696439167136751E-4</v>
      </c>
      <c r="P204" s="25">
        <f t="shared" si="113"/>
        <v>0.67795833387246252</v>
      </c>
      <c r="Q204" s="25">
        <v>6.3338400076989503E-3</v>
      </c>
      <c r="R204" s="25">
        <v>0.8574241567842128</v>
      </c>
      <c r="S204" s="25">
        <f t="shared" si="114"/>
        <v>2.4796748914217943E-4</v>
      </c>
      <c r="T204" s="25">
        <f t="shared" si="115"/>
        <v>0.77944522937517458</v>
      </c>
      <c r="U204" s="25">
        <v>8.1081873394634706E-3</v>
      </c>
      <c r="V204" s="25">
        <v>0.14257584321578715</v>
      </c>
      <c r="W204" s="26">
        <f t="shared" si="120"/>
        <v>2.4796748914217938E-4</v>
      </c>
      <c r="X204" s="25">
        <f t="shared" si="116"/>
        <v>0.22055477062482554</v>
      </c>
      <c r="Y204" s="25">
        <v>8.1162864468348004E-3</v>
      </c>
      <c r="Z204" s="25">
        <v>0.3441419279728839</v>
      </c>
      <c r="AA204" s="25">
        <f t="shared" si="121"/>
        <v>3.1789895969576093E-3</v>
      </c>
      <c r="AB204" s="25">
        <f t="shared" si="117"/>
        <v>0.62181095043288981</v>
      </c>
      <c r="AC204" s="25">
        <v>2.3872599839031901E-2</v>
      </c>
      <c r="AD204" s="25">
        <v>0.828994369402825</v>
      </c>
      <c r="AE204" s="25">
        <f t="shared" si="118"/>
        <v>3.3672851520483973E-4</v>
      </c>
      <c r="AF204" s="25">
        <f t="shared" si="119"/>
        <v>0.87135088832797003</v>
      </c>
      <c r="AG204" s="25">
        <v>2.5705042162044501E-3</v>
      </c>
    </row>
    <row r="205" spans="1:33" hidden="1" x14ac:dyDescent="0.3">
      <c r="A205" s="25">
        <v>2016</v>
      </c>
      <c r="B205" s="25" t="s">
        <v>9</v>
      </c>
      <c r="C205" s="25" t="s">
        <v>14</v>
      </c>
      <c r="D205" s="25">
        <f t="shared" si="109"/>
        <v>1364</v>
      </c>
      <c r="E205" s="25">
        <v>75</v>
      </c>
      <c r="F205" s="25">
        <v>1010</v>
      </c>
      <c r="G205" s="25">
        <v>1187</v>
      </c>
      <c r="H205" s="25">
        <v>177</v>
      </c>
      <c r="I205" s="25">
        <f t="shared" si="122"/>
        <v>102</v>
      </c>
      <c r="J205" s="25">
        <v>5.3156939024360035E-2</v>
      </c>
      <c r="K205" s="25">
        <f t="shared" si="110"/>
        <v>3.6926837019750919E-5</v>
      </c>
      <c r="L205" s="25">
        <f t="shared" si="111"/>
        <v>0.14475210356444002</v>
      </c>
      <c r="M205" s="25">
        <v>6.9680624305690697E-3</v>
      </c>
      <c r="N205" s="25">
        <v>0.74715254434980671</v>
      </c>
      <c r="O205" s="25">
        <f t="shared" si="112"/>
        <v>1.3860280251021045E-4</v>
      </c>
      <c r="P205" s="25">
        <f t="shared" si="113"/>
        <v>0.67795833387246252</v>
      </c>
      <c r="Q205" s="25">
        <v>6.3338400076989503E-3</v>
      </c>
      <c r="R205" s="25">
        <v>0.87636258437225123</v>
      </c>
      <c r="S205" s="25">
        <f t="shared" si="114"/>
        <v>7.9494647897755013E-5</v>
      </c>
      <c r="T205" s="25">
        <f t="shared" si="115"/>
        <v>0.77944522937517458</v>
      </c>
      <c r="U205" s="25">
        <v>8.1081873394634706E-3</v>
      </c>
      <c r="V205" s="25">
        <v>0.1236374156277486</v>
      </c>
      <c r="W205" s="26">
        <f t="shared" si="120"/>
        <v>7.9494647897754904E-5</v>
      </c>
      <c r="X205" s="25">
        <f t="shared" si="116"/>
        <v>0.22055477062482554</v>
      </c>
      <c r="Y205" s="25">
        <v>8.1162864468348004E-3</v>
      </c>
      <c r="Z205" s="25">
        <v>0.42994217207197705</v>
      </c>
      <c r="AA205" s="25">
        <f t="shared" si="121"/>
        <v>1.3925676178750427E-3</v>
      </c>
      <c r="AB205" s="25">
        <f t="shared" si="117"/>
        <v>0.62181095043288981</v>
      </c>
      <c r="AC205" s="25">
        <v>2.3872599839031901E-2</v>
      </c>
      <c r="AD205" s="25">
        <v>0.85256098066418584</v>
      </c>
      <c r="AE205" s="25">
        <f t="shared" si="118"/>
        <v>1.0598714579520032E-4</v>
      </c>
      <c r="AF205" s="25">
        <f t="shared" si="119"/>
        <v>0.87135088832797003</v>
      </c>
      <c r="AG205" s="25">
        <v>2.5705042162044501E-3</v>
      </c>
    </row>
    <row r="206" spans="1:33" hidden="1" x14ac:dyDescent="0.3">
      <c r="A206" s="25">
        <v>2017</v>
      </c>
      <c r="B206" s="25" t="s">
        <v>9</v>
      </c>
      <c r="C206" s="25" t="s">
        <v>14</v>
      </c>
      <c r="D206" s="25">
        <f t="shared" si="109"/>
        <v>618</v>
      </c>
      <c r="E206" s="25">
        <v>48</v>
      </c>
      <c r="F206" s="25">
        <v>395</v>
      </c>
      <c r="G206" s="25">
        <v>471</v>
      </c>
      <c r="H206" s="25">
        <v>147</v>
      </c>
      <c r="I206" s="25">
        <f t="shared" si="122"/>
        <v>99</v>
      </c>
      <c r="J206" s="25">
        <v>9.0666055256219194E-2</v>
      </c>
      <c r="K206" s="25">
        <f t="shared" si="110"/>
        <v>1.3362353594893907E-4</v>
      </c>
      <c r="L206" s="25">
        <f t="shared" si="111"/>
        <v>0.14475210356444002</v>
      </c>
      <c r="M206" s="25">
        <v>6.9680624305690697E-3</v>
      </c>
      <c r="N206" s="25">
        <v>0.62134586724750662</v>
      </c>
      <c r="O206" s="25">
        <f t="shared" si="112"/>
        <v>3.8132120016523584E-4</v>
      </c>
      <c r="P206" s="25">
        <f t="shared" si="113"/>
        <v>0.67795833387246252</v>
      </c>
      <c r="Q206" s="25">
        <v>6.3338400076989503E-3</v>
      </c>
      <c r="R206" s="25">
        <v>0.75095666628453506</v>
      </c>
      <c r="S206" s="25">
        <f t="shared" si="114"/>
        <v>3.0311304967155998E-4</v>
      </c>
      <c r="T206" s="25">
        <f t="shared" si="115"/>
        <v>0.77944522937517458</v>
      </c>
      <c r="U206" s="25">
        <v>8.1081873394634706E-3</v>
      </c>
      <c r="V206" s="25">
        <v>0.24904333371546483</v>
      </c>
      <c r="W206" s="26">
        <f t="shared" si="120"/>
        <v>3.0311304967155993E-4</v>
      </c>
      <c r="X206" s="25">
        <f t="shared" si="116"/>
        <v>0.22055477062482554</v>
      </c>
      <c r="Y206" s="25">
        <v>8.1162864468348004E-3</v>
      </c>
      <c r="Z206" s="25">
        <v>0.36405734658132349</v>
      </c>
      <c r="AA206" s="25">
        <f t="shared" si="121"/>
        <v>1.5857506505581481E-3</v>
      </c>
      <c r="AB206" s="25">
        <f t="shared" si="117"/>
        <v>0.62181095043288981</v>
      </c>
      <c r="AC206" s="25">
        <v>2.3872599839031901E-2</v>
      </c>
      <c r="AD206" s="25">
        <v>0.82740575474441647</v>
      </c>
      <c r="AE206" s="25">
        <f t="shared" si="118"/>
        <v>3.0384142927710432E-4</v>
      </c>
      <c r="AF206" s="25">
        <f t="shared" si="119"/>
        <v>0.87135088832797003</v>
      </c>
      <c r="AG206" s="25">
        <v>2.5705042162044501E-3</v>
      </c>
    </row>
    <row r="207" spans="1:33" hidden="1" x14ac:dyDescent="0.3">
      <c r="A207" s="25">
        <v>2018</v>
      </c>
      <c r="B207" s="25" t="s">
        <v>9</v>
      </c>
      <c r="C207" s="25" t="s">
        <v>14</v>
      </c>
      <c r="D207" s="25">
        <f t="shared" si="109"/>
        <v>1044</v>
      </c>
      <c r="E207" s="25">
        <v>92</v>
      </c>
      <c r="F207" s="25">
        <v>719</v>
      </c>
      <c r="G207" s="25">
        <v>850</v>
      </c>
      <c r="H207" s="25">
        <v>194</v>
      </c>
      <c r="I207" s="25">
        <f t="shared" si="122"/>
        <v>102</v>
      </c>
      <c r="J207" s="25">
        <v>9.0789925335540936E-2</v>
      </c>
      <c r="K207" s="25">
        <f>(J207*(1-J207))/(D207-1)</f>
        <v>7.9143925976134065E-5</v>
      </c>
      <c r="L207" s="25">
        <f>AVERAGE(J$187:J$208)</f>
        <v>0.14475210356444002</v>
      </c>
      <c r="M207" s="25">
        <v>6.9680624305690697E-3</v>
      </c>
      <c r="N207" s="25">
        <v>0.66875319441243508</v>
      </c>
      <c r="O207" s="25">
        <f t="shared" si="112"/>
        <v>2.1238960630450517E-4</v>
      </c>
      <c r="P207" s="25">
        <f>AVERAGE(N$187:N$208)</f>
        <v>0.67795833387246252</v>
      </c>
      <c r="Q207" s="25">
        <v>6.3338400076989503E-3</v>
      </c>
      <c r="R207" s="25">
        <v>0.81040040785707024</v>
      </c>
      <c r="S207" s="25">
        <f t="shared" si="114"/>
        <v>1.4731695762431875E-4</v>
      </c>
      <c r="T207" s="25">
        <f>AVERAGE(R$187:R$208)</f>
        <v>0.77944522937517458</v>
      </c>
      <c r="U207" s="25">
        <v>8.1081873394634706E-3</v>
      </c>
      <c r="V207" s="25">
        <v>0.18959959214292968</v>
      </c>
      <c r="W207" s="26">
        <f t="shared" si="120"/>
        <v>1.4731695762431869E-4</v>
      </c>
      <c r="X207" s="25">
        <f>AVERAGE(V$187:V$208)</f>
        <v>0.22055477062482554</v>
      </c>
      <c r="Y207" s="25">
        <v>8.1162864468348004E-3</v>
      </c>
      <c r="Z207" s="25">
        <v>0.4788508472481256</v>
      </c>
      <c r="AA207" s="25">
        <f t="shared" si="121"/>
        <v>1.2930192400926314E-3</v>
      </c>
      <c r="AB207" s="25">
        <f>AVERAGE(Z$188:Z$208)</f>
        <v>0.62181095043288981</v>
      </c>
      <c r="AC207" s="25">
        <v>2.3872599839031901E-2</v>
      </c>
      <c r="AD207" s="25">
        <v>0.82521329941184152</v>
      </c>
      <c r="AE207" s="25">
        <f t="shared" si="118"/>
        <v>1.6988964650843807E-4</v>
      </c>
      <c r="AF207" s="25">
        <f>AVERAGE(AD$187:AD$208)</f>
        <v>0.87135088832797003</v>
      </c>
      <c r="AG207" s="25">
        <v>2.5705042162044501E-3</v>
      </c>
    </row>
    <row r="208" spans="1:33" hidden="1" x14ac:dyDescent="0.3">
      <c r="A208" s="25">
        <v>2019</v>
      </c>
      <c r="B208" s="25" t="s">
        <v>9</v>
      </c>
      <c r="C208" s="25" t="s">
        <v>14</v>
      </c>
      <c r="D208" s="25">
        <f t="shared" si="109"/>
        <v>1077</v>
      </c>
      <c r="E208" s="25">
        <v>95</v>
      </c>
      <c r="F208" s="25">
        <v>692</v>
      </c>
      <c r="G208" s="25">
        <v>909</v>
      </c>
      <c r="H208" s="25">
        <v>168</v>
      </c>
      <c r="I208" s="25">
        <f t="shared" si="122"/>
        <v>73</v>
      </c>
      <c r="J208" s="25">
        <v>8.0178835447121802E-2</v>
      </c>
      <c r="K208" s="25">
        <f>(J208*(1-J208))/(D208-1)</f>
        <v>6.854106858128733E-5</v>
      </c>
      <c r="L208" s="25">
        <f>AVERAGE(J$187:J$208)</f>
        <v>0.14475210356444002</v>
      </c>
      <c r="M208" s="25">
        <v>6.9680624305690697E-3</v>
      </c>
      <c r="N208" s="25">
        <v>0.66200804324801588</v>
      </c>
      <c r="O208" s="25">
        <f t="shared" si="112"/>
        <v>2.0794925085775931E-4</v>
      </c>
      <c r="P208" s="25">
        <f>AVERAGE(N$187:N$208)</f>
        <v>0.67795833387246252</v>
      </c>
      <c r="Q208" s="25">
        <v>6.3338400076989503E-3</v>
      </c>
      <c r="R208" s="25">
        <v>0.84849716610761972</v>
      </c>
      <c r="S208" s="25">
        <f t="shared" si="114"/>
        <v>1.1947000484661534E-4</v>
      </c>
      <c r="T208" s="25">
        <f>AVERAGE(R$187:R$208)</f>
        <v>0.77944522937517458</v>
      </c>
      <c r="U208" s="25">
        <v>8.1081873394634706E-3</v>
      </c>
      <c r="V208" s="25">
        <v>0.15150283389238001</v>
      </c>
      <c r="W208" s="26">
        <f>(V208*(1-V208))/(D208-1)</f>
        <v>1.1947000484661517E-4</v>
      </c>
      <c r="X208" s="25">
        <f>AVERAGE(V$187:V$208)</f>
        <v>0.22055477062482554</v>
      </c>
      <c r="Y208" s="25">
        <v>8.1162864468348004E-3</v>
      </c>
      <c r="Z208" s="25">
        <v>0.52922333785569098</v>
      </c>
      <c r="AA208" s="25">
        <f t="shared" si="121"/>
        <v>1.4918921947579171E-3</v>
      </c>
      <c r="AB208" s="25">
        <f>AVERAGE(Z$188:Z$208)</f>
        <v>0.62181095043288981</v>
      </c>
      <c r="AC208" s="25">
        <v>2.3872599839031901E-2</v>
      </c>
      <c r="AD208" s="25">
        <v>0.78021243875792712</v>
      </c>
      <c r="AE208" s="25">
        <f t="shared" si="118"/>
        <v>1.888557149397962E-4</v>
      </c>
      <c r="AF208" s="25">
        <f>AVERAGE(AD$187:AD$208)</f>
        <v>0.87135088832797003</v>
      </c>
      <c r="AG208" s="25">
        <v>2.5705042162044501E-3</v>
      </c>
    </row>
    <row r="209" spans="1:33" hidden="1" x14ac:dyDescent="0.3">
      <c r="A209" s="25">
        <v>2020</v>
      </c>
      <c r="B209" s="25" t="s">
        <v>9</v>
      </c>
      <c r="C209" s="25" t="s">
        <v>14</v>
      </c>
      <c r="D209" s="25">
        <f t="shared" si="109"/>
        <v>611</v>
      </c>
      <c r="E209" s="25">
        <v>85</v>
      </c>
      <c r="F209" s="25">
        <v>399</v>
      </c>
      <c r="G209" s="25">
        <v>476</v>
      </c>
      <c r="H209" s="25">
        <v>135</v>
      </c>
      <c r="I209" s="25">
        <f t="shared" si="122"/>
        <v>50</v>
      </c>
      <c r="J209" s="25">
        <v>0.13056923246055491</v>
      </c>
      <c r="K209" s="25">
        <f>(J209*(1-J209))/(D209-1)</f>
        <v>1.8609984917248603E-4</v>
      </c>
      <c r="L209" s="25"/>
      <c r="M209" s="25"/>
      <c r="N209" s="25">
        <v>0.65961957464560128</v>
      </c>
      <c r="O209" s="25">
        <f t="shared" si="112"/>
        <v>3.6806818260648737E-4</v>
      </c>
      <c r="P209" s="25"/>
      <c r="Q209" s="25"/>
      <c r="R209" s="25">
        <v>0.79098918129011708</v>
      </c>
      <c r="S209" s="25">
        <f>(R209*(1-R209))/($D209-1)</f>
        <v>2.7102507601984817E-4</v>
      </c>
      <c r="T209" s="25"/>
      <c r="U209" s="25"/>
      <c r="V209" s="25">
        <v>0.20901081870988297</v>
      </c>
      <c r="W209" s="26">
        <f t="shared" si="120"/>
        <v>2.7102507601984823E-4</v>
      </c>
      <c r="X209" s="25"/>
      <c r="Y209" s="25"/>
      <c r="Z209" s="25">
        <v>0.62470083255255437</v>
      </c>
      <c r="AA209" s="25">
        <f t="shared" si="121"/>
        <v>1.7496246444828343E-3</v>
      </c>
      <c r="AB209" s="25"/>
      <c r="AC209" s="25"/>
      <c r="AD209" s="25">
        <v>0.83391731549317816</v>
      </c>
      <c r="AE209" s="25">
        <f t="shared" si="118"/>
        <v>2.9157731876595651E-4</v>
      </c>
      <c r="AF209" s="25"/>
      <c r="AG209" s="25"/>
    </row>
    <row r="210" spans="1:33" hidden="1" x14ac:dyDescent="0.3">
      <c r="A210" s="25">
        <v>2021</v>
      </c>
      <c r="B210" s="25" t="s">
        <v>9</v>
      </c>
      <c r="C210" s="25" t="s">
        <v>14</v>
      </c>
      <c r="D210" s="25">
        <f t="shared" si="109"/>
        <v>769</v>
      </c>
      <c r="E210" s="25">
        <v>47</v>
      </c>
      <c r="F210" s="25">
        <v>608</v>
      </c>
      <c r="G210" s="25">
        <v>667</v>
      </c>
      <c r="H210" s="25">
        <v>102</v>
      </c>
      <c r="I210" s="25">
        <f t="shared" si="122"/>
        <v>55</v>
      </c>
      <c r="J210" s="25">
        <v>5.8610118010774433E-2</v>
      </c>
      <c r="K210" s="25">
        <f t="shared" si="110"/>
        <v>7.1842411559293651E-5</v>
      </c>
      <c r="L210" s="25"/>
      <c r="M210" s="25"/>
      <c r="N210" s="25">
        <v>0.78520042906418408</v>
      </c>
      <c r="O210" s="25">
        <f t="shared" si="112"/>
        <v>2.1961030633021526E-4</v>
      </c>
      <c r="P210" s="25"/>
      <c r="Q210" s="25"/>
      <c r="R210" s="25">
        <v>0.8775404419143612</v>
      </c>
      <c r="S210" s="25">
        <f t="shared" si="114"/>
        <v>1.39926060832173E-4</v>
      </c>
      <c r="T210" s="25"/>
      <c r="U210" s="25"/>
      <c r="V210" s="25">
        <v>0.12245955808563885</v>
      </c>
      <c r="W210" s="26">
        <f t="shared" si="120"/>
        <v>1.3992606083217303E-4</v>
      </c>
      <c r="X210" s="25"/>
      <c r="Y210" s="25"/>
      <c r="Z210" s="25">
        <v>0.47860794965295395</v>
      </c>
      <c r="AA210" s="25">
        <f t="shared" si="121"/>
        <v>2.4707166354648461E-3</v>
      </c>
      <c r="AB210" s="25"/>
      <c r="AC210" s="25"/>
      <c r="AD210" s="25">
        <v>0.89477406574136154</v>
      </c>
      <c r="AE210" s="25">
        <f t="shared" si="118"/>
        <v>1.4137152705410685E-4</v>
      </c>
      <c r="AF210" s="25"/>
      <c r="AG210" s="25"/>
    </row>
    <row r="211" spans="1:33" hidden="1" x14ac:dyDescent="0.3">
      <c r="A211" s="25">
        <v>2022</v>
      </c>
      <c r="B211" s="15" t="s">
        <v>9</v>
      </c>
      <c r="C211" s="15" t="s">
        <v>14</v>
      </c>
      <c r="D211">
        <v>894</v>
      </c>
      <c r="E211">
        <v>49</v>
      </c>
      <c r="F211">
        <v>664</v>
      </c>
      <c r="G211">
        <v>779</v>
      </c>
      <c r="H211">
        <v>115</v>
      </c>
      <c r="I211">
        <v>66</v>
      </c>
      <c r="J211" s="15">
        <f>'R2 guide wt multiport'!AV29</f>
        <v>5.4507129005136518E-2</v>
      </c>
      <c r="K211" s="25">
        <f t="shared" si="110"/>
        <v>5.7711200327831936E-5</v>
      </c>
      <c r="L211" s="25"/>
      <c r="M211" s="25"/>
      <c r="N211" s="15">
        <f>'R2 guide wt multiport'!AW29</f>
        <v>0.75013967307020568</v>
      </c>
      <c r="O211" s="25">
        <f t="shared" si="112"/>
        <v>2.0988817912243071E-4</v>
      </c>
      <c r="P211" s="25"/>
      <c r="Q211" s="25"/>
      <c r="R211" s="15">
        <f>'R2 guide wt multiport'!AT29</f>
        <v>0.8727841383137519</v>
      </c>
      <c r="S211" s="25">
        <f t="shared" si="114"/>
        <v>1.2433593081934323E-4</v>
      </c>
      <c r="T211" s="25"/>
      <c r="U211" s="25"/>
      <c r="V211" s="15">
        <f>'R2 guide wt multiport'!AU29</f>
        <v>0.12721586168624824</v>
      </c>
      <c r="W211" s="26">
        <f t="shared" si="120"/>
        <v>1.2433593081934334E-4</v>
      </c>
      <c r="X211" s="25"/>
      <c r="Y211" s="25"/>
      <c r="Z211" s="15">
        <f>'R2 guide wt multiport'!AX29</f>
        <v>0.4284617364740817</v>
      </c>
      <c r="AA211" s="25">
        <f t="shared" si="121"/>
        <v>2.1480901478218972E-3</v>
      </c>
      <c r="AB211" s="25"/>
      <c r="AC211" s="25"/>
      <c r="AD211" s="15">
        <f>'R2 guide wt multiport'!AY29</f>
        <v>0.8594790397079175</v>
      </c>
      <c r="AE211" s="25">
        <f t="shared" si="118"/>
        <v>1.5523755785433607E-4</v>
      </c>
      <c r="AF211" s="25"/>
      <c r="AG211" s="25"/>
    </row>
    <row r="212" spans="1:33" hidden="1" x14ac:dyDescent="0.3">
      <c r="A212">
        <v>1993</v>
      </c>
      <c r="B212" t="s">
        <v>11</v>
      </c>
      <c r="C212" t="s">
        <v>14</v>
      </c>
      <c r="D212">
        <f t="shared" si="109"/>
        <v>109</v>
      </c>
      <c r="E212">
        <v>17</v>
      </c>
      <c r="F212">
        <v>61</v>
      </c>
      <c r="G212">
        <v>71</v>
      </c>
      <c r="H212">
        <v>38</v>
      </c>
      <c r="I212">
        <f t="shared" si="122"/>
        <v>21</v>
      </c>
    </row>
    <row r="213" spans="1:33" hidden="1" x14ac:dyDescent="0.3">
      <c r="A213">
        <v>1994</v>
      </c>
      <c r="B213" t="s">
        <v>11</v>
      </c>
      <c r="C213" t="s">
        <v>14</v>
      </c>
      <c r="D213">
        <f t="shared" si="109"/>
        <v>68</v>
      </c>
      <c r="E213">
        <v>2</v>
      </c>
      <c r="F213">
        <v>58</v>
      </c>
      <c r="G213">
        <v>59</v>
      </c>
      <c r="H213">
        <v>9</v>
      </c>
      <c r="I213">
        <f t="shared" si="122"/>
        <v>7</v>
      </c>
    </row>
    <row r="214" spans="1:33" hidden="1" x14ac:dyDescent="0.3">
      <c r="A214">
        <v>1995</v>
      </c>
      <c r="B214" t="s">
        <v>11</v>
      </c>
      <c r="C214" t="s">
        <v>14</v>
      </c>
      <c r="D214">
        <f t="shared" si="109"/>
        <v>84</v>
      </c>
      <c r="E214">
        <v>25</v>
      </c>
      <c r="F214">
        <v>31</v>
      </c>
      <c r="G214">
        <v>32</v>
      </c>
      <c r="H214">
        <v>52</v>
      </c>
      <c r="I214">
        <f t="shared" si="122"/>
        <v>27</v>
      </c>
    </row>
    <row r="215" spans="1:33" hidden="1" x14ac:dyDescent="0.3">
      <c r="A215">
        <v>1996</v>
      </c>
      <c r="B215" t="s">
        <v>11</v>
      </c>
      <c r="C215" t="s">
        <v>14</v>
      </c>
      <c r="D215">
        <f t="shared" si="109"/>
        <v>48</v>
      </c>
      <c r="E215">
        <v>5</v>
      </c>
      <c r="F215">
        <v>32</v>
      </c>
      <c r="G215">
        <v>37</v>
      </c>
      <c r="H215">
        <v>11</v>
      </c>
      <c r="I215">
        <f t="shared" si="122"/>
        <v>6</v>
      </c>
    </row>
    <row r="216" spans="1:33" hidden="1" x14ac:dyDescent="0.3">
      <c r="A216">
        <v>1997</v>
      </c>
      <c r="B216" t="s">
        <v>11</v>
      </c>
      <c r="C216" t="s">
        <v>14</v>
      </c>
      <c r="D216">
        <f t="shared" si="109"/>
        <v>132</v>
      </c>
      <c r="E216">
        <v>17</v>
      </c>
      <c r="F216">
        <v>112</v>
      </c>
      <c r="G216">
        <v>114</v>
      </c>
      <c r="H216">
        <v>18</v>
      </c>
      <c r="I216">
        <f t="shared" si="122"/>
        <v>1</v>
      </c>
    </row>
    <row r="217" spans="1:33" hidden="1" x14ac:dyDescent="0.3">
      <c r="A217">
        <v>1998</v>
      </c>
      <c r="B217" t="s">
        <v>11</v>
      </c>
      <c r="C217" t="s">
        <v>14</v>
      </c>
      <c r="D217">
        <f t="shared" si="109"/>
        <v>165</v>
      </c>
      <c r="E217">
        <v>17</v>
      </c>
      <c r="F217">
        <v>123</v>
      </c>
      <c r="G217">
        <v>138</v>
      </c>
      <c r="H217">
        <v>27</v>
      </c>
      <c r="I217">
        <f t="shared" si="122"/>
        <v>10</v>
      </c>
      <c r="J217">
        <v>9.1075218705676281E-2</v>
      </c>
      <c r="K217">
        <f t="shared" si="110"/>
        <v>5.047592880694482E-4</v>
      </c>
      <c r="L217">
        <f t="shared" ref="L217:L236" si="123">AVERAGE(J$217:J$238)</f>
        <v>0.15272541602382386</v>
      </c>
      <c r="M217">
        <v>4.2580457185629498E-3</v>
      </c>
      <c r="N217">
        <v>0.77499063613891739</v>
      </c>
      <c r="O217">
        <f t="shared" si="112"/>
        <v>1.0632935977799606E-3</v>
      </c>
      <c r="P217">
        <f t="shared" ref="P217:P236" si="124">AVERAGE(N$217:N$238)</f>
        <v>0.67107473992473143</v>
      </c>
      <c r="Q217">
        <v>7.2564057040004704E-3</v>
      </c>
      <c r="R217">
        <v>0.85535112323216123</v>
      </c>
      <c r="S217">
        <f t="shared" si="114"/>
        <v>7.5442426352220347E-4</v>
      </c>
      <c r="T217">
        <f t="shared" ref="T217:T236" si="125">AVERAGE(R$217:R$238)</f>
        <v>0.76251651476865601</v>
      </c>
      <c r="U217">
        <v>7.0355718463380101E-3</v>
      </c>
      <c r="V217">
        <v>0.1446488767678388</v>
      </c>
      <c r="W217" s="23">
        <f t="shared" ref="W217:W284" si="126">(V217*(1-V217))/(D217-1)</f>
        <v>7.5442426352220358E-4</v>
      </c>
      <c r="X217">
        <f t="shared" ref="X217:X236" si="127">AVERAGE(V$212:V$214,V$217:V$238)</f>
        <v>0.23748348523134402</v>
      </c>
      <c r="Y217">
        <v>7.0320678985343298E-3</v>
      </c>
      <c r="AB217">
        <f t="shared" ref="AB217:AB236" si="128">AVERAGE(Z$223:Z$235,Z$237:Z$238)</f>
        <v>0.63748793955950023</v>
      </c>
      <c r="AC217">
        <v>8.5468492514507895E-3</v>
      </c>
      <c r="AD217">
        <v>0.90604970881480662</v>
      </c>
      <c r="AE217">
        <f t="shared" ref="AE217:AE241" si="129">(AD217*(1-AD217))/(G217-1)</f>
        <v>6.2134039395190339E-4</v>
      </c>
      <c r="AF217">
        <f t="shared" ref="AF217:AF236" si="130">AVERAGE(AD$217:AD$238)</f>
        <v>0.88015223580396551</v>
      </c>
      <c r="AG217">
        <v>3.1499068300979501E-3</v>
      </c>
    </row>
    <row r="218" spans="1:33" hidden="1" x14ac:dyDescent="0.3">
      <c r="A218">
        <v>1999</v>
      </c>
      <c r="B218" t="s">
        <v>11</v>
      </c>
      <c r="C218" t="s">
        <v>14</v>
      </c>
      <c r="D218">
        <f t="shared" si="109"/>
        <v>151</v>
      </c>
      <c r="E218">
        <v>20</v>
      </c>
      <c r="F218">
        <v>99</v>
      </c>
      <c r="G218">
        <v>105</v>
      </c>
      <c r="H218">
        <v>46</v>
      </c>
      <c r="I218">
        <f t="shared" si="122"/>
        <v>26</v>
      </c>
      <c r="J218">
        <v>0.21533812815629222</v>
      </c>
      <c r="K218">
        <f t="shared" si="110"/>
        <v>1.1264507914562432E-3</v>
      </c>
      <c r="L218">
        <f t="shared" si="123"/>
        <v>0.15272541602382386</v>
      </c>
      <c r="M218">
        <v>4.2580457185629498E-3</v>
      </c>
      <c r="N218">
        <v>0.57976282898091436</v>
      </c>
      <c r="O218">
        <f t="shared" si="112"/>
        <v>1.6242526074197428E-3</v>
      </c>
      <c r="P218">
        <f t="shared" si="124"/>
        <v>0.67107473992473143</v>
      </c>
      <c r="Q218">
        <v>7.2564057040004704E-3</v>
      </c>
      <c r="R218">
        <v>0.61333272027507446</v>
      </c>
      <c r="S218">
        <f t="shared" si="114"/>
        <v>1.5810379634336781E-3</v>
      </c>
      <c r="T218">
        <f t="shared" si="125"/>
        <v>0.76251651476865601</v>
      </c>
      <c r="U218">
        <v>7.0355718463380101E-3</v>
      </c>
      <c r="V218">
        <v>0.38666727972492559</v>
      </c>
      <c r="W218" s="23">
        <f t="shared" si="126"/>
        <v>1.5810379634336783E-3</v>
      </c>
      <c r="X218">
        <f t="shared" si="127"/>
        <v>0.23748348523134402</v>
      </c>
      <c r="Y218">
        <v>7.0320678985343298E-3</v>
      </c>
      <c r="AB218">
        <f t="shared" si="128"/>
        <v>0.63748793955950023</v>
      </c>
      <c r="AC218">
        <v>8.5468492514507895E-3</v>
      </c>
      <c r="AD218">
        <v>0.94526642687658291</v>
      </c>
      <c r="AE218">
        <f t="shared" si="129"/>
        <v>4.974789336207754E-4</v>
      </c>
      <c r="AF218">
        <f t="shared" si="130"/>
        <v>0.88015223580396551</v>
      </c>
      <c r="AG218">
        <v>3.1499068300979501E-3</v>
      </c>
    </row>
    <row r="219" spans="1:33" hidden="1" x14ac:dyDescent="0.3">
      <c r="A219">
        <v>2000</v>
      </c>
      <c r="B219" t="s">
        <v>11</v>
      </c>
      <c r="C219" t="s">
        <v>14</v>
      </c>
      <c r="D219">
        <f t="shared" si="109"/>
        <v>136</v>
      </c>
      <c r="E219">
        <v>10</v>
      </c>
      <c r="F219">
        <v>101</v>
      </c>
      <c r="G219">
        <v>112</v>
      </c>
      <c r="H219">
        <v>24</v>
      </c>
      <c r="I219">
        <f t="shared" si="122"/>
        <v>14</v>
      </c>
      <c r="J219">
        <v>7.3529411764705885E-2</v>
      </c>
      <c r="K219">
        <f t="shared" si="110"/>
        <v>5.046136101499424E-4</v>
      </c>
      <c r="L219">
        <f t="shared" si="123"/>
        <v>0.15272541602382386</v>
      </c>
      <c r="M219">
        <v>4.2580457185629498E-3</v>
      </c>
      <c r="N219">
        <v>0.74264705882352933</v>
      </c>
      <c r="O219">
        <f t="shared" si="112"/>
        <v>1.4157215173651162E-3</v>
      </c>
      <c r="P219">
        <f t="shared" si="124"/>
        <v>0.67107473992473143</v>
      </c>
      <c r="Q219">
        <v>7.2564057040004704E-3</v>
      </c>
      <c r="R219">
        <v>0.82352941176470584</v>
      </c>
      <c r="S219">
        <f t="shared" si="114"/>
        <v>1.0765090349865438E-3</v>
      </c>
      <c r="T219">
        <f t="shared" si="125"/>
        <v>0.76251651476865601</v>
      </c>
      <c r="U219">
        <v>7.0355718463380101E-3</v>
      </c>
      <c r="V219">
        <v>0.17647058823529413</v>
      </c>
      <c r="W219" s="23">
        <f t="shared" si="126"/>
        <v>1.0765090349865436E-3</v>
      </c>
      <c r="X219">
        <f t="shared" si="127"/>
        <v>0.23748348523134402</v>
      </c>
      <c r="Y219">
        <v>7.0320678985343298E-3</v>
      </c>
      <c r="AB219">
        <f t="shared" si="128"/>
        <v>0.63748793955950023</v>
      </c>
      <c r="AC219">
        <v>8.5468492514507895E-3</v>
      </c>
      <c r="AD219">
        <v>0.90178571428571419</v>
      </c>
      <c r="AE219">
        <f t="shared" si="129"/>
        <v>7.9791207023349959E-4</v>
      </c>
      <c r="AF219">
        <f t="shared" si="130"/>
        <v>0.88015223580396551</v>
      </c>
      <c r="AG219">
        <v>3.1499068300979501E-3</v>
      </c>
    </row>
    <row r="220" spans="1:33" hidden="1" x14ac:dyDescent="0.3">
      <c r="A220">
        <v>2001</v>
      </c>
      <c r="B220" t="s">
        <v>11</v>
      </c>
      <c r="C220" t="s">
        <v>14</v>
      </c>
      <c r="D220">
        <f t="shared" si="109"/>
        <v>166</v>
      </c>
      <c r="E220">
        <v>32</v>
      </c>
      <c r="F220">
        <v>122</v>
      </c>
      <c r="G220">
        <v>130</v>
      </c>
      <c r="H220">
        <v>36</v>
      </c>
      <c r="I220">
        <f t="shared" si="122"/>
        <v>4</v>
      </c>
      <c r="J220">
        <v>0.19277108433734941</v>
      </c>
      <c r="K220">
        <f t="shared" si="110"/>
        <v>9.4309329321667847E-4</v>
      </c>
      <c r="L220">
        <f t="shared" si="123"/>
        <v>0.15272541602382386</v>
      </c>
      <c r="M220">
        <v>4.2580457185629498E-3</v>
      </c>
      <c r="N220">
        <v>0.7349397590361445</v>
      </c>
      <c r="O220">
        <f t="shared" si="112"/>
        <v>1.1806261189335658E-3</v>
      </c>
      <c r="P220">
        <f t="shared" si="124"/>
        <v>0.67107473992473143</v>
      </c>
      <c r="Q220">
        <v>7.2564057040004704E-3</v>
      </c>
      <c r="R220">
        <v>0.7831325301204819</v>
      </c>
      <c r="S220">
        <f t="shared" si="114"/>
        <v>1.0293089114398449E-3</v>
      </c>
      <c r="T220">
        <f t="shared" si="125"/>
        <v>0.76251651476865601</v>
      </c>
      <c r="U220">
        <v>7.0355718463380101E-3</v>
      </c>
      <c r="V220">
        <v>0.21686746987951808</v>
      </c>
      <c r="W220" s="23">
        <f t="shared" si="126"/>
        <v>1.0293089114398449E-3</v>
      </c>
      <c r="X220">
        <f t="shared" si="127"/>
        <v>0.23748348523134402</v>
      </c>
      <c r="Y220">
        <v>7.0320678985343298E-3</v>
      </c>
      <c r="AB220">
        <f t="shared" si="128"/>
        <v>0.63748793955950023</v>
      </c>
      <c r="AC220">
        <v>8.5468492514507895E-3</v>
      </c>
      <c r="AD220">
        <v>0.93846153846153846</v>
      </c>
      <c r="AE220">
        <f t="shared" si="129"/>
        <v>4.4768588596853358E-4</v>
      </c>
      <c r="AF220">
        <f t="shared" si="130"/>
        <v>0.88015223580396551</v>
      </c>
      <c r="AG220">
        <v>3.1499068300979501E-3</v>
      </c>
    </row>
    <row r="221" spans="1:33" hidden="1" x14ac:dyDescent="0.3">
      <c r="A221">
        <v>2002</v>
      </c>
      <c r="B221" t="s">
        <v>11</v>
      </c>
      <c r="C221" t="s">
        <v>14</v>
      </c>
      <c r="D221">
        <f t="shared" si="109"/>
        <v>279</v>
      </c>
      <c r="E221">
        <v>17</v>
      </c>
      <c r="F221">
        <v>221</v>
      </c>
      <c r="G221">
        <v>251</v>
      </c>
      <c r="H221">
        <v>28</v>
      </c>
      <c r="I221">
        <f t="shared" si="122"/>
        <v>11</v>
      </c>
      <c r="J221">
        <v>7.1059059004442718E-2</v>
      </c>
      <c r="K221">
        <f t="shared" si="110"/>
        <v>2.3744485301383395E-4</v>
      </c>
      <c r="L221">
        <f t="shared" si="123"/>
        <v>0.15272541602382386</v>
      </c>
      <c r="M221">
        <v>4.2580457185629498E-3</v>
      </c>
      <c r="N221">
        <v>0.75615469726388551</v>
      </c>
      <c r="O221">
        <f t="shared" si="112"/>
        <v>6.6325457219297535E-4</v>
      </c>
      <c r="P221">
        <f t="shared" si="124"/>
        <v>0.67107473992473143</v>
      </c>
      <c r="Q221">
        <v>7.2564057040004704E-3</v>
      </c>
      <c r="R221">
        <v>0.89329064661303303</v>
      </c>
      <c r="S221">
        <f>(R221*(1-R221))/($D221-1)</f>
        <v>3.4288657297374954E-4</v>
      </c>
      <c r="T221">
        <f t="shared" si="125"/>
        <v>0.76251651476865601</v>
      </c>
      <c r="U221">
        <v>7.0355718463380101E-3</v>
      </c>
      <c r="V221">
        <v>0.1067093533869669</v>
      </c>
      <c r="W221" s="23">
        <f t="shared" si="126"/>
        <v>3.4288657297374938E-4</v>
      </c>
      <c r="X221">
        <f t="shared" si="127"/>
        <v>0.23748348523134402</v>
      </c>
      <c r="Y221">
        <v>7.0320678985343298E-3</v>
      </c>
      <c r="AB221">
        <f t="shared" si="128"/>
        <v>0.63748793955950023</v>
      </c>
      <c r="AC221">
        <v>8.5468492514507895E-3</v>
      </c>
      <c r="AD221">
        <v>0.84648227330140879</v>
      </c>
      <c r="AE221">
        <f t="shared" si="129"/>
        <v>5.1980013715155146E-4</v>
      </c>
      <c r="AF221">
        <f t="shared" si="130"/>
        <v>0.88015223580396551</v>
      </c>
      <c r="AG221">
        <v>3.1499068300979501E-3</v>
      </c>
    </row>
    <row r="222" spans="1:33" hidden="1" x14ac:dyDescent="0.3">
      <c r="A222">
        <v>2003</v>
      </c>
      <c r="B222" t="s">
        <v>11</v>
      </c>
      <c r="C222" t="s">
        <v>14</v>
      </c>
      <c r="D222">
        <f t="shared" si="109"/>
        <v>307</v>
      </c>
      <c r="E222">
        <v>35</v>
      </c>
      <c r="F222">
        <v>245</v>
      </c>
      <c r="G222">
        <v>269</v>
      </c>
      <c r="H222">
        <v>38</v>
      </c>
      <c r="I222">
        <f t="shared" si="122"/>
        <v>3</v>
      </c>
      <c r="J222">
        <v>0.11332139949284188</v>
      </c>
      <c r="K222">
        <f t="shared" si="110"/>
        <v>3.2836490166609681E-4</v>
      </c>
      <c r="L222">
        <f t="shared" si="123"/>
        <v>0.15272541602382386</v>
      </c>
      <c r="M222">
        <v>4.2580457185629498E-3</v>
      </c>
      <c r="N222">
        <v>0.80010162442424526</v>
      </c>
      <c r="O222">
        <f t="shared" si="112"/>
        <v>5.2267651966643545E-4</v>
      </c>
      <c r="P222">
        <f t="shared" si="124"/>
        <v>0.67107473992473143</v>
      </c>
      <c r="Q222">
        <v>7.2564057040004704E-3</v>
      </c>
      <c r="R222">
        <v>0.8772204273929638</v>
      </c>
      <c r="S222">
        <f t="shared" si="114"/>
        <v>3.5197630443617559E-4</v>
      </c>
      <c r="T222">
        <f t="shared" si="125"/>
        <v>0.76251651476865601</v>
      </c>
      <c r="U222">
        <v>7.0355718463380101E-3</v>
      </c>
      <c r="V222">
        <v>0.12277957260703601</v>
      </c>
      <c r="W222" s="23">
        <f t="shared" si="126"/>
        <v>3.519763044361751E-4</v>
      </c>
      <c r="X222">
        <f t="shared" si="127"/>
        <v>0.23748348523134402</v>
      </c>
      <c r="Y222">
        <v>7.0320678985343298E-3</v>
      </c>
      <c r="AB222">
        <f t="shared" si="128"/>
        <v>0.63748793955950023</v>
      </c>
      <c r="AC222">
        <v>8.5468492514507895E-3</v>
      </c>
      <c r="AD222">
        <v>0.91208731515987362</v>
      </c>
      <c r="AE222">
        <f t="shared" si="129"/>
        <v>2.9919419658330966E-4</v>
      </c>
      <c r="AF222">
        <f t="shared" si="130"/>
        <v>0.88015223580396551</v>
      </c>
      <c r="AG222">
        <v>3.1499068300979501E-3</v>
      </c>
    </row>
    <row r="223" spans="1:33" hidden="1" x14ac:dyDescent="0.3">
      <c r="A223">
        <v>2004</v>
      </c>
      <c r="B223" t="s">
        <v>11</v>
      </c>
      <c r="C223" t="s">
        <v>14</v>
      </c>
      <c r="D223">
        <f t="shared" si="109"/>
        <v>440</v>
      </c>
      <c r="E223">
        <v>82</v>
      </c>
      <c r="F223">
        <v>303</v>
      </c>
      <c r="G223">
        <v>328</v>
      </c>
      <c r="H223">
        <v>112</v>
      </c>
      <c r="I223">
        <f t="shared" si="122"/>
        <v>30</v>
      </c>
      <c r="J223">
        <v>0.16740344126895815</v>
      </c>
      <c r="K223">
        <f t="shared" si="110"/>
        <v>3.1749323262020187E-4</v>
      </c>
      <c r="L223">
        <f t="shared" si="123"/>
        <v>0.15272541602382386</v>
      </c>
      <c r="M223">
        <v>4.2580457185629498E-3</v>
      </c>
      <c r="N223">
        <v>0.72031376275796</v>
      </c>
      <c r="O223">
        <f t="shared" si="112"/>
        <v>4.5891081079596654E-4</v>
      </c>
      <c r="P223">
        <f t="shared" si="124"/>
        <v>0.67107473992473143</v>
      </c>
      <c r="Q223">
        <v>7.2564057040004704E-3</v>
      </c>
      <c r="R223">
        <v>0.77135139729117908</v>
      </c>
      <c r="S223">
        <f t="shared" si="114"/>
        <v>4.0175038539436148E-4</v>
      </c>
      <c r="T223">
        <f t="shared" si="125"/>
        <v>0.76251651476865601</v>
      </c>
      <c r="U223">
        <v>7.0355718463380101E-3</v>
      </c>
      <c r="V223">
        <v>0.2286486027088209</v>
      </c>
      <c r="W223" s="23">
        <f t="shared" si="126"/>
        <v>4.0175038539436148E-4</v>
      </c>
      <c r="X223">
        <f t="shared" si="127"/>
        <v>0.23748348523134402</v>
      </c>
      <c r="Y223">
        <v>7.0320678985343298E-3</v>
      </c>
      <c r="Z223">
        <v>0.7321428571428571</v>
      </c>
      <c r="AA223">
        <f t="shared" ref="AA223:AA239" si="131">(Z223*(1-Z223))/(H223-1)</f>
        <v>1.7667539988968561E-3</v>
      </c>
      <c r="AB223">
        <f t="shared" si="128"/>
        <v>0.63748793955950023</v>
      </c>
      <c r="AC223">
        <v>8.5468492514507895E-3</v>
      </c>
      <c r="AD223">
        <v>0.93383348404831801</v>
      </c>
      <c r="AE223">
        <f t="shared" si="129"/>
        <v>1.8895568231956517E-4</v>
      </c>
      <c r="AF223">
        <f t="shared" si="130"/>
        <v>0.88015223580396551</v>
      </c>
      <c r="AG223">
        <v>3.1499068300979501E-3</v>
      </c>
    </row>
    <row r="224" spans="1:33" hidden="1" x14ac:dyDescent="0.3">
      <c r="A224">
        <v>2005</v>
      </c>
      <c r="B224" t="s">
        <v>11</v>
      </c>
      <c r="C224" t="s">
        <v>14</v>
      </c>
      <c r="D224">
        <f t="shared" si="109"/>
        <v>244</v>
      </c>
      <c r="E224">
        <v>37</v>
      </c>
      <c r="F224">
        <v>148</v>
      </c>
      <c r="G224">
        <v>173</v>
      </c>
      <c r="H224">
        <v>71</v>
      </c>
      <c r="I224">
        <f t="shared" si="122"/>
        <v>34</v>
      </c>
      <c r="J224">
        <v>0.12879740039814302</v>
      </c>
      <c r="K224">
        <f t="shared" si="110"/>
        <v>4.6176390966594014E-4</v>
      </c>
      <c r="L224">
        <f t="shared" si="123"/>
        <v>0.15272541602382386</v>
      </c>
      <c r="M224">
        <v>4.2580457185629498E-3</v>
      </c>
      <c r="N224">
        <v>0.65745444115488849</v>
      </c>
      <c r="O224">
        <f t="shared" si="112"/>
        <v>9.2678230024938993E-4</v>
      </c>
      <c r="P224">
        <f t="shared" si="124"/>
        <v>0.67107473992473143</v>
      </c>
      <c r="Q224">
        <v>7.2564057040004704E-3</v>
      </c>
      <c r="R224">
        <v>0.75284823166842829</v>
      </c>
      <c r="S224">
        <f t="shared" si="114"/>
        <v>7.6571099482365765E-4</v>
      </c>
      <c r="T224">
        <f t="shared" si="125"/>
        <v>0.76251651476865601</v>
      </c>
      <c r="U224">
        <v>7.0355718463380101E-3</v>
      </c>
      <c r="V224">
        <v>0.24715176833157174</v>
      </c>
      <c r="W224" s="23">
        <f t="shared" si="126"/>
        <v>7.6571099482365776E-4</v>
      </c>
      <c r="X224">
        <f t="shared" si="127"/>
        <v>0.23748348523134402</v>
      </c>
      <c r="Y224">
        <v>7.0320678985343298E-3</v>
      </c>
      <c r="Z224">
        <v>0.52112676056338025</v>
      </c>
      <c r="AA224">
        <f t="shared" si="131"/>
        <v>3.5650522855442518E-3</v>
      </c>
      <c r="AB224">
        <f t="shared" si="128"/>
        <v>0.63748793955950023</v>
      </c>
      <c r="AC224">
        <v>8.5468492514507895E-3</v>
      </c>
      <c r="AD224">
        <v>0.87328948053430056</v>
      </c>
      <c r="AE224">
        <f t="shared" si="129"/>
        <v>6.433428123397213E-4</v>
      </c>
      <c r="AF224">
        <f t="shared" si="130"/>
        <v>0.88015223580396551</v>
      </c>
      <c r="AG224">
        <v>3.1499068300979501E-3</v>
      </c>
    </row>
    <row r="225" spans="1:33" hidden="1" x14ac:dyDescent="0.3">
      <c r="A225">
        <v>2006</v>
      </c>
      <c r="B225" t="s">
        <v>11</v>
      </c>
      <c r="C225" t="s">
        <v>14</v>
      </c>
      <c r="D225">
        <f t="shared" si="109"/>
        <v>312</v>
      </c>
      <c r="E225">
        <v>56</v>
      </c>
      <c r="F225">
        <v>198</v>
      </c>
      <c r="G225">
        <v>217</v>
      </c>
      <c r="H225">
        <v>95</v>
      </c>
      <c r="I225">
        <f t="shared" si="122"/>
        <v>39</v>
      </c>
      <c r="J225">
        <v>0.18718154576866511</v>
      </c>
      <c r="K225">
        <f t="shared" si="110"/>
        <v>4.8921097971806504E-4</v>
      </c>
      <c r="L225">
        <f t="shared" si="123"/>
        <v>0.15272541602382386</v>
      </c>
      <c r="M225">
        <v>4.2580457185629498E-3</v>
      </c>
      <c r="N225">
        <v>0.59946612046587089</v>
      </c>
      <c r="O225">
        <f t="shared" si="112"/>
        <v>7.7204659446774551E-4</v>
      </c>
      <c r="P225">
        <f t="shared" si="124"/>
        <v>0.67107473992473143</v>
      </c>
      <c r="Q225">
        <v>7.2564057040004704E-3</v>
      </c>
      <c r="R225">
        <v>0.69463846070810631</v>
      </c>
      <c r="S225">
        <f t="shared" si="114"/>
        <v>6.8204459682694196E-4</v>
      </c>
      <c r="T225">
        <f t="shared" si="125"/>
        <v>0.76251651476865601</v>
      </c>
      <c r="U225">
        <v>7.0355718463380101E-3</v>
      </c>
      <c r="V225">
        <v>0.3053615392918938</v>
      </c>
      <c r="W225" s="23">
        <f t="shared" si="126"/>
        <v>6.8204459682694207E-4</v>
      </c>
      <c r="X225">
        <f t="shared" si="127"/>
        <v>0.23748348523134402</v>
      </c>
      <c r="Y225">
        <v>7.0320678985343298E-3</v>
      </c>
      <c r="Z225">
        <v>0.61298337113024259</v>
      </c>
      <c r="AA225">
        <f t="shared" si="131"/>
        <v>2.5237740196600625E-3</v>
      </c>
      <c r="AB225">
        <f t="shared" si="128"/>
        <v>0.63748793955950023</v>
      </c>
      <c r="AC225">
        <v>8.5468492514507895E-3</v>
      </c>
      <c r="AD225">
        <v>0.86299010834324108</v>
      </c>
      <c r="AE225">
        <f t="shared" si="129"/>
        <v>5.4739898724519493E-4</v>
      </c>
      <c r="AF225">
        <f t="shared" si="130"/>
        <v>0.88015223580396551</v>
      </c>
      <c r="AG225">
        <v>3.1499068300979501E-3</v>
      </c>
    </row>
    <row r="226" spans="1:33" hidden="1" x14ac:dyDescent="0.3">
      <c r="A226">
        <v>2007</v>
      </c>
      <c r="B226" t="s">
        <v>11</v>
      </c>
      <c r="C226" t="s">
        <v>14</v>
      </c>
      <c r="D226">
        <f t="shared" si="109"/>
        <v>256</v>
      </c>
      <c r="E226">
        <v>30</v>
      </c>
      <c r="F226">
        <v>177</v>
      </c>
      <c r="G226">
        <v>203</v>
      </c>
      <c r="H226">
        <v>53</v>
      </c>
      <c r="I226">
        <f t="shared" si="122"/>
        <v>23</v>
      </c>
      <c r="J226">
        <v>0.12863669981949552</v>
      </c>
      <c r="K226">
        <f t="shared" si="110"/>
        <v>4.3956587952566475E-4</v>
      </c>
      <c r="L226">
        <f t="shared" si="123"/>
        <v>0.15272541602382386</v>
      </c>
      <c r="M226">
        <v>4.2580457185629498E-3</v>
      </c>
      <c r="N226">
        <v>0.69551280557031991</v>
      </c>
      <c r="O226">
        <f t="shared" si="112"/>
        <v>8.3048918767851879E-4</v>
      </c>
      <c r="P226">
        <f t="shared" si="124"/>
        <v>0.67107473992473143</v>
      </c>
      <c r="Q226">
        <v>7.2564057040004704E-3</v>
      </c>
      <c r="R226">
        <v>0.78882123128184645</v>
      </c>
      <c r="S226">
        <f t="shared" si="114"/>
        <v>6.5326390729740448E-4</v>
      </c>
      <c r="T226">
        <f t="shared" si="125"/>
        <v>0.76251651476865601</v>
      </c>
      <c r="U226">
        <v>7.0355718463380101E-3</v>
      </c>
      <c r="V226">
        <v>0.21117876871815358</v>
      </c>
      <c r="W226" s="23">
        <f t="shared" si="126"/>
        <v>6.5326390729740459E-4</v>
      </c>
      <c r="X226">
        <f t="shared" si="127"/>
        <v>0.23748348523134402</v>
      </c>
      <c r="Y226">
        <v>7.0320678985343298E-3</v>
      </c>
      <c r="Z226">
        <v>0.60913651784369705</v>
      </c>
      <c r="AA226">
        <f t="shared" si="131"/>
        <v>4.5786388552490846E-3</v>
      </c>
      <c r="AB226">
        <f t="shared" si="128"/>
        <v>0.63748793955950023</v>
      </c>
      <c r="AC226">
        <v>8.5468492514507895E-3</v>
      </c>
      <c r="AD226">
        <v>0.88171156909671544</v>
      </c>
      <c r="AE226">
        <f t="shared" si="129"/>
        <v>5.1631820800853183E-4</v>
      </c>
      <c r="AF226">
        <f t="shared" si="130"/>
        <v>0.88015223580396551</v>
      </c>
      <c r="AG226">
        <v>3.1499068300979501E-3</v>
      </c>
    </row>
    <row r="227" spans="1:33" hidden="1" x14ac:dyDescent="0.3">
      <c r="A227">
        <v>2008</v>
      </c>
      <c r="B227" t="s">
        <v>11</v>
      </c>
      <c r="C227" t="s">
        <v>14</v>
      </c>
      <c r="D227">
        <f t="shared" si="109"/>
        <v>219</v>
      </c>
      <c r="E227">
        <v>28</v>
      </c>
      <c r="F227">
        <v>152</v>
      </c>
      <c r="G227">
        <v>167</v>
      </c>
      <c r="H227">
        <v>52</v>
      </c>
      <c r="I227">
        <f t="shared" si="122"/>
        <v>24</v>
      </c>
      <c r="J227">
        <v>0.12785388127853881</v>
      </c>
      <c r="K227">
        <f t="shared" si="110"/>
        <v>5.115012216539087E-4</v>
      </c>
      <c r="L227">
        <f t="shared" si="123"/>
        <v>0.15272541602382386</v>
      </c>
      <c r="M227">
        <v>4.2580457185629498E-3</v>
      </c>
      <c r="N227">
        <v>0.69406392694063912</v>
      </c>
      <c r="O227">
        <f t="shared" si="112"/>
        <v>9.7403299202008392E-4</v>
      </c>
      <c r="P227">
        <f t="shared" si="124"/>
        <v>0.67107473992473143</v>
      </c>
      <c r="Q227">
        <v>7.2564057040004704E-3</v>
      </c>
      <c r="R227">
        <v>0.76255707762557079</v>
      </c>
      <c r="S227">
        <f t="shared" si="114"/>
        <v>8.305678027005505E-4</v>
      </c>
      <c r="T227">
        <f t="shared" si="125"/>
        <v>0.76251651476865601</v>
      </c>
      <c r="U227">
        <v>7.0355718463380101E-3</v>
      </c>
      <c r="V227">
        <v>0.23744292237442921</v>
      </c>
      <c r="W227" s="23">
        <f t="shared" si="126"/>
        <v>8.305678027005505E-4</v>
      </c>
      <c r="X227">
        <f t="shared" si="127"/>
        <v>0.23748348523134402</v>
      </c>
      <c r="Y227">
        <v>7.0320678985343298E-3</v>
      </c>
      <c r="Z227">
        <v>0.53846153846153855</v>
      </c>
      <c r="AA227">
        <f t="shared" si="131"/>
        <v>4.8729550991994429E-3</v>
      </c>
      <c r="AB227">
        <f t="shared" si="128"/>
        <v>0.63748793955950023</v>
      </c>
      <c r="AC227">
        <v>8.5468492514507895E-3</v>
      </c>
      <c r="AD227">
        <v>0.91017964071856272</v>
      </c>
      <c r="AE227">
        <f t="shared" si="129"/>
        <v>4.9248591771078798E-4</v>
      </c>
      <c r="AF227">
        <f t="shared" si="130"/>
        <v>0.88015223580396551</v>
      </c>
      <c r="AG227">
        <v>3.1499068300979501E-3</v>
      </c>
    </row>
    <row r="228" spans="1:33" hidden="1" x14ac:dyDescent="0.3">
      <c r="A228">
        <v>2009</v>
      </c>
      <c r="B228" t="s">
        <v>11</v>
      </c>
      <c r="C228" t="s">
        <v>14</v>
      </c>
      <c r="D228">
        <f t="shared" si="109"/>
        <v>554</v>
      </c>
      <c r="E228">
        <v>41</v>
      </c>
      <c r="F228">
        <v>401</v>
      </c>
      <c r="G228">
        <v>453</v>
      </c>
      <c r="H228">
        <v>101</v>
      </c>
      <c r="I228">
        <f t="shared" si="122"/>
        <v>60</v>
      </c>
      <c r="J228">
        <v>0.10645800760685657</v>
      </c>
      <c r="K228">
        <f t="shared" si="110"/>
        <v>1.7201573277257694E-4</v>
      </c>
      <c r="L228">
        <f t="shared" si="123"/>
        <v>0.15272541602382386</v>
      </c>
      <c r="M228">
        <v>4.2580457185629498E-3</v>
      </c>
      <c r="N228">
        <v>0.67383496125430198</v>
      </c>
      <c r="O228">
        <f t="shared" si="112"/>
        <v>3.9743473100491014E-4</v>
      </c>
      <c r="P228">
        <f t="shared" si="124"/>
        <v>0.67107473992473143</v>
      </c>
      <c r="Q228">
        <v>7.2564057040004704E-3</v>
      </c>
      <c r="R228">
        <v>0.80324131382511221</v>
      </c>
      <c r="S228">
        <f t="shared" si="114"/>
        <v>2.8579512764849874E-4</v>
      </c>
      <c r="T228">
        <f t="shared" si="125"/>
        <v>0.76251651476865601</v>
      </c>
      <c r="U228">
        <v>7.0355718463380101E-3</v>
      </c>
      <c r="V228">
        <v>0.19675868617488779</v>
      </c>
      <c r="W228" s="23">
        <f t="shared" si="126"/>
        <v>2.8579512764849874E-4</v>
      </c>
      <c r="X228">
        <f t="shared" si="127"/>
        <v>0.23748348523134402</v>
      </c>
      <c r="Y228">
        <v>7.0320678985343298E-3</v>
      </c>
      <c r="Z228">
        <v>0.54105874396941245</v>
      </c>
      <c r="AA228">
        <f t="shared" si="131"/>
        <v>2.4831417954365425E-3</v>
      </c>
      <c r="AB228">
        <f t="shared" si="128"/>
        <v>0.63748793955950023</v>
      </c>
      <c r="AC228">
        <v>8.5468492514507895E-3</v>
      </c>
      <c r="AD228">
        <v>0.83889479992685534</v>
      </c>
      <c r="AE228">
        <f t="shared" si="129"/>
        <v>2.990051207578245E-4</v>
      </c>
      <c r="AF228">
        <f t="shared" si="130"/>
        <v>0.88015223580396551</v>
      </c>
      <c r="AG228">
        <v>3.1499068300979501E-3</v>
      </c>
    </row>
    <row r="229" spans="1:33" hidden="1" x14ac:dyDescent="0.3">
      <c r="A229">
        <v>2010</v>
      </c>
      <c r="B229" t="s">
        <v>11</v>
      </c>
      <c r="C229" t="s">
        <v>14</v>
      </c>
      <c r="D229">
        <f t="shared" si="109"/>
        <v>546</v>
      </c>
      <c r="E229">
        <v>68</v>
      </c>
      <c r="F229">
        <v>365</v>
      </c>
      <c r="G229">
        <v>414</v>
      </c>
      <c r="H229">
        <v>132</v>
      </c>
      <c r="I229">
        <f t="shared" si="122"/>
        <v>64</v>
      </c>
      <c r="J229">
        <v>0.11366130928480846</v>
      </c>
      <c r="K229">
        <f t="shared" si="110"/>
        <v>1.8484846982838821E-4</v>
      </c>
      <c r="L229">
        <f t="shared" si="123"/>
        <v>0.15272541602382386</v>
      </c>
      <c r="M229">
        <v>4.2580457185629498E-3</v>
      </c>
      <c r="N229">
        <v>0.67617874397392086</v>
      </c>
      <c r="O229">
        <f t="shared" si="112"/>
        <v>4.0176339481059017E-4</v>
      </c>
      <c r="P229">
        <f t="shared" si="124"/>
        <v>0.67107473992473143</v>
      </c>
      <c r="Q229">
        <v>7.2564057040004704E-3</v>
      </c>
      <c r="R229">
        <v>0.77600308902943593</v>
      </c>
      <c r="S229">
        <f t="shared" si="114"/>
        <v>3.1893999054350325E-4</v>
      </c>
      <c r="T229">
        <f t="shared" si="125"/>
        <v>0.76251651476865601</v>
      </c>
      <c r="U229">
        <v>7.0355718463380101E-3</v>
      </c>
      <c r="V229">
        <v>0.22399691097056404</v>
      </c>
      <c r="W229" s="23">
        <f t="shared" si="126"/>
        <v>3.189399905435032E-4</v>
      </c>
      <c r="X229">
        <f t="shared" si="127"/>
        <v>0.23748348523134402</v>
      </c>
      <c r="Y229">
        <v>7.0320678985343298E-3</v>
      </c>
      <c r="Z229">
        <v>0.50742355683532159</v>
      </c>
      <c r="AA229">
        <f t="shared" si="131"/>
        <v>1.9079762656787232E-3</v>
      </c>
      <c r="AB229">
        <f t="shared" si="128"/>
        <v>0.63748793955950023</v>
      </c>
      <c r="AC229">
        <v>8.5468492514507895E-3</v>
      </c>
      <c r="AD229">
        <v>0.87136089215782953</v>
      </c>
      <c r="AE229">
        <f t="shared" si="129"/>
        <v>2.7140699219307723E-4</v>
      </c>
      <c r="AF229">
        <f t="shared" si="130"/>
        <v>0.88015223580396551</v>
      </c>
      <c r="AG229">
        <v>3.1499068300979501E-3</v>
      </c>
    </row>
    <row r="230" spans="1:33" hidden="1" x14ac:dyDescent="0.3">
      <c r="A230">
        <v>2011</v>
      </c>
      <c r="B230" t="s">
        <v>11</v>
      </c>
      <c r="C230" t="s">
        <v>14</v>
      </c>
      <c r="D230">
        <f t="shared" si="109"/>
        <v>387</v>
      </c>
      <c r="E230">
        <v>60</v>
      </c>
      <c r="F230">
        <v>239</v>
      </c>
      <c r="G230">
        <v>268</v>
      </c>
      <c r="H230">
        <v>119</v>
      </c>
      <c r="I230">
        <f t="shared" si="122"/>
        <v>59</v>
      </c>
      <c r="J230">
        <v>0.32414201298390227</v>
      </c>
      <c r="K230">
        <f t="shared" si="110"/>
        <v>5.6754914093949736E-4</v>
      </c>
      <c r="L230">
        <f t="shared" si="123"/>
        <v>0.15272541602382386</v>
      </c>
      <c r="M230">
        <v>4.2580457185629498E-3</v>
      </c>
      <c r="N230">
        <v>0.49397571528087864</v>
      </c>
      <c r="O230">
        <f t="shared" si="112"/>
        <v>6.475743730404741E-4</v>
      </c>
      <c r="P230">
        <f t="shared" si="124"/>
        <v>0.67107473992473143</v>
      </c>
      <c r="Q230">
        <v>7.2564057040004704E-3</v>
      </c>
      <c r="R230">
        <v>0.55391419119362129</v>
      </c>
      <c r="S230">
        <f t="shared" si="114"/>
        <v>6.4013797924336179E-4</v>
      </c>
      <c r="T230">
        <f t="shared" si="125"/>
        <v>0.76251651476865601</v>
      </c>
      <c r="U230">
        <v>7.0355718463380101E-3</v>
      </c>
      <c r="V230">
        <v>0.4460858088063786</v>
      </c>
      <c r="W230" s="23">
        <f t="shared" si="126"/>
        <v>6.4013797924336179E-4</v>
      </c>
      <c r="X230">
        <f t="shared" si="127"/>
        <v>0.23748348523134402</v>
      </c>
      <c r="Y230">
        <v>7.0320678985343298E-3</v>
      </c>
      <c r="Z230">
        <v>0.72663601169297576</v>
      </c>
      <c r="AA230">
        <f t="shared" si="131"/>
        <v>1.6833569339313676E-3</v>
      </c>
      <c r="AB230">
        <f t="shared" si="128"/>
        <v>0.63748793955950023</v>
      </c>
      <c r="AC230">
        <v>8.5468492514507895E-3</v>
      </c>
      <c r="AD230">
        <v>0.89179104477611926</v>
      </c>
      <c r="AE230">
        <f t="shared" si="129"/>
        <v>3.6142238664133675E-4</v>
      </c>
      <c r="AF230">
        <f t="shared" si="130"/>
        <v>0.88015223580396551</v>
      </c>
      <c r="AG230">
        <v>3.1499068300979501E-3</v>
      </c>
    </row>
    <row r="231" spans="1:33" hidden="1" x14ac:dyDescent="0.3">
      <c r="A231">
        <v>2012</v>
      </c>
      <c r="B231" t="s">
        <v>11</v>
      </c>
      <c r="C231" t="s">
        <v>14</v>
      </c>
      <c r="D231">
        <f t="shared" si="109"/>
        <v>522</v>
      </c>
      <c r="E231">
        <v>73</v>
      </c>
      <c r="F231">
        <v>383</v>
      </c>
      <c r="G231">
        <v>404</v>
      </c>
      <c r="H231">
        <v>118</v>
      </c>
      <c r="I231">
        <f t="shared" si="122"/>
        <v>45</v>
      </c>
      <c r="J231">
        <v>0.28974690929594188</v>
      </c>
      <c r="K231">
        <f t="shared" si="110"/>
        <v>3.9499738550746852E-4</v>
      </c>
      <c r="L231">
        <f t="shared" si="123"/>
        <v>0.15272541602382386</v>
      </c>
      <c r="M231">
        <v>4.2580457185629498E-3</v>
      </c>
      <c r="N231">
        <v>0.62068968708476868</v>
      </c>
      <c r="O231">
        <f t="shared" si="112"/>
        <v>4.5188867453240043E-4</v>
      </c>
      <c r="P231">
        <f t="shared" si="124"/>
        <v>0.67107473992473143</v>
      </c>
      <c r="Q231">
        <v>7.2564057040004704E-3</v>
      </c>
      <c r="R231">
        <v>0.64918713369090619</v>
      </c>
      <c r="S231">
        <f t="shared" si="114"/>
        <v>4.3712706169115483E-4</v>
      </c>
      <c r="T231">
        <f t="shared" si="125"/>
        <v>0.76251651476865601</v>
      </c>
      <c r="U231">
        <v>7.0355718463380101E-3</v>
      </c>
      <c r="V231">
        <v>0.35081286630909386</v>
      </c>
      <c r="W231" s="23">
        <f t="shared" si="126"/>
        <v>4.3712706169115483E-4</v>
      </c>
      <c r="X231">
        <f t="shared" si="127"/>
        <v>0.23748348523134402</v>
      </c>
      <c r="Y231">
        <v>7.0320678985343298E-3</v>
      </c>
      <c r="Z231">
        <v>0.8259301101022104</v>
      </c>
      <c r="AA231">
        <f t="shared" si="131"/>
        <v>1.2287996865706068E-3</v>
      </c>
      <c r="AB231">
        <f t="shared" si="128"/>
        <v>0.63748793955950023</v>
      </c>
      <c r="AC231">
        <v>8.5468492514507895E-3</v>
      </c>
      <c r="AD231">
        <v>0.95610287831165508</v>
      </c>
      <c r="AE231">
        <f t="shared" si="129"/>
        <v>1.0414432852561677E-4</v>
      </c>
      <c r="AF231">
        <f t="shared" si="130"/>
        <v>0.88015223580396551</v>
      </c>
      <c r="AG231">
        <v>3.1499068300979501E-3</v>
      </c>
    </row>
    <row r="232" spans="1:33" hidden="1" x14ac:dyDescent="0.3">
      <c r="A232">
        <v>2013</v>
      </c>
      <c r="B232" t="s">
        <v>11</v>
      </c>
      <c r="C232" t="s">
        <v>14</v>
      </c>
      <c r="D232">
        <f t="shared" si="109"/>
        <v>646</v>
      </c>
      <c r="E232">
        <v>67</v>
      </c>
      <c r="F232">
        <v>507</v>
      </c>
      <c r="G232">
        <v>548</v>
      </c>
      <c r="H232">
        <v>98</v>
      </c>
      <c r="I232">
        <f t="shared" si="122"/>
        <v>31</v>
      </c>
      <c r="J232">
        <v>0.10353033597654925</v>
      </c>
      <c r="K232">
        <f t="shared" si="110"/>
        <v>1.4389427210718153E-4</v>
      </c>
      <c r="L232">
        <f t="shared" si="123"/>
        <v>0.15272541602382386</v>
      </c>
      <c r="M232">
        <v>4.2580457185629498E-3</v>
      </c>
      <c r="N232">
        <v>0.78481222758025748</v>
      </c>
      <c r="O232">
        <f t="shared" si="112"/>
        <v>2.6183255041980097E-4</v>
      </c>
      <c r="P232">
        <f t="shared" si="124"/>
        <v>0.67107473992473143</v>
      </c>
      <c r="Q232">
        <v>7.2564057040004704E-3</v>
      </c>
      <c r="R232">
        <v>0.84838058398894434</v>
      </c>
      <c r="S232">
        <f t="shared" si="114"/>
        <v>1.9942785844887146E-4</v>
      </c>
      <c r="T232">
        <f t="shared" si="125"/>
        <v>0.76251651476865601</v>
      </c>
      <c r="U232">
        <v>7.0355718463380101E-3</v>
      </c>
      <c r="V232">
        <v>0.15161941601105575</v>
      </c>
      <c r="W232" s="23">
        <f t="shared" si="126"/>
        <v>1.9942785844887154E-4</v>
      </c>
      <c r="X232">
        <f t="shared" si="127"/>
        <v>0.23748348523134402</v>
      </c>
      <c r="Y232">
        <v>7.0320678985343298E-3</v>
      </c>
      <c r="Z232">
        <v>0.68283033070777732</v>
      </c>
      <c r="AA232">
        <f t="shared" si="131"/>
        <v>2.2327120636421111E-3</v>
      </c>
      <c r="AB232">
        <f t="shared" si="128"/>
        <v>0.63748793955950023</v>
      </c>
      <c r="AC232">
        <v>8.5468492514507895E-3</v>
      </c>
      <c r="AD232">
        <v>0.92507094385658972</v>
      </c>
      <c r="AE232">
        <f t="shared" si="129"/>
        <v>1.267179025390639E-4</v>
      </c>
      <c r="AF232">
        <f t="shared" si="130"/>
        <v>0.88015223580396551</v>
      </c>
      <c r="AG232">
        <v>3.1499068300979501E-3</v>
      </c>
    </row>
    <row r="233" spans="1:33" hidden="1" x14ac:dyDescent="0.3">
      <c r="A233">
        <v>2014</v>
      </c>
      <c r="B233" t="s">
        <v>11</v>
      </c>
      <c r="C233" t="s">
        <v>14</v>
      </c>
      <c r="D233">
        <f t="shared" si="109"/>
        <v>529</v>
      </c>
      <c r="E233">
        <v>75</v>
      </c>
      <c r="F233">
        <v>363</v>
      </c>
      <c r="G233">
        <v>403</v>
      </c>
      <c r="H233">
        <v>126</v>
      </c>
      <c r="I233">
        <f t="shared" si="122"/>
        <v>51</v>
      </c>
      <c r="J233">
        <v>0.14445175143281472</v>
      </c>
      <c r="K233">
        <f t="shared" si="110"/>
        <v>2.3406333890304361E-4</v>
      </c>
      <c r="L233">
        <f t="shared" si="123"/>
        <v>0.15272541602382386</v>
      </c>
      <c r="M233">
        <v>4.2580457185629498E-3</v>
      </c>
      <c r="N233">
        <v>0.67737336182520991</v>
      </c>
      <c r="O233">
        <f t="shared" si="112"/>
        <v>4.1389903506595298E-4</v>
      </c>
      <c r="P233">
        <f t="shared" si="124"/>
        <v>0.67107473992473143</v>
      </c>
      <c r="Q233">
        <v>7.2564057040004704E-3</v>
      </c>
      <c r="R233">
        <v>0.74956969313911082</v>
      </c>
      <c r="S233">
        <f t="shared" si="114"/>
        <v>3.5552077323191303E-4</v>
      </c>
      <c r="T233">
        <f t="shared" si="125"/>
        <v>0.76251651476865601</v>
      </c>
      <c r="U233">
        <v>7.0355718463380101E-3</v>
      </c>
      <c r="V233">
        <v>0.25043030686088918</v>
      </c>
      <c r="W233" s="23">
        <f t="shared" si="126"/>
        <v>3.5552077323191303E-4</v>
      </c>
      <c r="X233">
        <f t="shared" si="127"/>
        <v>0.23748348523134402</v>
      </c>
      <c r="Y233">
        <v>7.0320678985343298E-3</v>
      </c>
      <c r="Z233">
        <v>0.57681417733938967</v>
      </c>
      <c r="AA233">
        <f t="shared" si="131"/>
        <v>1.9527966572773822E-3</v>
      </c>
      <c r="AB233">
        <f t="shared" si="128"/>
        <v>0.63748793955950023</v>
      </c>
      <c r="AC233">
        <v>8.5468492514507895E-3</v>
      </c>
      <c r="AD233">
        <v>0.90368296373943424</v>
      </c>
      <c r="AE233">
        <f t="shared" si="129"/>
        <v>2.1651757409588712E-4</v>
      </c>
      <c r="AF233">
        <f t="shared" si="130"/>
        <v>0.88015223580396551</v>
      </c>
      <c r="AG233">
        <v>3.1499068300979501E-3</v>
      </c>
    </row>
    <row r="234" spans="1:33" hidden="1" x14ac:dyDescent="0.3">
      <c r="A234">
        <v>2015</v>
      </c>
      <c r="B234" t="s">
        <v>11</v>
      </c>
      <c r="C234" t="s">
        <v>14</v>
      </c>
      <c r="D234">
        <f t="shared" ref="D234:D309" si="132">G234+H234</f>
        <v>517</v>
      </c>
      <c r="E234">
        <v>59</v>
      </c>
      <c r="F234">
        <v>376</v>
      </c>
      <c r="G234">
        <v>420</v>
      </c>
      <c r="H234">
        <v>97</v>
      </c>
      <c r="I234">
        <f t="shared" si="122"/>
        <v>38</v>
      </c>
      <c r="J234">
        <v>0.13784825039549661</v>
      </c>
      <c r="K234">
        <f t="shared" si="110"/>
        <v>2.3032191910542067E-4</v>
      </c>
      <c r="L234">
        <f t="shared" si="123"/>
        <v>0.15272541602382386</v>
      </c>
      <c r="M234">
        <v>4.2580457185629498E-3</v>
      </c>
      <c r="N234">
        <v>0.72616414734732759</v>
      </c>
      <c r="O234">
        <f t="shared" si="112"/>
        <v>3.8536778770282225E-4</v>
      </c>
      <c r="P234">
        <f t="shared" si="124"/>
        <v>0.67107473992473143</v>
      </c>
      <c r="Q234">
        <v>7.2564057040004704E-3</v>
      </c>
      <c r="R234">
        <v>0.79665457230252035</v>
      </c>
      <c r="S234">
        <f t="shared" si="114"/>
        <v>3.1394586188373782E-4</v>
      </c>
      <c r="T234">
        <f t="shared" si="125"/>
        <v>0.76251651476865601</v>
      </c>
      <c r="U234">
        <v>7.0355718463380101E-3</v>
      </c>
      <c r="V234">
        <v>0.20334542769747949</v>
      </c>
      <c r="W234" s="23">
        <f t="shared" si="126"/>
        <v>3.139458618837376E-4</v>
      </c>
      <c r="X234">
        <f t="shared" si="127"/>
        <v>0.23748348523134402</v>
      </c>
      <c r="Y234">
        <v>7.0320678985343298E-3</v>
      </c>
      <c r="Z234">
        <v>0.67790189313022475</v>
      </c>
      <c r="AA234">
        <f t="shared" si="131"/>
        <v>2.2744887127154382E-3</v>
      </c>
      <c r="AB234">
        <f t="shared" si="128"/>
        <v>0.63748793955950023</v>
      </c>
      <c r="AC234">
        <v>8.5468492514507895E-3</v>
      </c>
      <c r="AD234">
        <v>0.91151695175556602</v>
      </c>
      <c r="AE234">
        <f t="shared" si="129"/>
        <v>1.9249116567495741E-4</v>
      </c>
      <c r="AF234">
        <f t="shared" si="130"/>
        <v>0.88015223580396551</v>
      </c>
      <c r="AG234">
        <v>3.1499068300979501E-3</v>
      </c>
    </row>
    <row r="235" spans="1:33" hidden="1" x14ac:dyDescent="0.3">
      <c r="A235">
        <v>2016</v>
      </c>
      <c r="B235" t="s">
        <v>11</v>
      </c>
      <c r="C235" t="s">
        <v>14</v>
      </c>
      <c r="D235">
        <f t="shared" si="132"/>
        <v>451</v>
      </c>
      <c r="E235">
        <v>52</v>
      </c>
      <c r="F235">
        <v>306</v>
      </c>
      <c r="G235">
        <v>356</v>
      </c>
      <c r="H235">
        <v>95</v>
      </c>
      <c r="I235">
        <f t="shared" si="122"/>
        <v>43</v>
      </c>
      <c r="J235">
        <v>0.16295138518860583</v>
      </c>
      <c r="K235">
        <f t="shared" si="110"/>
        <v>3.0310718056382322E-4</v>
      </c>
      <c r="L235">
        <f t="shared" si="123"/>
        <v>0.15272541602382386</v>
      </c>
      <c r="M235">
        <v>4.2580457185629498E-3</v>
      </c>
      <c r="N235">
        <v>0.60664232917540351</v>
      </c>
      <c r="O235">
        <f t="shared" si="112"/>
        <v>5.3028314139565527E-4</v>
      </c>
      <c r="P235">
        <f t="shared" si="124"/>
        <v>0.67107473992473143</v>
      </c>
      <c r="Q235">
        <v>7.2564057040004704E-3</v>
      </c>
      <c r="R235">
        <v>0.76630323141535639</v>
      </c>
      <c r="S235">
        <f t="shared" si="114"/>
        <v>3.9796130875053144E-4</v>
      </c>
      <c r="T235">
        <f t="shared" si="125"/>
        <v>0.76251651476865601</v>
      </c>
      <c r="U235">
        <v>7.0355718463380101E-3</v>
      </c>
      <c r="V235">
        <v>0.23369676858464364</v>
      </c>
      <c r="W235" s="23">
        <f t="shared" si="126"/>
        <v>3.9796130875053144E-4</v>
      </c>
      <c r="X235">
        <f t="shared" si="127"/>
        <v>0.23748348523134402</v>
      </c>
      <c r="Y235">
        <v>7.0320678985343298E-3</v>
      </c>
      <c r="Z235">
        <v>0.69727701489199567</v>
      </c>
      <c r="AA235">
        <f t="shared" si="131"/>
        <v>2.2455508446308863E-3</v>
      </c>
      <c r="AB235">
        <f t="shared" si="128"/>
        <v>0.63748793955950023</v>
      </c>
      <c r="AC235">
        <v>8.5468492514507895E-3</v>
      </c>
      <c r="AD235">
        <v>0.7916478807676951</v>
      </c>
      <c r="AE235">
        <f t="shared" si="129"/>
        <v>4.6462398209496422E-4</v>
      </c>
      <c r="AF235">
        <f t="shared" si="130"/>
        <v>0.88015223580396551</v>
      </c>
      <c r="AG235">
        <v>3.1499068300979501E-3</v>
      </c>
    </row>
    <row r="236" spans="1:33" hidden="1" x14ac:dyDescent="0.3">
      <c r="A236">
        <v>2017</v>
      </c>
      <c r="B236" t="s">
        <v>11</v>
      </c>
      <c r="C236" t="s">
        <v>14</v>
      </c>
      <c r="D236">
        <f t="shared" si="132"/>
        <v>213</v>
      </c>
      <c r="E236">
        <v>20</v>
      </c>
      <c r="F236">
        <v>145</v>
      </c>
      <c r="G236">
        <v>173</v>
      </c>
      <c r="H236">
        <v>40</v>
      </c>
      <c r="I236">
        <f t="shared" si="122"/>
        <v>20</v>
      </c>
      <c r="J236">
        <v>9.1523499260338453E-2</v>
      </c>
      <c r="K236">
        <f t="shared" si="110"/>
        <v>3.9220258652585509E-4</v>
      </c>
      <c r="L236">
        <f t="shared" si="123"/>
        <v>0.15272541602382386</v>
      </c>
      <c r="M236">
        <v>4.2580457185629498E-3</v>
      </c>
      <c r="N236">
        <v>0.672333945817843</v>
      </c>
      <c r="O236">
        <f t="shared" si="112"/>
        <v>1.0391557128247772E-3</v>
      </c>
      <c r="P236">
        <f t="shared" si="124"/>
        <v>0.67107473992473143</v>
      </c>
      <c r="Q236">
        <v>7.2564057040004704E-3</v>
      </c>
      <c r="R236">
        <v>0.80846747964998167</v>
      </c>
      <c r="S236">
        <f t="shared" si="114"/>
        <v>7.3041421697352896E-4</v>
      </c>
      <c r="T236">
        <f t="shared" si="125"/>
        <v>0.76251651476865601</v>
      </c>
      <c r="U236">
        <v>7.0355718463380101E-3</v>
      </c>
      <c r="V236">
        <v>0.191532520350018</v>
      </c>
      <c r="W236" s="23">
        <f t="shared" si="126"/>
        <v>7.3041421697352799E-4</v>
      </c>
      <c r="X236">
        <f t="shared" si="127"/>
        <v>0.23748348523134402</v>
      </c>
      <c r="Y236">
        <v>7.0320678985343298E-3</v>
      </c>
      <c r="AB236">
        <f t="shared" si="128"/>
        <v>0.63748793955950023</v>
      </c>
      <c r="AC236">
        <v>8.5468492514507895E-3</v>
      </c>
      <c r="AD236">
        <v>0.83161532497129453</v>
      </c>
      <c r="AE236">
        <f t="shared" si="129"/>
        <v>8.1413532700106231E-4</v>
      </c>
      <c r="AF236">
        <f t="shared" si="130"/>
        <v>0.88015223580396551</v>
      </c>
      <c r="AG236">
        <v>3.1499068300979501E-3</v>
      </c>
    </row>
    <row r="237" spans="1:33" hidden="1" x14ac:dyDescent="0.3">
      <c r="A237">
        <v>2018</v>
      </c>
      <c r="B237" t="s">
        <v>11</v>
      </c>
      <c r="C237" t="s">
        <v>14</v>
      </c>
      <c r="D237">
        <f t="shared" si="132"/>
        <v>366</v>
      </c>
      <c r="E237">
        <v>67</v>
      </c>
      <c r="F237">
        <v>200</v>
      </c>
      <c r="G237">
        <v>256</v>
      </c>
      <c r="H237">
        <v>110</v>
      </c>
      <c r="I237">
        <f t="shared" si="122"/>
        <v>43</v>
      </c>
      <c r="J237">
        <v>0.19034858359101686</v>
      </c>
      <c r="K237">
        <f t="shared" si="110"/>
        <v>4.2223561730386452E-4</v>
      </c>
      <c r="L237">
        <f>AVERAGE(J$217:J$238)</f>
        <v>0.15272541602382386</v>
      </c>
      <c r="M237">
        <v>4.2580457185629498E-3</v>
      </c>
      <c r="N237">
        <v>0.56036244746163821</v>
      </c>
      <c r="O237">
        <f t="shared" si="112"/>
        <v>6.7494897242860539E-4</v>
      </c>
      <c r="P237">
        <f>AVERAGE(N$217:N$238)</f>
        <v>0.67107473992473143</v>
      </c>
      <c r="Q237">
        <v>7.2564057040004704E-3</v>
      </c>
      <c r="R237">
        <v>0.70055786620065896</v>
      </c>
      <c r="S237">
        <f t="shared" si="114"/>
        <v>5.7473025289051665E-4</v>
      </c>
      <c r="T237">
        <f>AVERAGE(R$217:R$238)</f>
        <v>0.76251651476865601</v>
      </c>
      <c r="U237">
        <v>7.0355718463380101E-3</v>
      </c>
      <c r="V237">
        <v>0.29944213379934081</v>
      </c>
      <c r="W237" s="23">
        <f t="shared" si="126"/>
        <v>5.7473025289051633E-4</v>
      </c>
      <c r="X237">
        <f>AVERAGE(V$212:V$214,V$217:V$238)</f>
        <v>0.23748348523134402</v>
      </c>
      <c r="Y237">
        <v>7.0320678985343298E-3</v>
      </c>
      <c r="Z237">
        <v>0.63567735500633094</v>
      </c>
      <c r="AA237">
        <f t="shared" si="131"/>
        <v>2.1246940856741838E-3</v>
      </c>
      <c r="AB237">
        <f>AVERAGE(Z$223:Z$235,Z$237:Z$238)</f>
        <v>0.63748793955950023</v>
      </c>
      <c r="AC237">
        <v>8.5468492514507895E-3</v>
      </c>
      <c r="AD237">
        <v>0.79988031609816379</v>
      </c>
      <c r="AE237">
        <f t="shared" si="129"/>
        <v>6.2773253339947204E-4</v>
      </c>
      <c r="AF237">
        <f>AVERAGE(AD$217:AD$238)</f>
        <v>0.88015223580396551</v>
      </c>
      <c r="AG237">
        <v>3.1499068300979501E-3</v>
      </c>
    </row>
    <row r="238" spans="1:33" hidden="1" x14ac:dyDescent="0.3">
      <c r="A238">
        <v>2019</v>
      </c>
      <c r="B238" t="s">
        <v>11</v>
      </c>
      <c r="C238" t="s">
        <v>14</v>
      </c>
      <c r="D238">
        <f t="shared" si="132"/>
        <v>360</v>
      </c>
      <c r="E238">
        <v>68</v>
      </c>
      <c r="F238">
        <v>192</v>
      </c>
      <c r="G238">
        <v>254</v>
      </c>
      <c r="H238">
        <v>106</v>
      </c>
      <c r="I238">
        <f t="shared" si="122"/>
        <v>38</v>
      </c>
      <c r="J238">
        <v>0.19832983751268479</v>
      </c>
      <c r="K238">
        <f t="shared" si="110"/>
        <v>4.4288332330049259E-4</v>
      </c>
      <c r="L238">
        <f>AVERAGE(J$217:J$238)</f>
        <v>0.15272541602382386</v>
      </c>
      <c r="M238">
        <v>4.2580457185629498E-3</v>
      </c>
      <c r="N238">
        <v>0.51586904998522787</v>
      </c>
      <c r="O238">
        <f t="shared" si="112"/>
        <v>6.9567736282051909E-4</v>
      </c>
      <c r="P238">
        <f>AVERAGE(N$217:N$238)</f>
        <v>0.67107473992473143</v>
      </c>
      <c r="Q238">
        <v>7.2564057040004704E-3</v>
      </c>
      <c r="R238">
        <v>0.70701091250123105</v>
      </c>
      <c r="S238">
        <f t="shared" si="114"/>
        <v>5.7700969945796005E-4</v>
      </c>
      <c r="T238">
        <f>AVERAGE(R$217:R$238)</f>
        <v>0.76251651476865601</v>
      </c>
      <c r="U238">
        <v>7.0355718463380101E-3</v>
      </c>
      <c r="V238">
        <v>0.29298908749876901</v>
      </c>
      <c r="W238" s="23">
        <f t="shared" si="126"/>
        <v>5.7700969945796005E-4</v>
      </c>
      <c r="X238">
        <f>AVERAGE(V$212:V$214,V$217:V$238)</f>
        <v>0.23748348523134402</v>
      </c>
      <c r="Y238">
        <v>7.0320678985343298E-3</v>
      </c>
      <c r="Z238">
        <v>0.67691885457514889</v>
      </c>
      <c r="AA238">
        <f>(Z238*(1-Z238))/(H238-1)</f>
        <v>2.0828544656744507E-3</v>
      </c>
      <c r="AB238">
        <f>AVERAGE(Z$223:Z$235,Z$237:Z$238)</f>
        <v>0.63748793955950023</v>
      </c>
      <c r="AC238">
        <v>8.5468492514507895E-3</v>
      </c>
      <c r="AD238">
        <v>0.72964793168497188</v>
      </c>
      <c r="AE238">
        <f t="shared" si="129"/>
        <v>7.7969101767910861E-4</v>
      </c>
      <c r="AF238">
        <f>AVERAGE(AD$217:AD$238)</f>
        <v>0.88015223580396551</v>
      </c>
      <c r="AG238">
        <v>3.1499068300979501E-3</v>
      </c>
    </row>
    <row r="239" spans="1:33" hidden="1" x14ac:dyDescent="0.3">
      <c r="A239">
        <v>2020</v>
      </c>
      <c r="B239" t="s">
        <v>11</v>
      </c>
      <c r="C239" t="s">
        <v>14</v>
      </c>
      <c r="D239">
        <f t="shared" si="132"/>
        <v>265</v>
      </c>
      <c r="E239">
        <v>55</v>
      </c>
      <c r="F239">
        <v>150</v>
      </c>
      <c r="G239">
        <v>171</v>
      </c>
      <c r="H239">
        <v>94</v>
      </c>
      <c r="I239">
        <f t="shared" si="122"/>
        <v>39</v>
      </c>
      <c r="J239">
        <v>0.24935194495573898</v>
      </c>
      <c r="K239">
        <f t="shared" si="110"/>
        <v>7.089983049338223E-4</v>
      </c>
      <c r="N239">
        <v>0.53973360766829914</v>
      </c>
      <c r="O239">
        <f t="shared" si="112"/>
        <v>9.4098954705174888E-4</v>
      </c>
      <c r="R239">
        <v>0.66209887224062325</v>
      </c>
      <c r="S239">
        <f t="shared" si="114"/>
        <v>8.4743922582696245E-4</v>
      </c>
      <c r="V239">
        <v>0.33790112775937692</v>
      </c>
      <c r="W239" s="23">
        <f t="shared" si="126"/>
        <v>8.4743922582696278E-4</v>
      </c>
      <c r="Z239">
        <v>0.73794351208352638</v>
      </c>
      <c r="AA239">
        <f t="shared" si="131"/>
        <v>2.079385860831793E-3</v>
      </c>
      <c r="AD239">
        <v>0.81518581332388451</v>
      </c>
      <c r="AE239">
        <f t="shared" si="129"/>
        <v>8.8622295929036122E-4</v>
      </c>
    </row>
    <row r="240" spans="1:33" hidden="1" x14ac:dyDescent="0.3">
      <c r="A240">
        <v>2021</v>
      </c>
      <c r="B240" t="s">
        <v>11</v>
      </c>
      <c r="C240" t="s">
        <v>14</v>
      </c>
      <c r="D240">
        <f t="shared" si="132"/>
        <v>170</v>
      </c>
      <c r="E240">
        <v>23</v>
      </c>
      <c r="F240">
        <v>122</v>
      </c>
      <c r="G240">
        <v>135</v>
      </c>
      <c r="H240">
        <v>35</v>
      </c>
      <c r="I240">
        <f t="shared" si="122"/>
        <v>12</v>
      </c>
      <c r="J240">
        <v>0.17003623436794801</v>
      </c>
      <c r="K240">
        <f t="shared" si="110"/>
        <v>8.3505274183382416E-4</v>
      </c>
      <c r="N240">
        <v>0.65172611940440628</v>
      </c>
      <c r="O240">
        <f t="shared" si="112"/>
        <v>1.3430720987602357E-3</v>
      </c>
      <c r="R240">
        <v>0.74289529548315347</v>
      </c>
      <c r="S240">
        <f t="shared" si="114"/>
        <v>1.1301886120245654E-3</v>
      </c>
      <c r="V240">
        <v>0.25710470451684647</v>
      </c>
      <c r="W240" s="23">
        <f t="shared" si="126"/>
        <v>1.1301886120245654E-3</v>
      </c>
      <c r="Z240">
        <v>0.66135014793868385</v>
      </c>
      <c r="AA240">
        <f>(Z240*(1-Z240))/(H240-1)</f>
        <v>6.5872391105930832E-3</v>
      </c>
      <c r="AD240">
        <v>0.8772785658583907</v>
      </c>
      <c r="AE240">
        <f t="shared" si="129"/>
        <v>8.0343943092414888E-4</v>
      </c>
    </row>
    <row r="241" spans="1:33" hidden="1" x14ac:dyDescent="0.3">
      <c r="A241">
        <v>2022</v>
      </c>
      <c r="B241" s="15" t="s">
        <v>11</v>
      </c>
      <c r="C241" s="15" t="s">
        <v>14</v>
      </c>
      <c r="D241">
        <v>316</v>
      </c>
      <c r="E241">
        <v>39</v>
      </c>
      <c r="F241">
        <v>232</v>
      </c>
      <c r="G241">
        <v>255</v>
      </c>
      <c r="H241">
        <v>61</v>
      </c>
      <c r="I241">
        <v>22</v>
      </c>
      <c r="J241">
        <f>'R2 unguide wt multiport'!AR57</f>
        <v>0.15075340355242647</v>
      </c>
      <c r="K241">
        <f t="shared" si="110"/>
        <v>4.0643433291995468E-4</v>
      </c>
      <c r="N241">
        <f>'R2 unguide wt multiport'!AS57</f>
        <v>0.61115746208081856</v>
      </c>
      <c r="O241">
        <f t="shared" si="112"/>
        <v>7.5442545594841713E-4</v>
      </c>
      <c r="R241">
        <f>'R2 unguide wt multiport'!AP57</f>
        <v>0.80062638068169845</v>
      </c>
      <c r="S241">
        <f t="shared" si="114"/>
        <v>5.0674215631181757E-4</v>
      </c>
      <c r="V241">
        <f>'R2 unguide wt multiport'!AQ57</f>
        <v>0.19937361931830153</v>
      </c>
      <c r="W241" s="23">
        <f t="shared" si="126"/>
        <v>5.0674215631181757E-4</v>
      </c>
      <c r="Z241">
        <f>'R2 unguide wt multiport'!AT57</f>
        <v>0.75613516004716508</v>
      </c>
      <c r="AA241">
        <f>(Z241*(1-Z241))/(H241-1)</f>
        <v>3.0732463297935522E-3</v>
      </c>
      <c r="AD241">
        <f>'R2 unguide wt multiport'!AU57</f>
        <v>0.76334914365480266</v>
      </c>
      <c r="AE241">
        <f t="shared" si="129"/>
        <v>7.1120956116646505E-4</v>
      </c>
    </row>
    <row r="242" spans="1:33" hidden="1" x14ac:dyDescent="0.3">
      <c r="A242" s="25">
        <v>1993</v>
      </c>
      <c r="B242" s="25" t="s">
        <v>9</v>
      </c>
      <c r="C242" s="25" t="s">
        <v>15</v>
      </c>
      <c r="D242" s="25">
        <f t="shared" si="132"/>
        <v>78</v>
      </c>
      <c r="E242" s="25">
        <v>0</v>
      </c>
      <c r="F242" s="25">
        <v>55</v>
      </c>
      <c r="G242" s="25">
        <v>78</v>
      </c>
      <c r="H242" s="25">
        <v>0</v>
      </c>
      <c r="I242" s="25">
        <f t="shared" si="122"/>
        <v>0</v>
      </c>
      <c r="J242" s="25">
        <f t="shared" ref="J242:J251" si="133">E242/D242</f>
        <v>0</v>
      </c>
      <c r="K242" s="25">
        <f t="shared" si="110"/>
        <v>0</v>
      </c>
      <c r="L242" s="25"/>
      <c r="M242" s="25"/>
      <c r="N242" s="25">
        <f t="shared" ref="N242:N251" si="134">F242/D242</f>
        <v>0.70512820512820518</v>
      </c>
      <c r="O242" s="25">
        <f t="shared" si="112"/>
        <v>2.7002911618296231E-3</v>
      </c>
      <c r="P242" s="25"/>
      <c r="Q242" s="25"/>
      <c r="R242" s="25">
        <f t="shared" ref="R242:R251" si="135">G242/D242</f>
        <v>1</v>
      </c>
      <c r="S242" s="25">
        <f t="shared" si="114"/>
        <v>0</v>
      </c>
      <c r="T242" s="25"/>
      <c r="U242" s="25"/>
      <c r="V242" s="25">
        <f t="shared" ref="V242:V251" si="136">H242/D242</f>
        <v>0</v>
      </c>
      <c r="W242" s="26">
        <f t="shared" si="126"/>
        <v>0</v>
      </c>
      <c r="X242" s="25"/>
      <c r="Y242" s="25"/>
      <c r="Z242" s="25"/>
      <c r="AA242" s="25"/>
      <c r="AB242" s="25"/>
      <c r="AC242" s="25"/>
      <c r="AD242" s="25">
        <f>F242/G242</f>
        <v>0.70512820512820518</v>
      </c>
      <c r="AE242" s="25">
        <f t="shared" ref="AE242:AE251" si="137">(AD242*(1-AD242))/(G242-1)</f>
        <v>2.7002911618296231E-3</v>
      </c>
      <c r="AF242" s="25"/>
      <c r="AG242" s="25"/>
    </row>
    <row r="243" spans="1:33" hidden="1" x14ac:dyDescent="0.3">
      <c r="A243" s="25">
        <v>1994</v>
      </c>
      <c r="B243" s="25" t="s">
        <v>9</v>
      </c>
      <c r="C243" s="25" t="s">
        <v>15</v>
      </c>
      <c r="D243" s="25">
        <f t="shared" si="132"/>
        <v>127</v>
      </c>
      <c r="E243" s="25">
        <v>1</v>
      </c>
      <c r="F243" s="25">
        <v>100</v>
      </c>
      <c r="G243" s="25">
        <v>126</v>
      </c>
      <c r="H243" s="25">
        <v>1</v>
      </c>
      <c r="I243" s="25">
        <f t="shared" si="122"/>
        <v>0</v>
      </c>
      <c r="J243" s="25">
        <f t="shared" si="133"/>
        <v>7.874015748031496E-3</v>
      </c>
      <c r="K243" s="25">
        <f t="shared" si="110"/>
        <v>6.2000124000248006E-5</v>
      </c>
      <c r="L243" s="25"/>
      <c r="M243" s="25"/>
      <c r="N243" s="25">
        <f t="shared" si="134"/>
        <v>0.78740157480314965</v>
      </c>
      <c r="O243" s="25">
        <f t="shared" si="112"/>
        <v>1.3285740857195997E-3</v>
      </c>
      <c r="P243" s="25"/>
      <c r="Q243" s="25"/>
      <c r="R243" s="25">
        <f t="shared" si="135"/>
        <v>0.99212598425196852</v>
      </c>
      <c r="S243" s="25">
        <f t="shared" si="114"/>
        <v>6.2000124000247884E-5</v>
      </c>
      <c r="T243" s="25"/>
      <c r="U243" s="25"/>
      <c r="V243" s="25">
        <f t="shared" si="136"/>
        <v>7.874015748031496E-3</v>
      </c>
      <c r="W243" s="26">
        <f t="shared" si="126"/>
        <v>6.2000124000248006E-5</v>
      </c>
      <c r="X243" s="25"/>
      <c r="Y243" s="25"/>
      <c r="Z243" s="25"/>
      <c r="AA243" s="25"/>
      <c r="AB243" s="25"/>
      <c r="AC243" s="25"/>
      <c r="AD243" s="25">
        <f t="shared" ref="AD243:AD251" si="138">F243/G243</f>
        <v>0.79365079365079361</v>
      </c>
      <c r="AE243" s="25">
        <f t="shared" si="137"/>
        <v>1.3101536911060722E-3</v>
      </c>
      <c r="AF243" s="25"/>
      <c r="AG243" s="25"/>
    </row>
    <row r="244" spans="1:33" hidden="1" x14ac:dyDescent="0.3">
      <c r="A244" s="25">
        <v>1995</v>
      </c>
      <c r="B244" s="25" t="s">
        <v>9</v>
      </c>
      <c r="C244" s="25" t="s">
        <v>15</v>
      </c>
      <c r="D244" s="25">
        <f t="shared" si="132"/>
        <v>156</v>
      </c>
      <c r="E244" s="25">
        <v>2</v>
      </c>
      <c r="F244" s="25">
        <v>121</v>
      </c>
      <c r="G244" s="25">
        <v>153</v>
      </c>
      <c r="H244" s="25">
        <v>3</v>
      </c>
      <c r="I244" s="25">
        <f t="shared" si="122"/>
        <v>1</v>
      </c>
      <c r="J244" s="25">
        <f t="shared" si="133"/>
        <v>1.282051282051282E-2</v>
      </c>
      <c r="K244" s="25">
        <f t="shared" si="110"/>
        <v>8.1652563042141201E-5</v>
      </c>
      <c r="L244" s="25"/>
      <c r="M244" s="25"/>
      <c r="N244" s="25">
        <f t="shared" si="134"/>
        <v>0.77564102564102566</v>
      </c>
      <c r="O244" s="25">
        <f t="shared" si="112"/>
        <v>1.1227227418294415E-3</v>
      </c>
      <c r="P244" s="25"/>
      <c r="Q244" s="25"/>
      <c r="R244" s="25">
        <f t="shared" si="135"/>
        <v>0.98076923076923073</v>
      </c>
      <c r="S244" s="25">
        <f t="shared" si="114"/>
        <v>1.2168352739072368E-4</v>
      </c>
      <c r="T244" s="25"/>
      <c r="U244" s="25"/>
      <c r="V244" s="25">
        <f t="shared" si="136"/>
        <v>1.9230769230769232E-2</v>
      </c>
      <c r="W244" s="26">
        <f t="shared" si="126"/>
        <v>1.2168352739072341E-4</v>
      </c>
      <c r="X244" s="25"/>
      <c r="Y244" s="25"/>
      <c r="Z244" s="25"/>
      <c r="AA244" s="25"/>
      <c r="AB244" s="25"/>
      <c r="AC244" s="25"/>
      <c r="AD244" s="25">
        <f t="shared" si="138"/>
        <v>0.79084967320261434</v>
      </c>
      <c r="AE244" s="25">
        <f t="shared" si="137"/>
        <v>1.0882004447232397E-3</v>
      </c>
      <c r="AF244" s="25"/>
      <c r="AG244" s="25"/>
    </row>
    <row r="245" spans="1:33" hidden="1" x14ac:dyDescent="0.3">
      <c r="A245" s="25">
        <v>1996</v>
      </c>
      <c r="B245" s="25" t="s">
        <v>9</v>
      </c>
      <c r="C245" s="25" t="s">
        <v>15</v>
      </c>
      <c r="D245" s="25">
        <f t="shared" si="132"/>
        <v>81</v>
      </c>
      <c r="E245" s="25">
        <v>2</v>
      </c>
      <c r="F245" s="25">
        <v>74</v>
      </c>
      <c r="G245" s="25">
        <v>78</v>
      </c>
      <c r="H245" s="25">
        <v>3</v>
      </c>
      <c r="I245" s="25">
        <f t="shared" si="122"/>
        <v>1</v>
      </c>
      <c r="J245" s="25">
        <f t="shared" si="133"/>
        <v>2.4691358024691357E-2</v>
      </c>
      <c r="K245" s="25">
        <f t="shared" si="110"/>
        <v>3.0102118579484831E-4</v>
      </c>
      <c r="L245" s="25"/>
      <c r="M245" s="25"/>
      <c r="N245" s="25">
        <f t="shared" si="134"/>
        <v>0.9135802469135802</v>
      </c>
      <c r="O245" s="25">
        <f t="shared" si="112"/>
        <v>9.8689224203627563E-4</v>
      </c>
      <c r="P245" s="25"/>
      <c r="Q245" s="25"/>
      <c r="R245" s="25">
        <f t="shared" si="135"/>
        <v>0.96296296296296291</v>
      </c>
      <c r="S245" s="25">
        <f t="shared" si="114"/>
        <v>4.4581618655692792E-4</v>
      </c>
      <c r="T245" s="25"/>
      <c r="U245" s="25"/>
      <c r="V245" s="25">
        <f t="shared" si="136"/>
        <v>3.7037037037037035E-2</v>
      </c>
      <c r="W245" s="26">
        <f t="shared" si="126"/>
        <v>4.4581618655692727E-4</v>
      </c>
      <c r="X245" s="25"/>
      <c r="Y245" s="25"/>
      <c r="Z245" s="25"/>
      <c r="AA245" s="25"/>
      <c r="AB245" s="25"/>
      <c r="AC245" s="25"/>
      <c r="AD245" s="25">
        <f t="shared" si="138"/>
        <v>0.94871794871794868</v>
      </c>
      <c r="AE245" s="25">
        <f t="shared" si="137"/>
        <v>6.3184678569294E-4</v>
      </c>
      <c r="AF245" s="25"/>
      <c r="AG245" s="25"/>
    </row>
    <row r="246" spans="1:33" hidden="1" x14ac:dyDescent="0.3">
      <c r="A246" s="25">
        <v>1997</v>
      </c>
      <c r="B246" s="25" t="s">
        <v>9</v>
      </c>
      <c r="C246" s="25" t="s">
        <v>15</v>
      </c>
      <c r="D246" s="25">
        <f t="shared" si="132"/>
        <v>38</v>
      </c>
      <c r="E246" s="25">
        <v>5</v>
      </c>
      <c r="F246" s="25">
        <v>30</v>
      </c>
      <c r="G246" s="25">
        <v>33</v>
      </c>
      <c r="H246" s="25">
        <v>5</v>
      </c>
      <c r="I246" s="25">
        <f t="shared" si="122"/>
        <v>0</v>
      </c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6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</row>
    <row r="247" spans="1:33" hidden="1" x14ac:dyDescent="0.3">
      <c r="A247" s="25">
        <v>1998</v>
      </c>
      <c r="B247" s="25" t="s">
        <v>9</v>
      </c>
      <c r="C247" s="25" t="s">
        <v>15</v>
      </c>
      <c r="D247" s="25">
        <f t="shared" si="132"/>
        <v>119</v>
      </c>
      <c r="E247" s="25">
        <v>22</v>
      </c>
      <c r="F247" s="25">
        <v>78</v>
      </c>
      <c r="G247" s="25">
        <v>97</v>
      </c>
      <c r="H247" s="25">
        <v>22</v>
      </c>
      <c r="I247" s="25">
        <f t="shared" si="122"/>
        <v>0</v>
      </c>
      <c r="J247" s="25">
        <f t="shared" si="133"/>
        <v>0.18487394957983194</v>
      </c>
      <c r="K247" s="25">
        <f t="shared" si="110"/>
        <v>1.2770811215812349E-3</v>
      </c>
      <c r="L247" s="25">
        <f t="shared" ref="L247:L266" si="139">AVERAGE(J$247:J$268)</f>
        <v>8.0637654688248114E-2</v>
      </c>
      <c r="M247" s="25">
        <v>4.2445054618600398E-3</v>
      </c>
      <c r="N247" s="25">
        <f t="shared" si="134"/>
        <v>0.65546218487394958</v>
      </c>
      <c r="O247" s="25">
        <f t="shared" si="112"/>
        <v>1.9138263480865925E-3</v>
      </c>
      <c r="P247" s="25">
        <f t="shared" ref="P247:P266" si="140">AVERAGE(N$247:N$268)</f>
        <v>0.70395118479600627</v>
      </c>
      <c r="Q247" s="25">
        <v>1.36852648578975E-2</v>
      </c>
      <c r="R247" s="25">
        <f t="shared" si="135"/>
        <v>0.81512605042016806</v>
      </c>
      <c r="S247" s="25">
        <f t="shared" si="114"/>
        <v>1.2770811215812349E-3</v>
      </c>
      <c r="T247" s="25">
        <f t="shared" ref="T247:T266" si="141">AVERAGE(R$247:R$268)</f>
        <v>0.91168358524634019</v>
      </c>
      <c r="U247" s="25">
        <v>4.4301614562592901E-3</v>
      </c>
      <c r="V247" s="25">
        <f t="shared" si="136"/>
        <v>0.18487394957983194</v>
      </c>
      <c r="W247" s="26">
        <f t="shared" si="126"/>
        <v>1.2770811215812349E-3</v>
      </c>
      <c r="X247" s="25">
        <f t="shared" ref="X247:X266" si="142">AVERAGE(V$247:V$268)</f>
        <v>8.8316414753659991E-2</v>
      </c>
      <c r="Y247" s="25">
        <v>4.4348910059273296E-3</v>
      </c>
      <c r="Z247" s="25"/>
      <c r="AA247" s="25"/>
      <c r="AB247" s="25"/>
      <c r="AC247" s="25"/>
      <c r="AD247" s="25">
        <f t="shared" si="138"/>
        <v>0.80412371134020622</v>
      </c>
      <c r="AE247" s="25">
        <f t="shared" si="137"/>
        <v>1.6407163354235305E-3</v>
      </c>
      <c r="AF247" s="25">
        <f t="shared" ref="AF247:AF268" si="143">AVERAGE(AD$247:AD$267)</f>
        <v>0.77283169560524012</v>
      </c>
      <c r="AG247" s="25">
        <v>1.6729418205888101E-2</v>
      </c>
    </row>
    <row r="248" spans="1:33" hidden="1" x14ac:dyDescent="0.3">
      <c r="A248" s="25">
        <v>1999</v>
      </c>
      <c r="B248" s="25" t="s">
        <v>9</v>
      </c>
      <c r="C248" s="25" t="s">
        <v>15</v>
      </c>
      <c r="D248" s="25">
        <f t="shared" si="132"/>
        <v>110</v>
      </c>
      <c r="E248" s="25">
        <v>5</v>
      </c>
      <c r="F248" s="25">
        <v>93</v>
      </c>
      <c r="G248" s="25">
        <v>105</v>
      </c>
      <c r="H248" s="25">
        <v>5</v>
      </c>
      <c r="I248" s="25">
        <f t="shared" si="122"/>
        <v>0</v>
      </c>
      <c r="J248" s="25">
        <f t="shared" si="133"/>
        <v>4.5454545454545456E-2</v>
      </c>
      <c r="K248" s="25">
        <f t="shared" si="110"/>
        <v>3.980589885510653E-4</v>
      </c>
      <c r="L248" s="25">
        <f t="shared" si="139"/>
        <v>8.0637654688248114E-2</v>
      </c>
      <c r="M248" s="25">
        <v>4.2445054618600398E-3</v>
      </c>
      <c r="N248" s="25">
        <f t="shared" si="134"/>
        <v>0.84545454545454546</v>
      </c>
      <c r="O248" s="25">
        <f t="shared" si="112"/>
        <v>1.1987262112366367E-3</v>
      </c>
      <c r="P248" s="25">
        <f t="shared" si="140"/>
        <v>0.70395118479600627</v>
      </c>
      <c r="Q248" s="25">
        <v>1.36852648578975E-2</v>
      </c>
      <c r="R248" s="25">
        <f t="shared" si="135"/>
        <v>0.95454545454545459</v>
      </c>
      <c r="S248" s="25">
        <f t="shared" si="114"/>
        <v>3.9805898855106497E-4</v>
      </c>
      <c r="T248" s="25">
        <f t="shared" si="141"/>
        <v>0.91168358524634019</v>
      </c>
      <c r="U248" s="25">
        <v>4.4301614562592901E-3</v>
      </c>
      <c r="V248" s="25">
        <f t="shared" si="136"/>
        <v>4.5454545454545456E-2</v>
      </c>
      <c r="W248" s="26">
        <f t="shared" si="126"/>
        <v>3.980589885510653E-4</v>
      </c>
      <c r="X248" s="25">
        <f t="shared" si="142"/>
        <v>8.8316414753659991E-2</v>
      </c>
      <c r="Y248" s="25">
        <v>4.4348910059273296E-3</v>
      </c>
      <c r="Z248" s="25"/>
      <c r="AA248" s="25"/>
      <c r="AB248" s="25"/>
      <c r="AC248" s="25"/>
      <c r="AD248" s="25">
        <f t="shared" si="138"/>
        <v>0.88571428571428568</v>
      </c>
      <c r="AE248" s="25">
        <f t="shared" si="137"/>
        <v>9.7331240188383073E-4</v>
      </c>
      <c r="AF248" s="25">
        <f t="shared" si="143"/>
        <v>0.77283169560524012</v>
      </c>
      <c r="AG248" s="25">
        <v>1.6729418205888101E-2</v>
      </c>
    </row>
    <row r="249" spans="1:33" hidden="1" x14ac:dyDescent="0.3">
      <c r="A249" s="25">
        <v>2000</v>
      </c>
      <c r="B249" s="25" t="s">
        <v>9</v>
      </c>
      <c r="C249" s="25" t="s">
        <v>15</v>
      </c>
      <c r="D249" s="25">
        <f t="shared" si="132"/>
        <v>112</v>
      </c>
      <c r="E249" s="25">
        <v>10</v>
      </c>
      <c r="F249" s="25">
        <v>94</v>
      </c>
      <c r="G249" s="25">
        <v>102</v>
      </c>
      <c r="H249" s="25">
        <v>10</v>
      </c>
      <c r="I249" s="25">
        <f t="shared" si="122"/>
        <v>0</v>
      </c>
      <c r="J249" s="25">
        <f t="shared" si="133"/>
        <v>8.9285714285714288E-2</v>
      </c>
      <c r="K249" s="25">
        <f t="shared" si="110"/>
        <v>7.3255653612796471E-4</v>
      </c>
      <c r="L249" s="25">
        <f t="shared" si="139"/>
        <v>8.0637654688248114E-2</v>
      </c>
      <c r="M249" s="25">
        <v>4.2445054618600398E-3</v>
      </c>
      <c r="N249" s="25">
        <f t="shared" si="134"/>
        <v>0.8392857142857143</v>
      </c>
      <c r="O249" s="25">
        <f t="shared" si="112"/>
        <v>1.2151820187534473E-3</v>
      </c>
      <c r="P249" s="25">
        <f t="shared" si="140"/>
        <v>0.70395118479600627</v>
      </c>
      <c r="Q249" s="25">
        <v>1.36852648578975E-2</v>
      </c>
      <c r="R249" s="25">
        <f t="shared" si="135"/>
        <v>0.9107142857142857</v>
      </c>
      <c r="S249" s="25">
        <f t="shared" si="114"/>
        <v>7.3255653612796482E-4</v>
      </c>
      <c r="T249" s="25">
        <f t="shared" si="141"/>
        <v>0.91168358524634019</v>
      </c>
      <c r="U249" s="25">
        <v>4.4301614562592901E-3</v>
      </c>
      <c r="V249" s="25">
        <f t="shared" si="136"/>
        <v>8.9285714285714288E-2</v>
      </c>
      <c r="W249" s="26">
        <f t="shared" si="126"/>
        <v>7.3255653612796471E-4</v>
      </c>
      <c r="X249" s="25">
        <f t="shared" si="142"/>
        <v>8.8316414753659991E-2</v>
      </c>
      <c r="Y249" s="25">
        <v>4.4348910059273296E-3</v>
      </c>
      <c r="Z249" s="25"/>
      <c r="AA249" s="25"/>
      <c r="AB249" s="25"/>
      <c r="AC249" s="25"/>
      <c r="AD249" s="25">
        <f t="shared" si="138"/>
        <v>0.92156862745098034</v>
      </c>
      <c r="AE249" s="25">
        <f t="shared" si="137"/>
        <v>7.1564249850590632E-4</v>
      </c>
      <c r="AF249" s="25">
        <f t="shared" si="143"/>
        <v>0.77283169560524012</v>
      </c>
      <c r="AG249" s="25">
        <v>1.6729418205888101E-2</v>
      </c>
    </row>
    <row r="250" spans="1:33" hidden="1" x14ac:dyDescent="0.3">
      <c r="A250" s="25">
        <v>2001</v>
      </c>
      <c r="B250" s="25" t="s">
        <v>9</v>
      </c>
      <c r="C250" s="25" t="s">
        <v>15</v>
      </c>
      <c r="D250" s="25">
        <f t="shared" si="132"/>
        <v>66</v>
      </c>
      <c r="E250" s="25">
        <v>5</v>
      </c>
      <c r="F250" s="25">
        <v>58</v>
      </c>
      <c r="G250" s="25">
        <v>61</v>
      </c>
      <c r="H250" s="25">
        <v>5</v>
      </c>
      <c r="I250" s="25">
        <f t="shared" si="122"/>
        <v>0</v>
      </c>
      <c r="J250" s="25">
        <f t="shared" si="133"/>
        <v>7.575757575757576E-2</v>
      </c>
      <c r="K250" s="25">
        <f t="shared" si="110"/>
        <v>1.0772056226601681E-3</v>
      </c>
      <c r="L250" s="25">
        <f t="shared" si="139"/>
        <v>8.0637654688248114E-2</v>
      </c>
      <c r="M250" s="25">
        <v>4.2445054618600398E-3</v>
      </c>
      <c r="N250" s="25">
        <f t="shared" si="134"/>
        <v>0.87878787878787878</v>
      </c>
      <c r="O250" s="25">
        <f t="shared" si="112"/>
        <v>1.6387652751289116E-3</v>
      </c>
      <c r="P250" s="25">
        <f t="shared" si="140"/>
        <v>0.70395118479600627</v>
      </c>
      <c r="Q250" s="25">
        <v>1.36852648578975E-2</v>
      </c>
      <c r="R250" s="25">
        <f t="shared" si="135"/>
        <v>0.9242424242424242</v>
      </c>
      <c r="S250" s="25">
        <f t="shared" si="114"/>
        <v>1.0772056226601686E-3</v>
      </c>
      <c r="T250" s="25">
        <f t="shared" si="141"/>
        <v>0.91168358524634019</v>
      </c>
      <c r="U250" s="25">
        <v>4.4301614562592901E-3</v>
      </c>
      <c r="V250" s="25">
        <f t="shared" si="136"/>
        <v>7.575757575757576E-2</v>
      </c>
      <c r="W250" s="26">
        <f t="shared" si="126"/>
        <v>1.0772056226601681E-3</v>
      </c>
      <c r="X250" s="25">
        <f t="shared" si="142"/>
        <v>8.8316414753659991E-2</v>
      </c>
      <c r="Y250" s="25">
        <v>4.4348910059273296E-3</v>
      </c>
      <c r="Z250" s="25"/>
      <c r="AA250" s="25"/>
      <c r="AB250" s="25"/>
      <c r="AC250" s="25"/>
      <c r="AD250" s="25">
        <f t="shared" si="138"/>
        <v>0.95081967213114749</v>
      </c>
      <c r="AE250" s="25">
        <f t="shared" si="137"/>
        <v>7.793603869927447E-4</v>
      </c>
      <c r="AF250" s="25">
        <f t="shared" si="143"/>
        <v>0.77283169560524012</v>
      </c>
      <c r="AG250" s="25">
        <v>1.6729418205888101E-2</v>
      </c>
    </row>
    <row r="251" spans="1:33" hidden="1" x14ac:dyDescent="0.3">
      <c r="A251" s="25">
        <v>2002</v>
      </c>
      <c r="B251" s="25" t="s">
        <v>9</v>
      </c>
      <c r="C251" s="25" t="s">
        <v>15</v>
      </c>
      <c r="D251" s="25">
        <f t="shared" si="132"/>
        <v>60</v>
      </c>
      <c r="E251" s="25">
        <v>2</v>
      </c>
      <c r="F251" s="25">
        <v>50</v>
      </c>
      <c r="G251" s="25">
        <v>57</v>
      </c>
      <c r="H251" s="25">
        <v>3</v>
      </c>
      <c r="I251" s="25">
        <f t="shared" si="122"/>
        <v>1</v>
      </c>
      <c r="J251" s="25">
        <f t="shared" si="133"/>
        <v>3.3333333333333333E-2</v>
      </c>
      <c r="K251" s="25">
        <f t="shared" si="110"/>
        <v>5.4613935969868171E-4</v>
      </c>
      <c r="L251" s="25">
        <f t="shared" si="139"/>
        <v>8.0637654688248114E-2</v>
      </c>
      <c r="M251" s="25">
        <v>4.2445054618600398E-3</v>
      </c>
      <c r="N251" s="25">
        <f t="shared" si="134"/>
        <v>0.83333333333333337</v>
      </c>
      <c r="O251" s="25">
        <f t="shared" si="112"/>
        <v>2.3540489642184556E-3</v>
      </c>
      <c r="P251" s="25">
        <f t="shared" si="140"/>
        <v>0.70395118479600627</v>
      </c>
      <c r="Q251" s="25">
        <v>1.36852648578975E-2</v>
      </c>
      <c r="R251" s="25">
        <f t="shared" si="135"/>
        <v>0.95</v>
      </c>
      <c r="S251" s="25">
        <f t="shared" si="114"/>
        <v>8.0508474576271262E-4</v>
      </c>
      <c r="T251" s="25">
        <f t="shared" si="141"/>
        <v>0.91168358524634019</v>
      </c>
      <c r="U251" s="25">
        <v>4.4301614562592901E-3</v>
      </c>
      <c r="V251" s="25">
        <f t="shared" si="136"/>
        <v>0.05</v>
      </c>
      <c r="W251" s="26">
        <f t="shared" si="126"/>
        <v>8.0508474576271186E-4</v>
      </c>
      <c r="X251" s="25">
        <f t="shared" si="142"/>
        <v>8.8316414753659991E-2</v>
      </c>
      <c r="Y251" s="25">
        <v>4.4348910059273296E-3</v>
      </c>
      <c r="Z251" s="25"/>
      <c r="AA251" s="25"/>
      <c r="AB251" s="25"/>
      <c r="AC251" s="25"/>
      <c r="AD251" s="25">
        <f t="shared" si="138"/>
        <v>0.8771929824561403</v>
      </c>
      <c r="AE251" s="25">
        <f t="shared" si="137"/>
        <v>1.9236688211757471E-3</v>
      </c>
      <c r="AF251" s="25">
        <f t="shared" si="143"/>
        <v>0.77283169560524012</v>
      </c>
      <c r="AG251" s="25">
        <v>1.6729418205888101E-2</v>
      </c>
    </row>
    <row r="252" spans="1:33" hidden="1" x14ac:dyDescent="0.3">
      <c r="A252" s="25">
        <v>2003</v>
      </c>
      <c r="B252" s="25" t="s">
        <v>9</v>
      </c>
      <c r="C252" s="25" t="s">
        <v>15</v>
      </c>
      <c r="D252" s="25">
        <f t="shared" si="132"/>
        <v>100</v>
      </c>
      <c r="E252" s="25">
        <v>8</v>
      </c>
      <c r="F252" s="25">
        <v>79</v>
      </c>
      <c r="G252" s="25">
        <v>92</v>
      </c>
      <c r="H252" s="25">
        <v>8</v>
      </c>
      <c r="I252" s="25">
        <f t="shared" si="122"/>
        <v>0</v>
      </c>
      <c r="J252" s="25">
        <f t="shared" ref="J252:J297" si="144">E252/D252</f>
        <v>0.08</v>
      </c>
      <c r="K252" s="25">
        <f t="shared" ref="K252:K323" si="145">(J252*(1-J252))/(D252-1)</f>
        <v>7.4343434343434342E-4</v>
      </c>
      <c r="L252" s="25">
        <f t="shared" si="139"/>
        <v>8.0637654688248114E-2</v>
      </c>
      <c r="M252" s="25">
        <v>4.2445054618600398E-3</v>
      </c>
      <c r="N252" s="25">
        <f t="shared" ref="N252:N297" si="146">F252/D252</f>
        <v>0.79</v>
      </c>
      <c r="O252" s="25">
        <f t="shared" ref="O252:O323" si="147">(N252*(1-N252))/($D252-1)</f>
        <v>1.6757575757575757E-3</v>
      </c>
      <c r="P252" s="25">
        <f t="shared" si="140"/>
        <v>0.70395118479600627</v>
      </c>
      <c r="Q252" s="25">
        <v>1.36852648578975E-2</v>
      </c>
      <c r="R252" s="25">
        <f t="shared" ref="R252:R297" si="148">G252/D252</f>
        <v>0.92</v>
      </c>
      <c r="S252" s="25">
        <f t="shared" ref="S252:S323" si="149">(R252*(1-R252))/($D252-1)</f>
        <v>7.434343434343431E-4</v>
      </c>
      <c r="T252" s="25">
        <f t="shared" si="141"/>
        <v>0.91168358524634019</v>
      </c>
      <c r="U252" s="25">
        <v>4.4301614562592901E-3</v>
      </c>
      <c r="V252" s="25">
        <f t="shared" ref="V252:V297" si="150">H252/D252</f>
        <v>0.08</v>
      </c>
      <c r="W252" s="26">
        <f t="shared" si="126"/>
        <v>7.4343434343434342E-4</v>
      </c>
      <c r="X252" s="25">
        <f t="shared" si="142"/>
        <v>8.8316414753659991E-2</v>
      </c>
      <c r="Y252" s="25">
        <v>4.4348910059273296E-3</v>
      </c>
      <c r="Z252" s="25"/>
      <c r="AA252" s="25"/>
      <c r="AB252" s="25"/>
      <c r="AC252" s="25"/>
      <c r="AD252" s="25">
        <f t="shared" ref="AD252:AD297" si="151">F252/G252</f>
        <v>0.85869565217391308</v>
      </c>
      <c r="AE252" s="25">
        <f t="shared" ref="AE252:AE287" si="152">(AD252*(1-AD252))/(G252-1)</f>
        <v>1.3333783418849579E-3</v>
      </c>
      <c r="AF252" s="25">
        <f t="shared" si="143"/>
        <v>0.77283169560524012</v>
      </c>
      <c r="AG252" s="25">
        <v>1.6729418205888101E-2</v>
      </c>
    </row>
    <row r="253" spans="1:33" hidden="1" x14ac:dyDescent="0.3">
      <c r="A253" s="25">
        <v>2004</v>
      </c>
      <c r="B253" s="25" t="s">
        <v>9</v>
      </c>
      <c r="C253" s="25" t="s">
        <v>15</v>
      </c>
      <c r="D253" s="25">
        <f t="shared" si="132"/>
        <v>175</v>
      </c>
      <c r="E253" s="25">
        <v>17</v>
      </c>
      <c r="F253" s="25">
        <v>121</v>
      </c>
      <c r="G253" s="25">
        <v>156</v>
      </c>
      <c r="H253" s="25">
        <v>19</v>
      </c>
      <c r="I253" s="25">
        <f t="shared" si="122"/>
        <v>2</v>
      </c>
      <c r="J253" s="25">
        <f t="shared" si="144"/>
        <v>9.7142857142857142E-2</v>
      </c>
      <c r="K253" s="25">
        <f t="shared" si="145"/>
        <v>5.0405817499413555E-4</v>
      </c>
      <c r="L253" s="25">
        <f t="shared" si="139"/>
        <v>8.0637654688248114E-2</v>
      </c>
      <c r="M253" s="25">
        <v>4.2445054618600398E-3</v>
      </c>
      <c r="N253" s="25">
        <f t="shared" si="146"/>
        <v>0.69142857142857139</v>
      </c>
      <c r="O253" s="25">
        <f t="shared" si="147"/>
        <v>1.2261787473610134E-3</v>
      </c>
      <c r="P253" s="25">
        <f t="shared" si="140"/>
        <v>0.70395118479600627</v>
      </c>
      <c r="Q253" s="25">
        <v>1.36852648578975E-2</v>
      </c>
      <c r="R253" s="25">
        <f t="shared" si="148"/>
        <v>0.89142857142857146</v>
      </c>
      <c r="S253" s="25">
        <f t="shared" si="149"/>
        <v>5.5622800844475713E-4</v>
      </c>
      <c r="T253" s="25">
        <f t="shared" si="141"/>
        <v>0.91168358524634019</v>
      </c>
      <c r="U253" s="25">
        <v>4.4301614562592901E-3</v>
      </c>
      <c r="V253" s="25">
        <f t="shared" si="150"/>
        <v>0.10857142857142857</v>
      </c>
      <c r="W253" s="26">
        <f t="shared" si="126"/>
        <v>5.5622800844475724E-4</v>
      </c>
      <c r="X253" s="25">
        <f t="shared" si="142"/>
        <v>8.8316414753659991E-2</v>
      </c>
      <c r="Y253" s="25">
        <v>4.4348910059273296E-3</v>
      </c>
      <c r="Z253" s="25"/>
      <c r="AA253" s="25"/>
      <c r="AB253" s="25"/>
      <c r="AC253" s="25"/>
      <c r="AD253" s="25">
        <f t="shared" si="151"/>
        <v>0.77564102564102566</v>
      </c>
      <c r="AE253" s="25">
        <f t="shared" si="152"/>
        <v>1.1227227418294415E-3</v>
      </c>
      <c r="AF253" s="25">
        <f t="shared" si="143"/>
        <v>0.77283169560524012</v>
      </c>
      <c r="AG253" s="25">
        <v>1.6729418205888101E-2</v>
      </c>
    </row>
    <row r="254" spans="1:33" hidden="1" x14ac:dyDescent="0.3">
      <c r="A254" s="25">
        <v>2005</v>
      </c>
      <c r="B254" s="25" t="s">
        <v>9</v>
      </c>
      <c r="C254" s="25" t="s">
        <v>15</v>
      </c>
      <c r="D254" s="25">
        <f t="shared" si="132"/>
        <v>155</v>
      </c>
      <c r="E254" s="25">
        <v>34</v>
      </c>
      <c r="F254" s="25">
        <v>111</v>
      </c>
      <c r="G254" s="25">
        <v>119</v>
      </c>
      <c r="H254" s="25">
        <v>36</v>
      </c>
      <c r="I254" s="25">
        <f t="shared" si="122"/>
        <v>2</v>
      </c>
      <c r="J254" s="25">
        <f t="shared" si="144"/>
        <v>0.21935483870967742</v>
      </c>
      <c r="K254" s="25">
        <f t="shared" si="145"/>
        <v>1.1119369704177197E-3</v>
      </c>
      <c r="L254" s="25">
        <f t="shared" si="139"/>
        <v>8.0637654688248114E-2</v>
      </c>
      <c r="M254" s="25">
        <v>4.2445054618600398E-3</v>
      </c>
      <c r="N254" s="25">
        <f t="shared" si="146"/>
        <v>0.71612903225806457</v>
      </c>
      <c r="O254" s="25">
        <f t="shared" si="147"/>
        <v>1.3200535156830679E-3</v>
      </c>
      <c r="P254" s="25">
        <f t="shared" si="140"/>
        <v>0.70395118479600627</v>
      </c>
      <c r="Q254" s="25">
        <v>1.36852648578975E-2</v>
      </c>
      <c r="R254" s="25">
        <f t="shared" si="148"/>
        <v>0.76774193548387093</v>
      </c>
      <c r="S254" s="25">
        <f t="shared" si="149"/>
        <v>1.1578847791126668E-3</v>
      </c>
      <c r="T254" s="25">
        <f t="shared" si="141"/>
        <v>0.91168358524634019</v>
      </c>
      <c r="U254" s="25">
        <v>4.4301614562592901E-3</v>
      </c>
      <c r="V254" s="25">
        <f t="shared" si="150"/>
        <v>0.23225806451612904</v>
      </c>
      <c r="W254" s="26">
        <f t="shared" si="126"/>
        <v>1.1578847791126668E-3</v>
      </c>
      <c r="X254" s="25">
        <f t="shared" si="142"/>
        <v>8.8316414753659991E-2</v>
      </c>
      <c r="Y254" s="25">
        <v>4.4348910059273296E-3</v>
      </c>
      <c r="Z254" s="25"/>
      <c r="AA254" s="25"/>
      <c r="AB254" s="25"/>
      <c r="AC254" s="25"/>
      <c r="AD254" s="25">
        <f t="shared" si="151"/>
        <v>0.9327731092436975</v>
      </c>
      <c r="AE254" s="25">
        <f t="shared" si="152"/>
        <v>5.3141894843680238E-4</v>
      </c>
      <c r="AF254" s="25">
        <f t="shared" si="143"/>
        <v>0.77283169560524012</v>
      </c>
      <c r="AG254" s="25">
        <v>1.6729418205888101E-2</v>
      </c>
    </row>
    <row r="255" spans="1:33" hidden="1" x14ac:dyDescent="0.3">
      <c r="A255" s="25">
        <v>2006</v>
      </c>
      <c r="B255" s="25" t="s">
        <v>9</v>
      </c>
      <c r="C255" s="25" t="s">
        <v>15</v>
      </c>
      <c r="D255" s="25">
        <f t="shared" si="132"/>
        <v>142</v>
      </c>
      <c r="E255" s="25">
        <v>29</v>
      </c>
      <c r="F255" s="25">
        <v>97</v>
      </c>
      <c r="G255" s="25">
        <v>112</v>
      </c>
      <c r="H255" s="25">
        <v>30</v>
      </c>
      <c r="I255" s="25">
        <f t="shared" si="122"/>
        <v>1</v>
      </c>
      <c r="J255" s="25">
        <f t="shared" si="144"/>
        <v>0.20422535211267606</v>
      </c>
      <c r="K255" s="25">
        <f t="shared" si="145"/>
        <v>1.1526053735257415E-3</v>
      </c>
      <c r="L255" s="25">
        <f t="shared" si="139"/>
        <v>8.0637654688248114E-2</v>
      </c>
      <c r="M255" s="25">
        <v>4.2445054618600398E-3</v>
      </c>
      <c r="N255" s="25">
        <f t="shared" si="146"/>
        <v>0.68309859154929575</v>
      </c>
      <c r="O255" s="25">
        <f t="shared" si="147"/>
        <v>1.5352830196642847E-3</v>
      </c>
      <c r="P255" s="25">
        <f t="shared" si="140"/>
        <v>0.70395118479600627</v>
      </c>
      <c r="Q255" s="25">
        <v>1.36852648578975E-2</v>
      </c>
      <c r="R255" s="25">
        <f t="shared" si="148"/>
        <v>0.78873239436619713</v>
      </c>
      <c r="S255" s="25">
        <f t="shared" si="149"/>
        <v>1.1817986130749135E-3</v>
      </c>
      <c r="T255" s="25">
        <f t="shared" si="141"/>
        <v>0.91168358524634019</v>
      </c>
      <c r="U255" s="25">
        <v>4.4301614562592901E-3</v>
      </c>
      <c r="V255" s="25">
        <f t="shared" si="150"/>
        <v>0.21126760563380281</v>
      </c>
      <c r="W255" s="26">
        <f t="shared" si="126"/>
        <v>1.1817986130749135E-3</v>
      </c>
      <c r="X255" s="25">
        <f t="shared" si="142"/>
        <v>8.8316414753659991E-2</v>
      </c>
      <c r="Y255" s="25">
        <v>4.4348910059273296E-3</v>
      </c>
      <c r="Z255" s="25"/>
      <c r="AA255" s="25"/>
      <c r="AB255" s="25"/>
      <c r="AC255" s="25"/>
      <c r="AD255" s="25">
        <f t="shared" si="151"/>
        <v>0.8660714285714286</v>
      </c>
      <c r="AE255" s="25">
        <f t="shared" si="152"/>
        <v>1.0449703530060672E-3</v>
      </c>
      <c r="AF255" s="25">
        <f t="shared" si="143"/>
        <v>0.77283169560524012</v>
      </c>
      <c r="AG255" s="25">
        <v>1.6729418205888101E-2</v>
      </c>
    </row>
    <row r="256" spans="1:33" hidden="1" x14ac:dyDescent="0.3">
      <c r="A256" s="25">
        <v>2007</v>
      </c>
      <c r="B256" s="25" t="s">
        <v>9</v>
      </c>
      <c r="C256" s="25" t="s">
        <v>15</v>
      </c>
      <c r="D256" s="25">
        <f t="shared" si="132"/>
        <v>80</v>
      </c>
      <c r="E256" s="25">
        <v>0</v>
      </c>
      <c r="F256" s="25">
        <v>49</v>
      </c>
      <c r="G256" s="25">
        <v>79</v>
      </c>
      <c r="H256" s="25">
        <v>1</v>
      </c>
      <c r="I256" s="25">
        <f t="shared" si="122"/>
        <v>1</v>
      </c>
      <c r="J256" s="25">
        <f t="shared" si="144"/>
        <v>0</v>
      </c>
      <c r="K256" s="25">
        <f t="shared" si="145"/>
        <v>0</v>
      </c>
      <c r="L256" s="25">
        <f t="shared" si="139"/>
        <v>8.0637654688248114E-2</v>
      </c>
      <c r="M256" s="25">
        <v>4.2445054618600398E-3</v>
      </c>
      <c r="N256" s="25">
        <f t="shared" si="146"/>
        <v>0.61250000000000004</v>
      </c>
      <c r="O256" s="25">
        <f t="shared" si="147"/>
        <v>3.0043512658227845E-3</v>
      </c>
      <c r="P256" s="25">
        <f t="shared" si="140"/>
        <v>0.70395118479600627</v>
      </c>
      <c r="Q256" s="25">
        <v>1.36852648578975E-2</v>
      </c>
      <c r="R256" s="25">
        <f t="shared" si="148"/>
        <v>0.98750000000000004</v>
      </c>
      <c r="S256" s="25">
        <f t="shared" si="149"/>
        <v>1.5624999999999946E-4</v>
      </c>
      <c r="T256" s="25">
        <f t="shared" si="141"/>
        <v>0.91168358524634019</v>
      </c>
      <c r="U256" s="25">
        <v>4.4301614562592901E-3</v>
      </c>
      <c r="V256" s="25">
        <f t="shared" si="150"/>
        <v>1.2500000000000001E-2</v>
      </c>
      <c r="W256" s="26">
        <f t="shared" si="126"/>
        <v>1.5625E-4</v>
      </c>
      <c r="X256" s="25">
        <f t="shared" si="142"/>
        <v>8.8316414753659991E-2</v>
      </c>
      <c r="Y256" s="25">
        <v>4.4348910059273296E-3</v>
      </c>
      <c r="Z256" s="25"/>
      <c r="AA256" s="25"/>
      <c r="AB256" s="25"/>
      <c r="AC256" s="25"/>
      <c r="AD256" s="25">
        <f t="shared" si="151"/>
        <v>0.620253164556962</v>
      </c>
      <c r="AE256" s="25">
        <f t="shared" si="152"/>
        <v>3.0197330309491822E-3</v>
      </c>
      <c r="AF256" s="25">
        <f t="shared" si="143"/>
        <v>0.77283169560524012</v>
      </c>
      <c r="AG256" s="25">
        <v>1.6729418205888101E-2</v>
      </c>
    </row>
    <row r="257" spans="1:33" hidden="1" x14ac:dyDescent="0.3">
      <c r="A257" s="25">
        <v>2008</v>
      </c>
      <c r="B257" s="25" t="s">
        <v>9</v>
      </c>
      <c r="C257" s="25" t="s">
        <v>15</v>
      </c>
      <c r="D257" s="25">
        <f t="shared" si="132"/>
        <v>144</v>
      </c>
      <c r="E257" s="25">
        <v>16</v>
      </c>
      <c r="F257" s="25">
        <v>107</v>
      </c>
      <c r="G257" s="25">
        <v>127</v>
      </c>
      <c r="H257" s="25">
        <v>17</v>
      </c>
      <c r="I257" s="25">
        <f t="shared" si="122"/>
        <v>1</v>
      </c>
      <c r="J257" s="25">
        <f t="shared" si="144"/>
        <v>0.1111111111111111</v>
      </c>
      <c r="K257" s="25">
        <f t="shared" si="145"/>
        <v>6.9066735733402398E-4</v>
      </c>
      <c r="L257" s="25">
        <f t="shared" si="139"/>
        <v>8.0637654688248114E-2</v>
      </c>
      <c r="M257" s="25">
        <v>4.2445054618600398E-3</v>
      </c>
      <c r="N257" s="25">
        <f t="shared" si="146"/>
        <v>0.74305555555555558</v>
      </c>
      <c r="O257" s="25">
        <f t="shared" si="147"/>
        <v>1.3351328455495121E-3</v>
      </c>
      <c r="P257" s="25">
        <f t="shared" si="140"/>
        <v>0.70395118479600627</v>
      </c>
      <c r="Q257" s="25">
        <v>1.36852648578975E-2</v>
      </c>
      <c r="R257" s="25">
        <f t="shared" si="148"/>
        <v>0.88194444444444442</v>
      </c>
      <c r="S257" s="25">
        <f t="shared" si="149"/>
        <v>7.2810098851765529E-4</v>
      </c>
      <c r="T257" s="25">
        <f t="shared" si="141"/>
        <v>0.91168358524634019</v>
      </c>
      <c r="U257" s="25">
        <v>4.4301614562592901E-3</v>
      </c>
      <c r="V257" s="25">
        <f t="shared" si="150"/>
        <v>0.11805555555555555</v>
      </c>
      <c r="W257" s="26">
        <f t="shared" si="126"/>
        <v>7.2810098851765518E-4</v>
      </c>
      <c r="X257" s="25">
        <f t="shared" si="142"/>
        <v>8.8316414753659991E-2</v>
      </c>
      <c r="Y257" s="25">
        <v>4.4348910059273296E-3</v>
      </c>
      <c r="Z257" s="25"/>
      <c r="AA257" s="25"/>
      <c r="AB257" s="25"/>
      <c r="AC257" s="25"/>
      <c r="AD257" s="25">
        <f t="shared" si="151"/>
        <v>0.84251968503937003</v>
      </c>
      <c r="AE257" s="25">
        <f t="shared" si="152"/>
        <v>1.0530179790518314E-3</v>
      </c>
      <c r="AF257" s="25">
        <f t="shared" si="143"/>
        <v>0.77283169560524012</v>
      </c>
      <c r="AG257" s="25">
        <v>1.6729418205888101E-2</v>
      </c>
    </row>
    <row r="258" spans="1:33" hidden="1" x14ac:dyDescent="0.3">
      <c r="A258" s="25">
        <v>2009</v>
      </c>
      <c r="B258" s="25" t="s">
        <v>9</v>
      </c>
      <c r="C258" s="25" t="s">
        <v>15</v>
      </c>
      <c r="D258" s="25">
        <f t="shared" si="132"/>
        <v>90</v>
      </c>
      <c r="E258" s="25">
        <v>16</v>
      </c>
      <c r="F258" s="25">
        <v>53</v>
      </c>
      <c r="G258" s="25">
        <v>72</v>
      </c>
      <c r="H258" s="25">
        <v>18</v>
      </c>
      <c r="I258" s="25">
        <f t="shared" si="122"/>
        <v>2</v>
      </c>
      <c r="J258" s="25">
        <f t="shared" si="144"/>
        <v>0.17777777777777778</v>
      </c>
      <c r="K258" s="25">
        <f t="shared" si="145"/>
        <v>1.6423914551255377E-3</v>
      </c>
      <c r="L258" s="25">
        <f t="shared" si="139"/>
        <v>8.0637654688248114E-2</v>
      </c>
      <c r="M258" s="25">
        <v>4.2445054618600398E-3</v>
      </c>
      <c r="N258" s="25">
        <f t="shared" si="146"/>
        <v>0.58888888888888891</v>
      </c>
      <c r="O258" s="25">
        <f t="shared" si="147"/>
        <v>2.7202108475516715E-3</v>
      </c>
      <c r="P258" s="25">
        <f t="shared" si="140"/>
        <v>0.70395118479600627</v>
      </c>
      <c r="Q258" s="25">
        <v>1.36852648578975E-2</v>
      </c>
      <c r="R258" s="25">
        <f t="shared" si="148"/>
        <v>0.8</v>
      </c>
      <c r="S258" s="25">
        <f t="shared" si="149"/>
        <v>1.7977528089887637E-3</v>
      </c>
      <c r="T258" s="25">
        <f t="shared" si="141"/>
        <v>0.91168358524634019</v>
      </c>
      <c r="U258" s="25">
        <v>4.4301614562592901E-3</v>
      </c>
      <c r="V258" s="25">
        <f t="shared" si="150"/>
        <v>0.2</v>
      </c>
      <c r="W258" s="26">
        <f t="shared" si="126"/>
        <v>1.7977528089887643E-3</v>
      </c>
      <c r="X258" s="25">
        <f t="shared" si="142"/>
        <v>8.8316414753659991E-2</v>
      </c>
      <c r="Y258" s="25">
        <v>4.4348910059273296E-3</v>
      </c>
      <c r="Z258" s="25"/>
      <c r="AA258" s="25"/>
      <c r="AB258" s="25"/>
      <c r="AC258" s="25"/>
      <c r="AD258" s="25">
        <f t="shared" si="151"/>
        <v>0.73611111111111116</v>
      </c>
      <c r="AE258" s="25">
        <f t="shared" si="152"/>
        <v>2.7359372283081202E-3</v>
      </c>
      <c r="AF258" s="25">
        <f>AVERAGE(AD$247:AD$267)</f>
        <v>0.77283169560524012</v>
      </c>
      <c r="AG258" s="25">
        <v>1.6729418205888101E-2</v>
      </c>
    </row>
    <row r="259" spans="1:33" hidden="1" x14ac:dyDescent="0.3">
      <c r="A259" s="25">
        <v>2010</v>
      </c>
      <c r="B259" s="25" t="s">
        <v>9</v>
      </c>
      <c r="C259" s="25" t="s">
        <v>15</v>
      </c>
      <c r="D259" s="25">
        <f t="shared" si="132"/>
        <v>116</v>
      </c>
      <c r="E259" s="25">
        <v>14</v>
      </c>
      <c r="F259" s="25">
        <v>53</v>
      </c>
      <c r="G259" s="25">
        <v>99</v>
      </c>
      <c r="H259" s="25">
        <v>17</v>
      </c>
      <c r="I259" s="25">
        <f t="shared" si="122"/>
        <v>3</v>
      </c>
      <c r="J259" s="25">
        <f t="shared" si="144"/>
        <v>0.1206896551724138</v>
      </c>
      <c r="K259" s="25">
        <f t="shared" si="145"/>
        <v>9.2281445484154484E-4</v>
      </c>
      <c r="L259" s="25">
        <f t="shared" si="139"/>
        <v>8.0637654688248114E-2</v>
      </c>
      <c r="M259" s="25">
        <v>4.2445054618600398E-3</v>
      </c>
      <c r="N259" s="25">
        <f t="shared" si="146"/>
        <v>0.45689655172413796</v>
      </c>
      <c r="O259" s="25">
        <f t="shared" si="147"/>
        <v>2.1577573282324358E-3</v>
      </c>
      <c r="P259" s="25">
        <f t="shared" si="140"/>
        <v>0.70395118479600627</v>
      </c>
      <c r="Q259" s="25">
        <v>1.36852648578975E-2</v>
      </c>
      <c r="R259" s="25">
        <f t="shared" si="148"/>
        <v>0.85344827586206895</v>
      </c>
      <c r="S259" s="25">
        <f t="shared" si="149"/>
        <v>1.0876027503489635E-3</v>
      </c>
      <c r="T259" s="25">
        <f t="shared" si="141"/>
        <v>0.91168358524634019</v>
      </c>
      <c r="U259" s="25">
        <v>4.4301614562592901E-3</v>
      </c>
      <c r="V259" s="25">
        <f t="shared" si="150"/>
        <v>0.14655172413793102</v>
      </c>
      <c r="W259" s="26">
        <f t="shared" si="126"/>
        <v>1.0876027503489633E-3</v>
      </c>
      <c r="X259" s="25">
        <f t="shared" si="142"/>
        <v>8.8316414753659991E-2</v>
      </c>
      <c r="Y259" s="25">
        <v>4.4348910059273296E-3</v>
      </c>
      <c r="Z259" s="25"/>
      <c r="AA259" s="25"/>
      <c r="AB259" s="25"/>
      <c r="AC259" s="25"/>
      <c r="AD259" s="25">
        <f t="shared" si="151"/>
        <v>0.53535353535353536</v>
      </c>
      <c r="AE259" s="25">
        <f t="shared" si="152"/>
        <v>2.5382666075306768E-3</v>
      </c>
      <c r="AF259" s="25">
        <f t="shared" si="143"/>
        <v>0.77283169560524012</v>
      </c>
      <c r="AG259" s="25">
        <v>1.6729418205888101E-2</v>
      </c>
    </row>
    <row r="260" spans="1:33" hidden="1" x14ac:dyDescent="0.3">
      <c r="A260" s="25">
        <v>2011</v>
      </c>
      <c r="B260" s="25" t="s">
        <v>9</v>
      </c>
      <c r="C260" s="25" t="s">
        <v>15</v>
      </c>
      <c r="D260" s="25">
        <f t="shared" si="132"/>
        <v>145</v>
      </c>
      <c r="E260" s="25">
        <v>7</v>
      </c>
      <c r="F260" s="25">
        <v>119</v>
      </c>
      <c r="G260" s="25">
        <v>138</v>
      </c>
      <c r="H260" s="25">
        <v>7</v>
      </c>
      <c r="I260" s="25">
        <f t="shared" si="122"/>
        <v>0</v>
      </c>
      <c r="J260" s="25">
        <f t="shared" si="144"/>
        <v>4.8275862068965517E-2</v>
      </c>
      <c r="K260" s="25">
        <f t="shared" si="145"/>
        <v>3.190646056282204E-4</v>
      </c>
      <c r="L260" s="25">
        <f t="shared" si="139"/>
        <v>8.0637654688248114E-2</v>
      </c>
      <c r="M260" s="25">
        <v>4.2445054618600398E-3</v>
      </c>
      <c r="N260" s="25">
        <f t="shared" si="146"/>
        <v>0.82068965517241377</v>
      </c>
      <c r="O260" s="25">
        <f t="shared" si="147"/>
        <v>1.0219315629541551E-3</v>
      </c>
      <c r="P260" s="25">
        <f t="shared" si="140"/>
        <v>0.70395118479600627</v>
      </c>
      <c r="Q260" s="25">
        <v>1.36852648578975E-2</v>
      </c>
      <c r="R260" s="25">
        <f t="shared" si="148"/>
        <v>0.9517241379310345</v>
      </c>
      <c r="S260" s="25">
        <f t="shared" si="149"/>
        <v>3.190646056282203E-4</v>
      </c>
      <c r="T260" s="25">
        <f t="shared" si="141"/>
        <v>0.91168358524634019</v>
      </c>
      <c r="U260" s="25">
        <v>4.4301614562592901E-3</v>
      </c>
      <c r="V260" s="25">
        <f t="shared" si="150"/>
        <v>4.8275862068965517E-2</v>
      </c>
      <c r="W260" s="26">
        <f t="shared" si="126"/>
        <v>3.190646056282204E-4</v>
      </c>
      <c r="X260" s="25">
        <f t="shared" si="142"/>
        <v>8.8316414753659991E-2</v>
      </c>
      <c r="Y260" s="25">
        <v>4.4348910059273296E-3</v>
      </c>
      <c r="Z260" s="25"/>
      <c r="AA260" s="25"/>
      <c r="AB260" s="25"/>
      <c r="AC260" s="25"/>
      <c r="AD260" s="25">
        <f t="shared" si="151"/>
        <v>0.8623188405797102</v>
      </c>
      <c r="AE260" s="25">
        <f t="shared" si="152"/>
        <v>8.6660626102901125E-4</v>
      </c>
      <c r="AF260" s="25">
        <f t="shared" si="143"/>
        <v>0.77283169560524012</v>
      </c>
      <c r="AG260" s="25">
        <v>1.6729418205888101E-2</v>
      </c>
    </row>
    <row r="261" spans="1:33" hidden="1" x14ac:dyDescent="0.3">
      <c r="A261" s="25">
        <v>2012</v>
      </c>
      <c r="B261" s="25" t="s">
        <v>9</v>
      </c>
      <c r="C261" s="25" t="s">
        <v>15</v>
      </c>
      <c r="D261" s="25">
        <f t="shared" si="132"/>
        <v>144</v>
      </c>
      <c r="E261" s="25">
        <v>4</v>
      </c>
      <c r="F261" s="25">
        <v>108</v>
      </c>
      <c r="G261" s="25">
        <v>139</v>
      </c>
      <c r="H261" s="25">
        <v>5</v>
      </c>
      <c r="I261" s="25">
        <f t="shared" si="122"/>
        <v>1</v>
      </c>
      <c r="J261" s="25">
        <f t="shared" si="144"/>
        <v>2.7777777777777776E-2</v>
      </c>
      <c r="K261" s="25">
        <f t="shared" si="145"/>
        <v>1.8885435552102217E-4</v>
      </c>
      <c r="L261" s="25">
        <f t="shared" si="139"/>
        <v>8.0637654688248114E-2</v>
      </c>
      <c r="M261" s="25">
        <v>4.2445054618600398E-3</v>
      </c>
      <c r="N261" s="25">
        <f t="shared" si="146"/>
        <v>0.75</v>
      </c>
      <c r="O261" s="25">
        <f t="shared" si="147"/>
        <v>1.3111888111888112E-3</v>
      </c>
      <c r="P261" s="25">
        <f t="shared" si="140"/>
        <v>0.70395118479600627</v>
      </c>
      <c r="Q261" s="25">
        <v>1.36852648578975E-2</v>
      </c>
      <c r="R261" s="25">
        <f t="shared" si="148"/>
        <v>0.96527777777777779</v>
      </c>
      <c r="S261" s="25">
        <f t="shared" si="149"/>
        <v>2.3438174479841137E-4</v>
      </c>
      <c r="T261" s="25">
        <f t="shared" si="141"/>
        <v>0.91168358524634019</v>
      </c>
      <c r="U261" s="25">
        <v>4.4301614562592901E-3</v>
      </c>
      <c r="V261" s="25">
        <f t="shared" si="150"/>
        <v>3.4722222222222224E-2</v>
      </c>
      <c r="W261" s="26">
        <f t="shared" si="126"/>
        <v>2.3438174479841145E-4</v>
      </c>
      <c r="X261" s="25">
        <f t="shared" si="142"/>
        <v>8.8316414753659991E-2</v>
      </c>
      <c r="Y261" s="25">
        <v>4.4348910059273296E-3</v>
      </c>
      <c r="Z261" s="25"/>
      <c r="AA261" s="25"/>
      <c r="AB261" s="25"/>
      <c r="AC261" s="25"/>
      <c r="AD261" s="25">
        <f t="shared" si="151"/>
        <v>0.7769784172661871</v>
      </c>
      <c r="AE261" s="25">
        <f t="shared" si="152"/>
        <v>1.2556735968747676E-3</v>
      </c>
      <c r="AF261" s="25">
        <f t="shared" si="143"/>
        <v>0.77283169560524012</v>
      </c>
      <c r="AG261" s="25">
        <v>1.6729418205888101E-2</v>
      </c>
    </row>
    <row r="262" spans="1:33" hidden="1" x14ac:dyDescent="0.3">
      <c r="A262" s="25">
        <v>2013</v>
      </c>
      <c r="B262" s="25" t="s">
        <v>9</v>
      </c>
      <c r="C262" s="25" t="s">
        <v>15</v>
      </c>
      <c r="D262" s="25">
        <f t="shared" si="132"/>
        <v>472</v>
      </c>
      <c r="E262" s="25">
        <v>19</v>
      </c>
      <c r="F262" s="25">
        <v>244</v>
      </c>
      <c r="G262" s="25">
        <v>452</v>
      </c>
      <c r="H262" s="25">
        <v>20</v>
      </c>
      <c r="I262" s="25">
        <f t="shared" si="122"/>
        <v>1</v>
      </c>
      <c r="J262" s="25">
        <f t="shared" si="144"/>
        <v>4.025423728813559E-2</v>
      </c>
      <c r="K262" s="25">
        <f t="shared" si="145"/>
        <v>8.2025124561541543E-5</v>
      </c>
      <c r="L262" s="25">
        <f t="shared" si="139"/>
        <v>8.0637654688248114E-2</v>
      </c>
      <c r="M262" s="25">
        <v>4.2445054618600398E-3</v>
      </c>
      <c r="N262" s="25">
        <f t="shared" si="146"/>
        <v>0.51694915254237284</v>
      </c>
      <c r="O262" s="25">
        <f t="shared" si="147"/>
        <v>5.3017563955009628E-4</v>
      </c>
      <c r="P262" s="25">
        <f t="shared" si="140"/>
        <v>0.70395118479600627</v>
      </c>
      <c r="Q262" s="25">
        <v>1.36852648578975E-2</v>
      </c>
      <c r="R262" s="25">
        <f t="shared" si="148"/>
        <v>0.9576271186440678</v>
      </c>
      <c r="S262" s="25">
        <f t="shared" si="149"/>
        <v>8.615163541725753E-5</v>
      </c>
      <c r="T262" s="25">
        <f t="shared" si="141"/>
        <v>0.91168358524634019</v>
      </c>
      <c r="U262" s="25">
        <v>4.4301614562592901E-3</v>
      </c>
      <c r="V262" s="25">
        <f t="shared" si="150"/>
        <v>4.2372881355932202E-2</v>
      </c>
      <c r="W262" s="26">
        <f t="shared" si="126"/>
        <v>8.615163541725753E-5</v>
      </c>
      <c r="X262" s="25">
        <f t="shared" si="142"/>
        <v>8.8316414753659991E-2</v>
      </c>
      <c r="Y262" s="25">
        <v>4.4348910059273296E-3</v>
      </c>
      <c r="Z262" s="25"/>
      <c r="AA262" s="25"/>
      <c r="AB262" s="25"/>
      <c r="AC262" s="25"/>
      <c r="AD262" s="25">
        <f t="shared" si="151"/>
        <v>0.53982300884955747</v>
      </c>
      <c r="AE262" s="25">
        <f t="shared" si="152"/>
        <v>5.5080737908241254E-4</v>
      </c>
      <c r="AF262" s="25">
        <f t="shared" si="143"/>
        <v>0.77283169560524012</v>
      </c>
      <c r="AG262" s="25">
        <v>1.6729418205888101E-2</v>
      </c>
    </row>
    <row r="263" spans="1:33" hidden="1" x14ac:dyDescent="0.3">
      <c r="A263" s="25">
        <v>2014</v>
      </c>
      <c r="B263" s="25" t="s">
        <v>9</v>
      </c>
      <c r="C263" s="25" t="s">
        <v>15</v>
      </c>
      <c r="D263" s="25">
        <f t="shared" si="132"/>
        <v>322</v>
      </c>
      <c r="E263" s="25">
        <v>13</v>
      </c>
      <c r="F263" s="25">
        <v>251</v>
      </c>
      <c r="G263" s="25">
        <v>308</v>
      </c>
      <c r="H263" s="25">
        <v>14</v>
      </c>
      <c r="I263" s="25">
        <f t="shared" si="122"/>
        <v>1</v>
      </c>
      <c r="J263" s="25">
        <f t="shared" si="144"/>
        <v>4.0372670807453416E-2</v>
      </c>
      <c r="K263" s="25">
        <f t="shared" si="145"/>
        <v>1.206938263530418E-4</v>
      </c>
      <c r="L263" s="25">
        <f t="shared" si="139"/>
        <v>8.0637654688248114E-2</v>
      </c>
      <c r="M263" s="25">
        <v>4.2445054618600398E-3</v>
      </c>
      <c r="N263" s="25">
        <f t="shared" si="146"/>
        <v>0.77950310559006208</v>
      </c>
      <c r="O263" s="25">
        <f t="shared" si="147"/>
        <v>5.3544552637230724E-4</v>
      </c>
      <c r="P263" s="25">
        <f t="shared" si="140"/>
        <v>0.70395118479600627</v>
      </c>
      <c r="Q263" s="25">
        <v>1.36852648578975E-2</v>
      </c>
      <c r="R263" s="25">
        <f t="shared" si="148"/>
        <v>0.95652173913043481</v>
      </c>
      <c r="S263" s="25">
        <f t="shared" si="149"/>
        <v>1.2955732617234649E-4</v>
      </c>
      <c r="T263" s="25">
        <f t="shared" si="141"/>
        <v>0.91168358524634019</v>
      </c>
      <c r="U263" s="25">
        <v>4.4301614562592901E-3</v>
      </c>
      <c r="V263" s="25">
        <f t="shared" si="150"/>
        <v>4.3478260869565216E-2</v>
      </c>
      <c r="W263" s="26">
        <f t="shared" si="126"/>
        <v>1.2955732617234657E-4</v>
      </c>
      <c r="X263" s="25">
        <f t="shared" si="142"/>
        <v>8.8316414753659991E-2</v>
      </c>
      <c r="Y263" s="25">
        <v>4.4348910059273296E-3</v>
      </c>
      <c r="Z263" s="25"/>
      <c r="AA263" s="25"/>
      <c r="AB263" s="25"/>
      <c r="AC263" s="25"/>
      <c r="AD263" s="25">
        <f t="shared" si="151"/>
        <v>0.81493506493506496</v>
      </c>
      <c r="AE263" s="25">
        <f t="shared" si="152"/>
        <v>4.9125701913467891E-4</v>
      </c>
      <c r="AF263" s="25">
        <f t="shared" si="143"/>
        <v>0.77283169560524012</v>
      </c>
      <c r="AG263" s="25">
        <v>1.6729418205888101E-2</v>
      </c>
    </row>
    <row r="264" spans="1:33" hidden="1" x14ac:dyDescent="0.3">
      <c r="A264" s="25">
        <v>2015</v>
      </c>
      <c r="B264" s="25" t="s">
        <v>9</v>
      </c>
      <c r="C264" s="25" t="s">
        <v>15</v>
      </c>
      <c r="D264" s="25">
        <f t="shared" si="132"/>
        <v>112</v>
      </c>
      <c r="E264" s="25">
        <v>9</v>
      </c>
      <c r="F264" s="25">
        <v>72</v>
      </c>
      <c r="G264" s="25">
        <v>103</v>
      </c>
      <c r="H264" s="25">
        <v>9</v>
      </c>
      <c r="I264" s="25">
        <f t="shared" si="122"/>
        <v>0</v>
      </c>
      <c r="J264" s="25">
        <f t="shared" si="144"/>
        <v>8.0357142857142863E-2</v>
      </c>
      <c r="K264" s="25">
        <f t="shared" si="145"/>
        <v>6.6576461665747379E-4</v>
      </c>
      <c r="L264" s="25">
        <f t="shared" si="139"/>
        <v>8.0637654688248114E-2</v>
      </c>
      <c r="M264" s="25">
        <v>4.2445054618600398E-3</v>
      </c>
      <c r="N264" s="25">
        <f t="shared" si="146"/>
        <v>0.6428571428571429</v>
      </c>
      <c r="O264" s="25">
        <f t="shared" si="147"/>
        <v>2.0683949255377826E-3</v>
      </c>
      <c r="P264" s="25">
        <f t="shared" si="140"/>
        <v>0.70395118479600627</v>
      </c>
      <c r="Q264" s="25">
        <v>1.36852648578975E-2</v>
      </c>
      <c r="R264" s="25">
        <f t="shared" si="148"/>
        <v>0.9196428571428571</v>
      </c>
      <c r="S264" s="25">
        <f t="shared" si="149"/>
        <v>6.6576461665747422E-4</v>
      </c>
      <c r="T264" s="25">
        <f t="shared" si="141"/>
        <v>0.91168358524634019</v>
      </c>
      <c r="U264" s="25">
        <v>4.4301614562592901E-3</v>
      </c>
      <c r="V264" s="25">
        <f t="shared" si="150"/>
        <v>8.0357142857142863E-2</v>
      </c>
      <c r="W264" s="26">
        <f t="shared" si="126"/>
        <v>6.6576461665747379E-4</v>
      </c>
      <c r="X264" s="25">
        <f t="shared" si="142"/>
        <v>8.8316414753659991E-2</v>
      </c>
      <c r="Y264" s="25">
        <v>4.4348910059273296E-3</v>
      </c>
      <c r="Z264" s="25"/>
      <c r="AA264" s="25"/>
      <c r="AB264" s="25"/>
      <c r="AC264" s="25"/>
      <c r="AD264" s="25">
        <f t="shared" si="151"/>
        <v>0.69902912621359226</v>
      </c>
      <c r="AE264" s="25">
        <f t="shared" si="152"/>
        <v>2.0626216364573917E-3</v>
      </c>
      <c r="AF264" s="25">
        <f t="shared" si="143"/>
        <v>0.77283169560524012</v>
      </c>
      <c r="AG264" s="25">
        <v>1.6729418205888101E-2</v>
      </c>
    </row>
    <row r="265" spans="1:33" hidden="1" x14ac:dyDescent="0.3">
      <c r="A265" s="25">
        <v>2016</v>
      </c>
      <c r="B265" s="25" t="s">
        <v>9</v>
      </c>
      <c r="C265" s="25" t="s">
        <v>15</v>
      </c>
      <c r="D265" s="25">
        <f t="shared" si="132"/>
        <v>332</v>
      </c>
      <c r="E265" s="25">
        <v>4</v>
      </c>
      <c r="F265" s="25">
        <v>175</v>
      </c>
      <c r="G265" s="25">
        <v>321</v>
      </c>
      <c r="H265" s="25">
        <v>11</v>
      </c>
      <c r="I265" s="25">
        <f t="shared" si="122"/>
        <v>7</v>
      </c>
      <c r="J265" s="25">
        <f t="shared" si="144"/>
        <v>1.2048192771084338E-2</v>
      </c>
      <c r="K265" s="25">
        <f t="shared" si="145"/>
        <v>3.5960827256903707E-5</v>
      </c>
      <c r="L265" s="25">
        <f t="shared" si="139"/>
        <v>8.0637654688248114E-2</v>
      </c>
      <c r="M265" s="25">
        <v>4.2445054618600398E-3</v>
      </c>
      <c r="N265" s="25">
        <f t="shared" si="146"/>
        <v>0.52710843373493976</v>
      </c>
      <c r="O265" s="25">
        <f t="shared" si="147"/>
        <v>7.5306686652700417E-4</v>
      </c>
      <c r="P265" s="25">
        <f t="shared" si="140"/>
        <v>0.70395118479600627</v>
      </c>
      <c r="Q265" s="25">
        <v>1.36852648578975E-2</v>
      </c>
      <c r="R265" s="25">
        <f t="shared" si="148"/>
        <v>0.9668674698795181</v>
      </c>
      <c r="S265" s="25">
        <f t="shared" si="149"/>
        <v>9.6781769088511349E-5</v>
      </c>
      <c r="T265" s="25">
        <f t="shared" si="141"/>
        <v>0.91168358524634019</v>
      </c>
      <c r="U265" s="25">
        <v>4.4301614562592901E-3</v>
      </c>
      <c r="V265" s="25">
        <f t="shared" si="150"/>
        <v>3.313253012048193E-2</v>
      </c>
      <c r="W265" s="26">
        <f t="shared" si="126"/>
        <v>9.6781769088511457E-5</v>
      </c>
      <c r="X265" s="25">
        <f t="shared" si="142"/>
        <v>8.8316414753659991E-2</v>
      </c>
      <c r="Y265" s="25">
        <v>4.4348910059273296E-3</v>
      </c>
      <c r="Z265" s="25"/>
      <c r="AA265" s="25"/>
      <c r="AB265" s="25"/>
      <c r="AC265" s="25"/>
      <c r="AD265" s="25">
        <f t="shared" si="151"/>
        <v>0.54517133956386288</v>
      </c>
      <c r="AE265" s="25">
        <f t="shared" si="152"/>
        <v>7.7487359400626944E-4</v>
      </c>
      <c r="AF265" s="25">
        <f t="shared" si="143"/>
        <v>0.77283169560524012</v>
      </c>
      <c r="AG265" s="25">
        <v>1.6729418205888101E-2</v>
      </c>
    </row>
    <row r="266" spans="1:33" hidden="1" x14ac:dyDescent="0.3">
      <c r="A266" s="25">
        <v>2017</v>
      </c>
      <c r="B266" s="25" t="s">
        <v>9</v>
      </c>
      <c r="C266" s="25" t="s">
        <v>15</v>
      </c>
      <c r="D266" s="25">
        <f t="shared" si="132"/>
        <v>245</v>
      </c>
      <c r="E266" s="25">
        <v>5</v>
      </c>
      <c r="F266" s="25">
        <v>150</v>
      </c>
      <c r="G266" s="25">
        <v>239</v>
      </c>
      <c r="H266" s="25">
        <v>6</v>
      </c>
      <c r="I266" s="25">
        <f t="shared" si="122"/>
        <v>1</v>
      </c>
      <c r="J266" s="25">
        <f t="shared" si="144"/>
        <v>2.0408163265306121E-2</v>
      </c>
      <c r="K266" s="25">
        <f t="shared" si="145"/>
        <v>8.1933074333781687E-5</v>
      </c>
      <c r="L266" s="25">
        <f t="shared" si="139"/>
        <v>8.0637654688248114E-2</v>
      </c>
      <c r="M266" s="25">
        <v>4.2445054618600398E-3</v>
      </c>
      <c r="N266" s="25">
        <f t="shared" si="146"/>
        <v>0.61224489795918369</v>
      </c>
      <c r="O266" s="25">
        <f t="shared" si="147"/>
        <v>9.7295525771365755E-4</v>
      </c>
      <c r="P266" s="25">
        <f t="shared" si="140"/>
        <v>0.70395118479600627</v>
      </c>
      <c r="Q266" s="25">
        <v>1.36852648578975E-2</v>
      </c>
      <c r="R266" s="25">
        <f t="shared" si="148"/>
        <v>0.97551020408163269</v>
      </c>
      <c r="S266" s="25">
        <f t="shared" si="149"/>
        <v>9.7910023828868975E-5</v>
      </c>
      <c r="T266" s="25">
        <f t="shared" si="141"/>
        <v>0.91168358524634019</v>
      </c>
      <c r="U266" s="25">
        <v>4.4301614562592901E-3</v>
      </c>
      <c r="V266" s="25">
        <f t="shared" si="150"/>
        <v>2.4489795918367346E-2</v>
      </c>
      <c r="W266" s="26">
        <f t="shared" si="126"/>
        <v>9.7910023828869111E-5</v>
      </c>
      <c r="X266" s="25">
        <f t="shared" si="142"/>
        <v>8.8316414753659991E-2</v>
      </c>
      <c r="Y266" s="25">
        <v>4.4348910059273296E-3</v>
      </c>
      <c r="Z266" s="25"/>
      <c r="AA266" s="25"/>
      <c r="AB266" s="25"/>
      <c r="AC266" s="25"/>
      <c r="AD266" s="25">
        <f t="shared" si="151"/>
        <v>0.62761506276150625</v>
      </c>
      <c r="AE266" s="25">
        <f t="shared" si="152"/>
        <v>9.8199325948057485E-4</v>
      </c>
      <c r="AF266" s="25">
        <f t="shared" si="143"/>
        <v>0.77283169560524012</v>
      </c>
      <c r="AG266" s="25">
        <v>1.6729418205888101E-2</v>
      </c>
    </row>
    <row r="267" spans="1:33" hidden="1" x14ac:dyDescent="0.3">
      <c r="A267" s="25">
        <v>2018</v>
      </c>
      <c r="B267" s="25" t="s">
        <v>9</v>
      </c>
      <c r="C267" s="25" t="s">
        <v>15</v>
      </c>
      <c r="D267" s="25">
        <f t="shared" si="132"/>
        <v>343</v>
      </c>
      <c r="E267" s="25">
        <v>6</v>
      </c>
      <c r="F267" s="25">
        <v>252</v>
      </c>
      <c r="G267" s="25">
        <v>333</v>
      </c>
      <c r="H267" s="25">
        <v>10</v>
      </c>
      <c r="I267" s="25">
        <f t="shared" ref="I267:I339" si="153">H267-E267</f>
        <v>4</v>
      </c>
      <c r="J267" s="25">
        <f t="shared" si="144"/>
        <v>1.7492711370262391E-2</v>
      </c>
      <c r="K267" s="25">
        <f t="shared" si="145"/>
        <v>5.0253556781225395E-5</v>
      </c>
      <c r="L267" s="25">
        <f>AVERAGE(J$247:J$268)</f>
        <v>8.0637654688248114E-2</v>
      </c>
      <c r="M267" s="25">
        <v>4.2445054618600398E-3</v>
      </c>
      <c r="N267" s="25">
        <f t="shared" si="146"/>
        <v>0.73469387755102045</v>
      </c>
      <c r="O267" s="25">
        <f t="shared" si="147"/>
        <v>5.6993796444463924E-4</v>
      </c>
      <c r="P267" s="25">
        <f>AVERAGE(N$247:N$268)</f>
        <v>0.70395118479600627</v>
      </c>
      <c r="Q267" s="25">
        <v>1.36852648578975E-2</v>
      </c>
      <c r="R267" s="25">
        <f t="shared" si="148"/>
        <v>0.9708454810495627</v>
      </c>
      <c r="S267" s="25">
        <f t="shared" si="149"/>
        <v>8.2761792325163435E-5</v>
      </c>
      <c r="T267" s="25">
        <f>AVERAGE(R$247:R$268)</f>
        <v>0.91168358524634019</v>
      </c>
      <c r="U267" s="25">
        <v>4.4301614562592901E-3</v>
      </c>
      <c r="V267" s="25">
        <f t="shared" si="150"/>
        <v>2.9154518950437316E-2</v>
      </c>
      <c r="W267" s="26">
        <f t="shared" si="126"/>
        <v>8.2761792325163476E-5</v>
      </c>
      <c r="X267" s="25">
        <f>AVERAGE(V$247:V$268)</f>
        <v>8.8316414753659991E-2</v>
      </c>
      <c r="Y267" s="25">
        <v>4.4348910059273296E-3</v>
      </c>
      <c r="Z267" s="25"/>
      <c r="AA267" s="25"/>
      <c r="AB267" s="25"/>
      <c r="AC267" s="25"/>
      <c r="AD267" s="25">
        <f t="shared" si="151"/>
        <v>0.7567567567567568</v>
      </c>
      <c r="AE267" s="25">
        <f t="shared" si="152"/>
        <v>5.5444568632455305E-4</v>
      </c>
      <c r="AF267" s="25">
        <f t="shared" si="143"/>
        <v>0.77283169560524012</v>
      </c>
      <c r="AG267" s="25">
        <v>1.6729418205888101E-2</v>
      </c>
    </row>
    <row r="268" spans="1:33" hidden="1" x14ac:dyDescent="0.3">
      <c r="A268" s="25">
        <v>2019</v>
      </c>
      <c r="B268" s="25" t="s">
        <v>9</v>
      </c>
      <c r="C268" s="25" t="s">
        <v>15</v>
      </c>
      <c r="D268" s="25">
        <f t="shared" si="132"/>
        <v>229</v>
      </c>
      <c r="E268" s="25">
        <v>11</v>
      </c>
      <c r="F268" s="25">
        <v>176</v>
      </c>
      <c r="G268" s="25">
        <v>217</v>
      </c>
      <c r="H268" s="25">
        <v>12</v>
      </c>
      <c r="I268" s="25">
        <f t="shared" si="153"/>
        <v>1</v>
      </c>
      <c r="J268" s="25">
        <f t="shared" ref="J268:J270" si="154">E268/D268</f>
        <v>4.8034934497816595E-2</v>
      </c>
      <c r="K268" s="25">
        <f t="shared" ref="K268:K270" si="155">(J268*(1-J268))/(D268-1)</f>
        <v>2.005595594982766E-4</v>
      </c>
      <c r="L268" s="25">
        <f>AVERAGE(J$247:J$268)</f>
        <v>8.0637654688248114E-2</v>
      </c>
      <c r="M268" s="25">
        <v>4.2445054618600398E-3</v>
      </c>
      <c r="N268" s="25">
        <f t="shared" ref="N268:N270" si="156">F268/D268</f>
        <v>0.76855895196506552</v>
      </c>
      <c r="O268" s="25">
        <f t="shared" ref="O268:O270" si="157">(N268*(1-N268))/($D268-1)</f>
        <v>7.8015828648870893E-4</v>
      </c>
      <c r="P268" s="25">
        <f>AVERAGE(N$247:N$268)</f>
        <v>0.70395118479600627</v>
      </c>
      <c r="Q268" s="25">
        <v>1.36852648578975E-2</v>
      </c>
      <c r="R268" s="25">
        <f t="shared" ref="R268:R270" si="158">G268/D268</f>
        <v>0.94759825327510916</v>
      </c>
      <c r="S268" s="25">
        <f t="shared" ref="S268:S270" si="159">(R268*(1-R268))/($D268-1)</f>
        <v>2.1778861256610191E-4</v>
      </c>
      <c r="T268" s="25">
        <f>AVERAGE(R$247:R$268)</f>
        <v>0.91168358524634019</v>
      </c>
      <c r="U268" s="25">
        <v>4.4301614562592901E-3</v>
      </c>
      <c r="V268" s="25">
        <f t="shared" ref="V268:V270" si="160">H268/D268</f>
        <v>5.2401746724890827E-2</v>
      </c>
      <c r="W268" s="26">
        <f t="shared" ref="W268:W270" si="161">(V268*(1-V268))/(D268-1)</f>
        <v>2.1778861256610183E-4</v>
      </c>
      <c r="X268" s="25">
        <f>AVERAGE(V$247:V$268)</f>
        <v>8.8316414753659991E-2</v>
      </c>
      <c r="Y268" s="25">
        <v>4.4348910059273296E-3</v>
      </c>
      <c r="Z268" s="25"/>
      <c r="AA268" s="25"/>
      <c r="AB268" s="25"/>
      <c r="AC268" s="25"/>
      <c r="AD268" s="25">
        <f t="shared" si="151"/>
        <v>0.81105990783410142</v>
      </c>
      <c r="AE268" s="25">
        <f t="shared" si="152"/>
        <v>7.0945247101037183E-4</v>
      </c>
      <c r="AF268" s="25">
        <f t="shared" si="143"/>
        <v>0.77283169560524012</v>
      </c>
      <c r="AG268" s="25">
        <v>1.6729418205888101E-2</v>
      </c>
    </row>
    <row r="269" spans="1:33" hidden="1" x14ac:dyDescent="0.3">
      <c r="A269" s="25">
        <v>2020</v>
      </c>
      <c r="B269" s="25" t="s">
        <v>9</v>
      </c>
      <c r="C269" s="25" t="s">
        <v>15</v>
      </c>
      <c r="D269" s="25">
        <f t="shared" si="132"/>
        <v>77</v>
      </c>
      <c r="E269" s="25">
        <v>3</v>
      </c>
      <c r="F269" s="25">
        <v>55</v>
      </c>
      <c r="G269" s="25">
        <v>74</v>
      </c>
      <c r="H269" s="25">
        <v>3</v>
      </c>
      <c r="I269" s="25">
        <f t="shared" si="153"/>
        <v>0</v>
      </c>
      <c r="J269" s="25">
        <f t="shared" si="154"/>
        <v>3.896103896103896E-2</v>
      </c>
      <c r="K269" s="25">
        <f t="shared" si="155"/>
        <v>4.9267205794888635E-4</v>
      </c>
      <c r="L269" s="25"/>
      <c r="M269" s="25"/>
      <c r="N269" s="25">
        <f t="shared" si="156"/>
        <v>0.7142857142857143</v>
      </c>
      <c r="O269" s="25">
        <f t="shared" si="157"/>
        <v>2.6852846401718583E-3</v>
      </c>
      <c r="P269" s="25"/>
      <c r="Q269" s="25"/>
      <c r="R269" s="25">
        <f t="shared" si="158"/>
        <v>0.96103896103896103</v>
      </c>
      <c r="S269" s="25">
        <f t="shared" si="159"/>
        <v>4.9267205794888656E-4</v>
      </c>
      <c r="T269" s="25"/>
      <c r="U269" s="25"/>
      <c r="V269" s="25">
        <f t="shared" si="160"/>
        <v>3.896103896103896E-2</v>
      </c>
      <c r="W269" s="26">
        <f t="shared" si="161"/>
        <v>4.9267205794888635E-4</v>
      </c>
      <c r="X269" s="25"/>
      <c r="Y269" s="25"/>
      <c r="Z269" s="25"/>
      <c r="AA269" s="25"/>
      <c r="AB269" s="25"/>
      <c r="AC269" s="25"/>
      <c r="AD269" s="25">
        <f t="shared" ref="AD269:AD270" si="162">F269/G269</f>
        <v>0.7432432432432432</v>
      </c>
      <c r="AE269" s="25">
        <f t="shared" ref="AE269:AE270" si="163">(AD269*(1-AD269))/(G269-1)</f>
        <v>2.6141469125549096E-3</v>
      </c>
      <c r="AF269" s="25"/>
      <c r="AG269" s="25"/>
    </row>
    <row r="270" spans="1:33" hidden="1" x14ac:dyDescent="0.3">
      <c r="A270" s="25">
        <v>2021</v>
      </c>
      <c r="B270" s="25" t="s">
        <v>9</v>
      </c>
      <c r="C270" s="25" t="s">
        <v>15</v>
      </c>
      <c r="D270" s="25">
        <f t="shared" si="132"/>
        <v>344</v>
      </c>
      <c r="E270" s="25">
        <v>8</v>
      </c>
      <c r="F270" s="25">
        <v>299</v>
      </c>
      <c r="G270" s="25">
        <v>333</v>
      </c>
      <c r="H270" s="25">
        <v>11</v>
      </c>
      <c r="I270" s="25">
        <f t="shared" si="153"/>
        <v>3</v>
      </c>
      <c r="J270" s="25">
        <f t="shared" si="154"/>
        <v>2.3255813953488372E-2</v>
      </c>
      <c r="K270" s="25">
        <f t="shared" si="155"/>
        <v>6.6224434608889521E-5</v>
      </c>
      <c r="L270" s="25"/>
      <c r="M270" s="25"/>
      <c r="N270" s="25">
        <f t="shared" si="156"/>
        <v>0.8691860465116279</v>
      </c>
      <c r="O270" s="25">
        <f t="shared" si="157"/>
        <v>3.3149172904114907E-4</v>
      </c>
      <c r="P270" s="25"/>
      <c r="Q270" s="25"/>
      <c r="R270" s="25">
        <f t="shared" si="158"/>
        <v>0.96802325581395354</v>
      </c>
      <c r="S270" s="25">
        <f t="shared" si="159"/>
        <v>9.0245574394479884E-5</v>
      </c>
      <c r="T270" s="25"/>
      <c r="U270" s="25"/>
      <c r="V270" s="25">
        <f t="shared" si="160"/>
        <v>3.1976744186046513E-2</v>
      </c>
      <c r="W270" s="26">
        <f t="shared" si="161"/>
        <v>9.0245574394480033E-5</v>
      </c>
      <c r="X270" s="25"/>
      <c r="Y270" s="25"/>
      <c r="Z270" s="25"/>
      <c r="AA270" s="25"/>
      <c r="AB270" s="25"/>
      <c r="AC270" s="25"/>
      <c r="AD270" s="25">
        <f t="shared" si="162"/>
        <v>0.89789789789789787</v>
      </c>
      <c r="AE270" s="25">
        <f t="shared" si="163"/>
        <v>2.761363338808254E-4</v>
      </c>
      <c r="AF270" s="25"/>
      <c r="AG270" s="25"/>
    </row>
    <row r="271" spans="1:33" hidden="1" x14ac:dyDescent="0.3">
      <c r="A271" s="25">
        <v>2022</v>
      </c>
      <c r="B271" s="15" t="s">
        <v>9</v>
      </c>
      <c r="C271" s="15" t="s">
        <v>15</v>
      </c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6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</row>
    <row r="272" spans="1:33" hidden="1" x14ac:dyDescent="0.3">
      <c r="A272">
        <v>1993</v>
      </c>
      <c r="B272" t="s">
        <v>11</v>
      </c>
      <c r="C272" t="s">
        <v>15</v>
      </c>
      <c r="D272">
        <f t="shared" si="132"/>
        <v>186</v>
      </c>
      <c r="E272">
        <v>1</v>
      </c>
      <c r="F272">
        <v>161</v>
      </c>
      <c r="G272">
        <v>185</v>
      </c>
      <c r="H272">
        <v>1</v>
      </c>
      <c r="I272">
        <f t="shared" si="153"/>
        <v>0</v>
      </c>
      <c r="J272">
        <f t="shared" si="144"/>
        <v>5.3763440860215058E-3</v>
      </c>
      <c r="K272">
        <f t="shared" si="145"/>
        <v>2.8905075731298421E-5</v>
      </c>
      <c r="N272">
        <f t="shared" si="146"/>
        <v>0.86559139784946237</v>
      </c>
      <c r="O272">
        <f t="shared" si="147"/>
        <v>6.288807017214925E-4</v>
      </c>
      <c r="R272">
        <f t="shared" si="148"/>
        <v>0.9946236559139785</v>
      </c>
      <c r="S272">
        <f t="shared" si="149"/>
        <v>2.8905075731298391E-5</v>
      </c>
      <c r="V272">
        <f t="shared" si="150"/>
        <v>5.3763440860215058E-3</v>
      </c>
      <c r="W272" s="23">
        <f t="shared" si="126"/>
        <v>2.8905075731298421E-5</v>
      </c>
      <c r="AD272">
        <f t="shared" si="151"/>
        <v>0.87027027027027026</v>
      </c>
      <c r="AE272">
        <f t="shared" si="152"/>
        <v>6.1358655953250556E-4</v>
      </c>
    </row>
    <row r="273" spans="1:33" hidden="1" x14ac:dyDescent="0.3">
      <c r="A273">
        <v>1994</v>
      </c>
      <c r="B273" t="s">
        <v>11</v>
      </c>
      <c r="C273" t="s">
        <v>15</v>
      </c>
      <c r="D273">
        <f t="shared" si="132"/>
        <v>73</v>
      </c>
      <c r="E273">
        <v>1</v>
      </c>
      <c r="F273">
        <v>58</v>
      </c>
      <c r="G273">
        <v>72</v>
      </c>
      <c r="H273">
        <v>1</v>
      </c>
      <c r="I273">
        <f t="shared" si="153"/>
        <v>0</v>
      </c>
      <c r="J273">
        <f t="shared" si="144"/>
        <v>1.3698630136986301E-2</v>
      </c>
      <c r="K273">
        <f t="shared" si="145"/>
        <v>1.8765246762994932E-4</v>
      </c>
      <c r="N273">
        <f t="shared" si="146"/>
        <v>0.79452054794520544</v>
      </c>
      <c r="O273">
        <f t="shared" si="147"/>
        <v>2.2674673171952215E-3</v>
      </c>
      <c r="R273">
        <f t="shared" si="148"/>
        <v>0.98630136986301364</v>
      </c>
      <c r="S273">
        <f t="shared" si="149"/>
        <v>1.8765246762995007E-4</v>
      </c>
      <c r="V273">
        <f t="shared" si="150"/>
        <v>1.3698630136986301E-2</v>
      </c>
      <c r="W273" s="23">
        <f t="shared" si="126"/>
        <v>1.8765246762994932E-4</v>
      </c>
      <c r="AD273">
        <f t="shared" si="151"/>
        <v>0.80555555555555558</v>
      </c>
      <c r="AE273">
        <f t="shared" si="152"/>
        <v>2.2061380629455744E-3</v>
      </c>
    </row>
    <row r="274" spans="1:33" hidden="1" x14ac:dyDescent="0.3">
      <c r="A274">
        <v>1995</v>
      </c>
      <c r="B274" t="s">
        <v>11</v>
      </c>
      <c r="C274" t="s">
        <v>15</v>
      </c>
      <c r="D274">
        <f t="shared" si="132"/>
        <v>106</v>
      </c>
      <c r="E274">
        <v>9</v>
      </c>
      <c r="F274">
        <v>62</v>
      </c>
      <c r="G274">
        <v>97</v>
      </c>
      <c r="H274">
        <v>9</v>
      </c>
      <c r="I274">
        <f t="shared" si="153"/>
        <v>0</v>
      </c>
      <c r="J274">
        <f t="shared" si="144"/>
        <v>8.4905660377358486E-2</v>
      </c>
      <c r="K274">
        <f t="shared" si="145"/>
        <v>7.3996846869755378E-4</v>
      </c>
      <c r="N274">
        <f t="shared" si="146"/>
        <v>0.58490566037735847</v>
      </c>
      <c r="O274">
        <f t="shared" si="147"/>
        <v>2.3122955127227109E-3</v>
      </c>
      <c r="R274">
        <f t="shared" si="148"/>
        <v>0.91509433962264153</v>
      </c>
      <c r="S274">
        <f t="shared" si="149"/>
        <v>7.3996846869755367E-4</v>
      </c>
      <c r="V274">
        <f t="shared" si="150"/>
        <v>8.4905660377358486E-2</v>
      </c>
      <c r="W274" s="23">
        <f t="shared" si="126"/>
        <v>7.3996846869755378E-4</v>
      </c>
      <c r="AD274">
        <f t="shared" si="151"/>
        <v>0.63917525773195871</v>
      </c>
      <c r="AE274">
        <f t="shared" si="152"/>
        <v>2.4023984128671134E-3</v>
      </c>
    </row>
    <row r="275" spans="1:33" hidden="1" x14ac:dyDescent="0.3">
      <c r="A275">
        <v>1996</v>
      </c>
      <c r="B275" t="s">
        <v>11</v>
      </c>
      <c r="C275" t="s">
        <v>15</v>
      </c>
      <c r="D275">
        <f t="shared" si="132"/>
        <v>74</v>
      </c>
      <c r="E275">
        <v>0</v>
      </c>
      <c r="F275">
        <v>65</v>
      </c>
      <c r="G275">
        <v>73</v>
      </c>
      <c r="H275">
        <v>1</v>
      </c>
      <c r="I275">
        <f t="shared" si="153"/>
        <v>1</v>
      </c>
      <c r="J275">
        <f t="shared" si="144"/>
        <v>0</v>
      </c>
      <c r="K275">
        <f t="shared" si="145"/>
        <v>0</v>
      </c>
      <c r="N275">
        <f t="shared" si="146"/>
        <v>0.8783783783783784</v>
      </c>
      <c r="O275">
        <f t="shared" si="147"/>
        <v>1.4634219558321739E-3</v>
      </c>
      <c r="R275">
        <f t="shared" si="148"/>
        <v>0.98648648648648651</v>
      </c>
      <c r="S275">
        <f t="shared" si="149"/>
        <v>1.82615047479912E-4</v>
      </c>
      <c r="V275">
        <f t="shared" si="150"/>
        <v>1.3513513513513514E-2</v>
      </c>
      <c r="W275" s="23">
        <f t="shared" si="126"/>
        <v>1.8261504747991238E-4</v>
      </c>
      <c r="AD275">
        <f t="shared" si="151"/>
        <v>0.8904109589041096</v>
      </c>
      <c r="AE275">
        <f t="shared" si="152"/>
        <v>1.3552678217718564E-3</v>
      </c>
    </row>
    <row r="276" spans="1:33" hidden="1" x14ac:dyDescent="0.3">
      <c r="A276">
        <v>1997</v>
      </c>
      <c r="B276" t="s">
        <v>11</v>
      </c>
      <c r="C276" t="s">
        <v>15</v>
      </c>
      <c r="D276">
        <f t="shared" si="132"/>
        <v>29</v>
      </c>
      <c r="E276">
        <v>2</v>
      </c>
      <c r="F276">
        <v>26</v>
      </c>
      <c r="G276">
        <v>27</v>
      </c>
      <c r="H276">
        <v>2</v>
      </c>
      <c r="I276">
        <f t="shared" si="153"/>
        <v>0</v>
      </c>
    </row>
    <row r="277" spans="1:33" hidden="1" x14ac:dyDescent="0.3">
      <c r="A277">
        <v>1998</v>
      </c>
      <c r="B277" t="s">
        <v>11</v>
      </c>
      <c r="C277" t="s">
        <v>15</v>
      </c>
      <c r="D277">
        <f t="shared" si="132"/>
        <v>90</v>
      </c>
      <c r="E277">
        <v>3</v>
      </c>
      <c r="F277">
        <v>75</v>
      </c>
      <c r="G277">
        <v>87</v>
      </c>
      <c r="H277">
        <v>3</v>
      </c>
      <c r="I277">
        <f t="shared" si="153"/>
        <v>0</v>
      </c>
      <c r="J277">
        <f t="shared" si="144"/>
        <v>3.3333333333333333E-2</v>
      </c>
      <c r="K277">
        <f t="shared" si="145"/>
        <v>3.6204744069912606E-4</v>
      </c>
      <c r="L277">
        <f t="shared" ref="L277:L296" si="164">AVERAGE(J$277:J$288,J$290:J$298)</f>
        <v>3.0639151044043043E-2</v>
      </c>
      <c r="M277">
        <v>7.0238748683799804E-4</v>
      </c>
      <c r="N277">
        <f t="shared" si="146"/>
        <v>0.83333333333333337</v>
      </c>
      <c r="O277">
        <f t="shared" si="147"/>
        <v>1.5605493133583018E-3</v>
      </c>
      <c r="P277">
        <f t="shared" ref="P277:P296" si="165">AVERAGE(N$277:N$288,N$290:N$298)</f>
        <v>0.75033909644950614</v>
      </c>
      <c r="Q277">
        <v>6.1451115363430698E-3</v>
      </c>
      <c r="R277">
        <f t="shared" si="148"/>
        <v>0.96666666666666667</v>
      </c>
      <c r="S277">
        <f t="shared" si="149"/>
        <v>3.6204744069912601E-4</v>
      </c>
      <c r="T277">
        <f t="shared" ref="T277:T296" si="166">AVERAGE(R$277:R$288,R$290:R$298)</f>
        <v>0.96256721449355198</v>
      </c>
      <c r="U277">
        <v>8.1366335611916796E-4</v>
      </c>
      <c r="V277">
        <f t="shared" si="150"/>
        <v>3.3333333333333333E-2</v>
      </c>
      <c r="W277" s="23">
        <f t="shared" si="126"/>
        <v>3.6204744069912606E-4</v>
      </c>
      <c r="X277">
        <f t="shared" ref="X277:X296" si="167">AVERAGE(V$277:V$288,V$290:V$298)</f>
        <v>3.7432785506447665E-2</v>
      </c>
      <c r="Y277">
        <v>8.18889604601043E-4</v>
      </c>
      <c r="AD277">
        <f t="shared" si="151"/>
        <v>0.86206896551724133</v>
      </c>
      <c r="AE277">
        <f t="shared" si="152"/>
        <v>1.3826286535962176E-3</v>
      </c>
      <c r="AF277">
        <f t="shared" ref="AF277:AF296" si="168">AVERAGE(AD$277:AD$288,AD$290:AD$298)</f>
        <v>0.77882408104470657</v>
      </c>
      <c r="AG277">
        <v>5.2025834466097997E-3</v>
      </c>
    </row>
    <row r="278" spans="1:33" hidden="1" x14ac:dyDescent="0.3">
      <c r="A278">
        <v>1999</v>
      </c>
      <c r="B278" t="s">
        <v>11</v>
      </c>
      <c r="C278" t="s">
        <v>15</v>
      </c>
      <c r="D278">
        <f t="shared" si="132"/>
        <v>223</v>
      </c>
      <c r="E278">
        <v>6</v>
      </c>
      <c r="F278">
        <v>159</v>
      </c>
      <c r="G278">
        <v>217</v>
      </c>
      <c r="H278">
        <v>6</v>
      </c>
      <c r="I278">
        <f t="shared" si="153"/>
        <v>0</v>
      </c>
      <c r="J278">
        <f t="shared" si="144"/>
        <v>2.6905829596412557E-2</v>
      </c>
      <c r="K278">
        <f t="shared" si="145"/>
        <v>1.1793651319883499E-4</v>
      </c>
      <c r="L278">
        <f t="shared" si="164"/>
        <v>3.0639151044043043E-2</v>
      </c>
      <c r="M278">
        <v>7.0238748683799804E-4</v>
      </c>
      <c r="N278">
        <f t="shared" si="146"/>
        <v>0.71300448430493268</v>
      </c>
      <c r="O278">
        <f t="shared" si="147"/>
        <v>9.2175265615310675E-4</v>
      </c>
      <c r="P278">
        <f t="shared" si="165"/>
        <v>0.75033909644950614</v>
      </c>
      <c r="Q278">
        <v>6.1451115363430698E-3</v>
      </c>
      <c r="R278">
        <f t="shared" si="148"/>
        <v>0.97309417040358748</v>
      </c>
      <c r="S278">
        <f t="shared" si="149"/>
        <v>1.1793651319883483E-4</v>
      </c>
      <c r="T278">
        <f t="shared" si="166"/>
        <v>0.96256721449355198</v>
      </c>
      <c r="U278">
        <v>8.1366335611916796E-4</v>
      </c>
      <c r="V278">
        <f t="shared" si="150"/>
        <v>2.6905829596412557E-2</v>
      </c>
      <c r="W278" s="23">
        <f t="shared" si="126"/>
        <v>1.1793651319883499E-4</v>
      </c>
      <c r="X278">
        <f t="shared" si="167"/>
        <v>3.7432785506447665E-2</v>
      </c>
      <c r="Y278">
        <v>8.18889604601043E-4</v>
      </c>
      <c r="AD278">
        <f t="shared" si="151"/>
        <v>0.73271889400921664</v>
      </c>
      <c r="AE278">
        <f t="shared" si="152"/>
        <v>9.0667553875521754E-4</v>
      </c>
      <c r="AF278">
        <f t="shared" si="168"/>
        <v>0.77882408104470657</v>
      </c>
      <c r="AG278">
        <v>5.2025834466097997E-3</v>
      </c>
    </row>
    <row r="279" spans="1:33" hidden="1" x14ac:dyDescent="0.3">
      <c r="A279">
        <v>2000</v>
      </c>
      <c r="B279" t="s">
        <v>11</v>
      </c>
      <c r="C279" t="s">
        <v>15</v>
      </c>
      <c r="D279">
        <f t="shared" si="132"/>
        <v>195</v>
      </c>
      <c r="E279">
        <v>1</v>
      </c>
      <c r="F279">
        <v>145</v>
      </c>
      <c r="G279">
        <v>194</v>
      </c>
      <c r="H279">
        <v>1</v>
      </c>
      <c r="I279">
        <f t="shared" si="153"/>
        <v>0</v>
      </c>
      <c r="J279">
        <f t="shared" si="144"/>
        <v>5.1282051282051282E-3</v>
      </c>
      <c r="K279">
        <f t="shared" si="145"/>
        <v>2.6298487836949379E-5</v>
      </c>
      <c r="L279">
        <f t="shared" si="164"/>
        <v>3.0639151044043043E-2</v>
      </c>
      <c r="M279">
        <v>7.0238748683799804E-4</v>
      </c>
      <c r="N279">
        <f t="shared" si="146"/>
        <v>0.74358974358974361</v>
      </c>
      <c r="O279">
        <f t="shared" si="147"/>
        <v>9.8280431349424217E-4</v>
      </c>
      <c r="P279">
        <f t="shared" si="165"/>
        <v>0.75033909644950614</v>
      </c>
      <c r="Q279">
        <v>6.1451115363430698E-3</v>
      </c>
      <c r="R279">
        <f t="shared" si="148"/>
        <v>0.99487179487179489</v>
      </c>
      <c r="S279">
        <f t="shared" si="149"/>
        <v>2.6298487836949284E-5</v>
      </c>
      <c r="T279">
        <f t="shared" si="166"/>
        <v>0.96256721449355198</v>
      </c>
      <c r="U279">
        <v>8.1366335611916796E-4</v>
      </c>
      <c r="V279">
        <f t="shared" si="150"/>
        <v>5.1282051282051282E-3</v>
      </c>
      <c r="W279" s="23">
        <f t="shared" si="126"/>
        <v>2.6298487836949379E-5</v>
      </c>
      <c r="X279">
        <f t="shared" si="167"/>
        <v>3.7432785506447665E-2</v>
      </c>
      <c r="Y279">
        <v>8.18889604601043E-4</v>
      </c>
      <c r="AD279">
        <f t="shared" si="151"/>
        <v>0.74742268041237114</v>
      </c>
      <c r="AE279">
        <f t="shared" si="152"/>
        <v>9.7814516693035054E-4</v>
      </c>
      <c r="AF279">
        <f t="shared" si="168"/>
        <v>0.77882408104470657</v>
      </c>
      <c r="AG279">
        <v>5.2025834466097997E-3</v>
      </c>
    </row>
    <row r="280" spans="1:33" hidden="1" x14ac:dyDescent="0.3">
      <c r="A280">
        <v>2001</v>
      </c>
      <c r="B280" t="s">
        <v>11</v>
      </c>
      <c r="C280" t="s">
        <v>15</v>
      </c>
      <c r="D280">
        <f t="shared" si="132"/>
        <v>89</v>
      </c>
      <c r="E280">
        <v>0</v>
      </c>
      <c r="F280">
        <v>73</v>
      </c>
      <c r="G280">
        <v>89</v>
      </c>
      <c r="H280">
        <v>0</v>
      </c>
      <c r="I280">
        <f t="shared" si="153"/>
        <v>0</v>
      </c>
      <c r="J280">
        <f t="shared" si="144"/>
        <v>0</v>
      </c>
      <c r="K280">
        <f t="shared" si="145"/>
        <v>0</v>
      </c>
      <c r="L280">
        <f t="shared" si="164"/>
        <v>3.0639151044043043E-2</v>
      </c>
      <c r="M280">
        <v>7.0238748683799804E-4</v>
      </c>
      <c r="N280">
        <f t="shared" si="146"/>
        <v>0.8202247191011236</v>
      </c>
      <c r="O280">
        <f t="shared" si="147"/>
        <v>1.6756378326887101E-3</v>
      </c>
      <c r="P280">
        <f t="shared" si="165"/>
        <v>0.75033909644950614</v>
      </c>
      <c r="Q280">
        <v>6.1451115363430698E-3</v>
      </c>
      <c r="R280">
        <f t="shared" si="148"/>
        <v>1</v>
      </c>
      <c r="S280">
        <f t="shared" si="149"/>
        <v>0</v>
      </c>
      <c r="T280">
        <f t="shared" si="166"/>
        <v>0.96256721449355198</v>
      </c>
      <c r="U280">
        <v>8.1366335611916796E-4</v>
      </c>
      <c r="V280">
        <f t="shared" si="150"/>
        <v>0</v>
      </c>
      <c r="W280" s="23">
        <f t="shared" si="126"/>
        <v>0</v>
      </c>
      <c r="X280">
        <f t="shared" si="167"/>
        <v>3.7432785506447665E-2</v>
      </c>
      <c r="Y280">
        <v>8.18889604601043E-4</v>
      </c>
      <c r="AD280">
        <f t="shared" si="151"/>
        <v>0.8202247191011236</v>
      </c>
      <c r="AE280">
        <f t="shared" si="152"/>
        <v>1.6756378326887101E-3</v>
      </c>
      <c r="AF280">
        <f t="shared" si="168"/>
        <v>0.77882408104470657</v>
      </c>
      <c r="AG280">
        <v>5.2025834466097997E-3</v>
      </c>
    </row>
    <row r="281" spans="1:33" hidden="1" x14ac:dyDescent="0.3">
      <c r="A281">
        <v>2002</v>
      </c>
      <c r="B281" t="s">
        <v>11</v>
      </c>
      <c r="C281" t="s">
        <v>15</v>
      </c>
      <c r="D281">
        <f t="shared" si="132"/>
        <v>166</v>
      </c>
      <c r="E281">
        <v>11</v>
      </c>
      <c r="F281">
        <v>101</v>
      </c>
      <c r="G281">
        <v>154</v>
      </c>
      <c r="H281">
        <v>12</v>
      </c>
      <c r="I281">
        <f t="shared" si="153"/>
        <v>1</v>
      </c>
      <c r="J281">
        <f t="shared" si="144"/>
        <v>6.6265060240963861E-2</v>
      </c>
      <c r="K281">
        <f t="shared" si="145"/>
        <v>3.7499395171045633E-4</v>
      </c>
      <c r="L281">
        <f t="shared" si="164"/>
        <v>3.0639151044043043E-2</v>
      </c>
      <c r="M281">
        <v>7.0238748683799804E-4</v>
      </c>
      <c r="N281">
        <f t="shared" si="146"/>
        <v>0.60843373493975905</v>
      </c>
      <c r="O281">
        <f t="shared" si="147"/>
        <v>1.4438916674364489E-3</v>
      </c>
      <c r="P281">
        <f t="shared" si="165"/>
        <v>0.75033909644950614</v>
      </c>
      <c r="Q281">
        <v>6.1451115363430698E-3</v>
      </c>
      <c r="R281">
        <f t="shared" si="148"/>
        <v>0.92771084337349397</v>
      </c>
      <c r="S281">
        <f t="shared" si="149"/>
        <v>4.0644505733778493E-4</v>
      </c>
      <c r="T281">
        <f t="shared" si="166"/>
        <v>0.96256721449355198</v>
      </c>
      <c r="U281">
        <v>8.1366335611916796E-4</v>
      </c>
      <c r="V281">
        <f t="shared" si="150"/>
        <v>7.2289156626506021E-2</v>
      </c>
      <c r="W281" s="23">
        <f t="shared" si="126"/>
        <v>4.0644505733778482E-4</v>
      </c>
      <c r="X281">
        <f t="shared" si="167"/>
        <v>3.7432785506447665E-2</v>
      </c>
      <c r="Y281">
        <v>8.18889604601043E-4</v>
      </c>
      <c r="AD281">
        <f t="shared" si="151"/>
        <v>0.6558441558441559</v>
      </c>
      <c r="AE281">
        <f t="shared" si="152"/>
        <v>1.4752457456811924E-3</v>
      </c>
      <c r="AF281">
        <f t="shared" si="168"/>
        <v>0.77882408104470657</v>
      </c>
      <c r="AG281">
        <v>5.2025834466097997E-3</v>
      </c>
    </row>
    <row r="282" spans="1:33" hidden="1" x14ac:dyDescent="0.3">
      <c r="A282">
        <v>2003</v>
      </c>
      <c r="B282" t="s">
        <v>11</v>
      </c>
      <c r="C282" t="s">
        <v>15</v>
      </c>
      <c r="D282">
        <f t="shared" si="132"/>
        <v>187</v>
      </c>
      <c r="E282">
        <v>1</v>
      </c>
      <c r="F282">
        <v>137</v>
      </c>
      <c r="G282">
        <v>186</v>
      </c>
      <c r="H282">
        <v>1</v>
      </c>
      <c r="I282">
        <f t="shared" si="153"/>
        <v>0</v>
      </c>
      <c r="J282">
        <f t="shared" si="144"/>
        <v>5.3475935828877002E-3</v>
      </c>
      <c r="K282">
        <f t="shared" si="145"/>
        <v>2.8596757127741709E-5</v>
      </c>
      <c r="L282">
        <f t="shared" si="164"/>
        <v>3.0639151044043043E-2</v>
      </c>
      <c r="M282">
        <v>7.0238748683799804E-4</v>
      </c>
      <c r="N282">
        <f t="shared" si="146"/>
        <v>0.73262032085561501</v>
      </c>
      <c r="O282">
        <f t="shared" si="147"/>
        <v>1.0531601415324234E-3</v>
      </c>
      <c r="P282">
        <f t="shared" si="165"/>
        <v>0.75033909644950614</v>
      </c>
      <c r="Q282">
        <v>6.1451115363430698E-3</v>
      </c>
      <c r="R282">
        <f t="shared" si="148"/>
        <v>0.99465240641711228</v>
      </c>
      <c r="S282">
        <f t="shared" si="149"/>
        <v>2.8596757127741828E-5</v>
      </c>
      <c r="T282">
        <f t="shared" si="166"/>
        <v>0.96256721449355198</v>
      </c>
      <c r="U282">
        <v>8.1366335611916796E-4</v>
      </c>
      <c r="V282">
        <f t="shared" si="150"/>
        <v>5.3475935828877002E-3</v>
      </c>
      <c r="W282" s="23">
        <f t="shared" si="126"/>
        <v>2.8596757127741709E-5</v>
      </c>
      <c r="X282">
        <f t="shared" si="167"/>
        <v>3.7432785506447665E-2</v>
      </c>
      <c r="Y282">
        <v>8.18889604601043E-4</v>
      </c>
      <c r="AD282">
        <f t="shared" si="151"/>
        <v>0.73655913978494625</v>
      </c>
      <c r="AE282">
        <f t="shared" si="152"/>
        <v>1.0488636399146284E-3</v>
      </c>
      <c r="AF282">
        <f t="shared" si="168"/>
        <v>0.77882408104470657</v>
      </c>
      <c r="AG282">
        <v>5.2025834466097997E-3</v>
      </c>
    </row>
    <row r="283" spans="1:33" hidden="1" x14ac:dyDescent="0.3">
      <c r="A283">
        <v>2004</v>
      </c>
      <c r="B283" t="s">
        <v>11</v>
      </c>
      <c r="C283" t="s">
        <v>15</v>
      </c>
      <c r="D283">
        <f t="shared" si="132"/>
        <v>118</v>
      </c>
      <c r="E283">
        <v>5</v>
      </c>
      <c r="F283">
        <v>92</v>
      </c>
      <c r="G283">
        <v>113</v>
      </c>
      <c r="H283">
        <v>5</v>
      </c>
      <c r="I283">
        <f t="shared" si="153"/>
        <v>0</v>
      </c>
      <c r="J283">
        <f t="shared" si="144"/>
        <v>4.2372881355932202E-2</v>
      </c>
      <c r="K283">
        <f t="shared" si="145"/>
        <v>3.4681555796178029E-4</v>
      </c>
      <c r="L283">
        <f t="shared" si="164"/>
        <v>3.0639151044043043E-2</v>
      </c>
      <c r="M283">
        <v>7.0238748683799804E-4</v>
      </c>
      <c r="N283">
        <f t="shared" si="146"/>
        <v>0.77966101694915257</v>
      </c>
      <c r="O283">
        <f t="shared" si="147"/>
        <v>1.4682881675125283E-3</v>
      </c>
      <c r="P283">
        <f t="shared" si="165"/>
        <v>0.75033909644950614</v>
      </c>
      <c r="Q283">
        <v>6.1451115363430698E-3</v>
      </c>
      <c r="R283">
        <f t="shared" si="148"/>
        <v>0.9576271186440678</v>
      </c>
      <c r="S283">
        <f t="shared" si="149"/>
        <v>3.4681555796178029E-4</v>
      </c>
      <c r="T283">
        <f t="shared" si="166"/>
        <v>0.96256721449355198</v>
      </c>
      <c r="U283">
        <v>8.1366335611916796E-4</v>
      </c>
      <c r="V283">
        <f t="shared" si="150"/>
        <v>4.2372881355932202E-2</v>
      </c>
      <c r="W283" s="23">
        <f t="shared" si="126"/>
        <v>3.4681555796178029E-4</v>
      </c>
      <c r="X283">
        <f t="shared" si="167"/>
        <v>3.7432785506447665E-2</v>
      </c>
      <c r="Y283">
        <v>8.18889604601043E-4</v>
      </c>
      <c r="AD283">
        <f t="shared" si="151"/>
        <v>0.81415929203539827</v>
      </c>
      <c r="AE283">
        <f t="shared" si="152"/>
        <v>1.3509280288197978E-3</v>
      </c>
      <c r="AF283">
        <f t="shared" si="168"/>
        <v>0.77882408104470657</v>
      </c>
      <c r="AG283">
        <v>5.2025834466097997E-3</v>
      </c>
    </row>
    <row r="284" spans="1:33" hidden="1" x14ac:dyDescent="0.3">
      <c r="A284">
        <v>2005</v>
      </c>
      <c r="B284" t="s">
        <v>11</v>
      </c>
      <c r="C284" t="s">
        <v>15</v>
      </c>
      <c r="D284">
        <f t="shared" si="132"/>
        <v>174</v>
      </c>
      <c r="E284">
        <v>1</v>
      </c>
      <c r="F284">
        <v>143</v>
      </c>
      <c r="G284">
        <v>173</v>
      </c>
      <c r="H284">
        <v>1</v>
      </c>
      <c r="I284">
        <f t="shared" si="153"/>
        <v>0</v>
      </c>
      <c r="J284">
        <f t="shared" si="144"/>
        <v>5.7471264367816091E-3</v>
      </c>
      <c r="K284">
        <f t="shared" si="145"/>
        <v>3.3029462280354077E-5</v>
      </c>
      <c r="L284">
        <f t="shared" si="164"/>
        <v>3.0639151044043043E-2</v>
      </c>
      <c r="M284">
        <v>7.0238748683799804E-4</v>
      </c>
      <c r="N284">
        <f t="shared" si="146"/>
        <v>0.82183908045977017</v>
      </c>
      <c r="O284">
        <f t="shared" si="147"/>
        <v>8.4635610571566239E-4</v>
      </c>
      <c r="P284">
        <f t="shared" si="165"/>
        <v>0.75033909644950614</v>
      </c>
      <c r="Q284">
        <v>6.1451115363430698E-3</v>
      </c>
      <c r="R284">
        <f t="shared" si="148"/>
        <v>0.99425287356321834</v>
      </c>
      <c r="S284">
        <f t="shared" si="149"/>
        <v>3.3029462280354348E-5</v>
      </c>
      <c r="T284">
        <f t="shared" si="166"/>
        <v>0.96256721449355198</v>
      </c>
      <c r="U284">
        <v>8.1366335611916796E-4</v>
      </c>
      <c r="V284">
        <f t="shared" si="150"/>
        <v>5.7471264367816091E-3</v>
      </c>
      <c r="W284" s="23">
        <f t="shared" si="126"/>
        <v>3.3029462280354077E-5</v>
      </c>
      <c r="X284">
        <f t="shared" si="167"/>
        <v>3.7432785506447665E-2</v>
      </c>
      <c r="Y284">
        <v>8.18889604601043E-4</v>
      </c>
      <c r="AD284">
        <f t="shared" si="151"/>
        <v>0.82658959537572252</v>
      </c>
      <c r="AE284">
        <f t="shared" si="152"/>
        <v>8.3336765228094085E-4</v>
      </c>
      <c r="AF284">
        <f t="shared" si="168"/>
        <v>0.77882408104470657</v>
      </c>
      <c r="AG284">
        <v>5.2025834466097997E-3</v>
      </c>
    </row>
    <row r="285" spans="1:33" hidden="1" x14ac:dyDescent="0.3">
      <c r="A285">
        <v>2006</v>
      </c>
      <c r="B285" t="s">
        <v>11</v>
      </c>
      <c r="C285" t="s">
        <v>15</v>
      </c>
      <c r="D285">
        <f t="shared" si="132"/>
        <v>104</v>
      </c>
      <c r="E285">
        <v>4</v>
      </c>
      <c r="F285">
        <v>83</v>
      </c>
      <c r="G285">
        <v>98</v>
      </c>
      <c r="H285">
        <v>6</v>
      </c>
      <c r="I285">
        <f t="shared" si="153"/>
        <v>2</v>
      </c>
      <c r="J285">
        <f t="shared" si="144"/>
        <v>3.8461538461538464E-2</v>
      </c>
      <c r="K285">
        <f t="shared" si="145"/>
        <v>3.5905095651174814E-4</v>
      </c>
      <c r="L285">
        <f t="shared" si="164"/>
        <v>3.0639151044043043E-2</v>
      </c>
      <c r="M285">
        <v>7.0238748683799804E-4</v>
      </c>
      <c r="N285">
        <f t="shared" si="146"/>
        <v>0.79807692307692313</v>
      </c>
      <c r="O285">
        <f t="shared" si="147"/>
        <v>1.5645645429999422E-3</v>
      </c>
      <c r="P285">
        <f t="shared" si="165"/>
        <v>0.75033909644950614</v>
      </c>
      <c r="Q285">
        <v>6.1451115363430698E-3</v>
      </c>
      <c r="R285">
        <f t="shared" si="148"/>
        <v>0.94230769230769229</v>
      </c>
      <c r="S285">
        <f t="shared" si="149"/>
        <v>5.2780490607226994E-4</v>
      </c>
      <c r="T285">
        <f t="shared" si="166"/>
        <v>0.96256721449355198</v>
      </c>
      <c r="U285">
        <v>8.1366335611916796E-4</v>
      </c>
      <c r="V285">
        <f t="shared" si="150"/>
        <v>5.7692307692307696E-2</v>
      </c>
      <c r="W285" s="23">
        <f t="shared" ref="W285:W329" si="169">(V285*(1-V285))/(D285-1)</f>
        <v>5.2780490607226983E-4</v>
      </c>
      <c r="X285">
        <f t="shared" si="167"/>
        <v>3.7432785506447665E-2</v>
      </c>
      <c r="Y285">
        <v>8.18889604601043E-4</v>
      </c>
      <c r="AD285">
        <f t="shared" si="151"/>
        <v>0.84693877551020413</v>
      </c>
      <c r="AE285">
        <f t="shared" si="152"/>
        <v>1.3364276912111359E-3</v>
      </c>
      <c r="AF285">
        <f t="shared" si="168"/>
        <v>0.77882408104470657</v>
      </c>
      <c r="AG285">
        <v>5.2025834466097997E-3</v>
      </c>
    </row>
    <row r="286" spans="1:33" hidden="1" x14ac:dyDescent="0.3">
      <c r="A286">
        <v>2007</v>
      </c>
      <c r="B286" t="s">
        <v>11</v>
      </c>
      <c r="C286" t="s">
        <v>15</v>
      </c>
      <c r="D286">
        <f t="shared" si="132"/>
        <v>85</v>
      </c>
      <c r="E286">
        <v>1</v>
      </c>
      <c r="F286">
        <v>76</v>
      </c>
      <c r="G286">
        <v>84</v>
      </c>
      <c r="H286">
        <v>1</v>
      </c>
      <c r="I286">
        <f t="shared" si="153"/>
        <v>0</v>
      </c>
      <c r="J286">
        <f t="shared" si="144"/>
        <v>1.1764705882352941E-2</v>
      </c>
      <c r="K286">
        <f t="shared" si="145"/>
        <v>1.3840830449826988E-4</v>
      </c>
      <c r="L286">
        <f t="shared" si="164"/>
        <v>3.0639151044043043E-2</v>
      </c>
      <c r="M286">
        <v>7.0238748683799804E-4</v>
      </c>
      <c r="N286">
        <f t="shared" si="146"/>
        <v>0.89411764705882357</v>
      </c>
      <c r="O286">
        <f t="shared" si="147"/>
        <v>1.1270390509144832E-3</v>
      </c>
      <c r="P286">
        <f t="shared" si="165"/>
        <v>0.75033909644950614</v>
      </c>
      <c r="Q286">
        <v>6.1451115363430698E-3</v>
      </c>
      <c r="R286">
        <f t="shared" si="148"/>
        <v>0.9882352941176471</v>
      </c>
      <c r="S286">
        <f t="shared" si="149"/>
        <v>1.3840830449826942E-4</v>
      </c>
      <c r="T286">
        <f t="shared" si="166"/>
        <v>0.96256721449355198</v>
      </c>
      <c r="U286">
        <v>8.1366335611916796E-4</v>
      </c>
      <c r="V286">
        <f t="shared" si="150"/>
        <v>1.1764705882352941E-2</v>
      </c>
      <c r="W286" s="23">
        <f t="shared" si="169"/>
        <v>1.3840830449826988E-4</v>
      </c>
      <c r="X286">
        <f t="shared" si="167"/>
        <v>3.7432785506447665E-2</v>
      </c>
      <c r="Y286">
        <v>8.18889604601043E-4</v>
      </c>
      <c r="AD286">
        <f t="shared" si="151"/>
        <v>0.90476190476190477</v>
      </c>
      <c r="AE286">
        <f t="shared" si="152"/>
        <v>1.0381662705242739E-3</v>
      </c>
      <c r="AF286">
        <f t="shared" si="168"/>
        <v>0.77882408104470657</v>
      </c>
      <c r="AG286">
        <v>5.2025834466097997E-3</v>
      </c>
    </row>
    <row r="287" spans="1:33" hidden="1" x14ac:dyDescent="0.3">
      <c r="A287">
        <v>2008</v>
      </c>
      <c r="B287" t="s">
        <v>11</v>
      </c>
      <c r="C287" t="s">
        <v>15</v>
      </c>
      <c r="D287">
        <f t="shared" si="132"/>
        <v>75</v>
      </c>
      <c r="E287">
        <v>1</v>
      </c>
      <c r="F287">
        <v>52</v>
      </c>
      <c r="G287">
        <v>73</v>
      </c>
      <c r="H287">
        <v>2</v>
      </c>
      <c r="I287">
        <f t="shared" si="153"/>
        <v>1</v>
      </c>
      <c r="J287">
        <f t="shared" si="144"/>
        <v>1.3333333333333334E-2</v>
      </c>
      <c r="K287">
        <f t="shared" si="145"/>
        <v>1.7777777777777781E-4</v>
      </c>
      <c r="L287">
        <f t="shared" si="164"/>
        <v>3.0639151044043043E-2</v>
      </c>
      <c r="M287">
        <v>7.0238748683799804E-4</v>
      </c>
      <c r="N287">
        <f t="shared" si="146"/>
        <v>0.69333333333333336</v>
      </c>
      <c r="O287">
        <f t="shared" si="147"/>
        <v>2.8732732732732733E-3</v>
      </c>
      <c r="P287">
        <f t="shared" si="165"/>
        <v>0.75033909644950614</v>
      </c>
      <c r="Q287">
        <v>6.1451115363430698E-3</v>
      </c>
      <c r="R287">
        <f t="shared" si="148"/>
        <v>0.97333333333333338</v>
      </c>
      <c r="S287">
        <f t="shared" si="149"/>
        <v>3.5075075075075013E-4</v>
      </c>
      <c r="T287">
        <f t="shared" si="166"/>
        <v>0.96256721449355198</v>
      </c>
      <c r="U287">
        <v>8.1366335611916796E-4</v>
      </c>
      <c r="V287">
        <f t="shared" si="150"/>
        <v>2.6666666666666668E-2</v>
      </c>
      <c r="W287" s="23">
        <f t="shared" si="169"/>
        <v>3.5075075075075078E-4</v>
      </c>
      <c r="X287">
        <f t="shared" si="167"/>
        <v>3.7432785506447665E-2</v>
      </c>
      <c r="Y287">
        <v>8.18889604601043E-4</v>
      </c>
      <c r="AD287">
        <f t="shared" si="151"/>
        <v>0.71232876712328763</v>
      </c>
      <c r="AE287">
        <f t="shared" si="152"/>
        <v>2.8460624257208985E-3</v>
      </c>
      <c r="AF287">
        <f t="shared" si="168"/>
        <v>0.77882408104470657</v>
      </c>
      <c r="AG287">
        <v>5.2025834466097997E-3</v>
      </c>
    </row>
    <row r="288" spans="1:33" hidden="1" x14ac:dyDescent="0.3">
      <c r="A288">
        <v>2009</v>
      </c>
      <c r="B288" t="s">
        <v>11</v>
      </c>
      <c r="C288" t="s">
        <v>15</v>
      </c>
      <c r="D288">
        <f t="shared" si="132"/>
        <v>68</v>
      </c>
      <c r="E288">
        <v>7</v>
      </c>
      <c r="F288">
        <v>38</v>
      </c>
      <c r="G288">
        <v>61</v>
      </c>
      <c r="H288">
        <v>7</v>
      </c>
      <c r="I288">
        <f t="shared" si="153"/>
        <v>0</v>
      </c>
      <c r="J288">
        <f t="shared" si="144"/>
        <v>0.10294117647058823</v>
      </c>
      <c r="K288">
        <f t="shared" si="145"/>
        <v>1.378272994887156E-3</v>
      </c>
      <c r="L288">
        <f t="shared" si="164"/>
        <v>3.0639151044043043E-2</v>
      </c>
      <c r="M288">
        <v>7.0238748683799804E-4</v>
      </c>
      <c r="N288">
        <f t="shared" si="146"/>
        <v>0.55882352941176472</v>
      </c>
      <c r="O288">
        <f t="shared" si="147"/>
        <v>3.6796983938439292E-3</v>
      </c>
      <c r="P288">
        <f t="shared" si="165"/>
        <v>0.75033909644950614</v>
      </c>
      <c r="Q288">
        <v>6.1451115363430698E-3</v>
      </c>
      <c r="R288">
        <f t="shared" si="148"/>
        <v>0.8970588235294118</v>
      </c>
      <c r="S288">
        <f t="shared" si="149"/>
        <v>1.3782729948871556E-3</v>
      </c>
      <c r="T288">
        <f t="shared" si="166"/>
        <v>0.96256721449355198</v>
      </c>
      <c r="U288">
        <v>8.1366335611916796E-4</v>
      </c>
      <c r="V288">
        <f t="shared" si="150"/>
        <v>0.10294117647058823</v>
      </c>
      <c r="W288" s="23">
        <f t="shared" si="169"/>
        <v>1.378272994887156E-3</v>
      </c>
      <c r="X288">
        <f t="shared" si="167"/>
        <v>3.7432785506447665E-2</v>
      </c>
      <c r="Y288">
        <v>8.18889604601043E-4</v>
      </c>
      <c r="AD288">
        <f t="shared" si="151"/>
        <v>0.62295081967213117</v>
      </c>
      <c r="AE288">
        <f t="shared" ref="AE288:AE297" si="170">(AD288*(1-AD288))/(G288-1)</f>
        <v>3.9147182656991851E-3</v>
      </c>
      <c r="AF288">
        <f t="shared" si="168"/>
        <v>0.77882408104470657</v>
      </c>
      <c r="AG288">
        <v>5.2025834466097997E-3</v>
      </c>
    </row>
    <row r="289" spans="1:33" hidden="1" x14ac:dyDescent="0.3">
      <c r="A289">
        <v>2010</v>
      </c>
      <c r="B289" t="s">
        <v>11</v>
      </c>
      <c r="C289" t="s">
        <v>15</v>
      </c>
      <c r="D289">
        <f t="shared" si="132"/>
        <v>48</v>
      </c>
      <c r="E289">
        <v>0</v>
      </c>
      <c r="F289">
        <v>31</v>
      </c>
      <c r="G289">
        <v>47</v>
      </c>
      <c r="H289">
        <v>1</v>
      </c>
      <c r="I289">
        <f t="shared" si="153"/>
        <v>1</v>
      </c>
      <c r="L289">
        <f t="shared" si="164"/>
        <v>3.0639151044043043E-2</v>
      </c>
      <c r="M289">
        <v>7.0238748683799804E-4</v>
      </c>
      <c r="P289">
        <f t="shared" si="165"/>
        <v>0.75033909644950614</v>
      </c>
      <c r="Q289">
        <v>6.1451115363430698E-3</v>
      </c>
      <c r="T289">
        <f t="shared" si="166"/>
        <v>0.96256721449355198</v>
      </c>
      <c r="U289">
        <v>8.1366335611916796E-4</v>
      </c>
      <c r="X289">
        <f t="shared" si="167"/>
        <v>3.7432785506447665E-2</v>
      </c>
      <c r="Y289">
        <v>8.18889604601043E-4</v>
      </c>
      <c r="AF289">
        <f t="shared" si="168"/>
        <v>0.77882408104470657</v>
      </c>
      <c r="AG289">
        <v>5.2025834466097997E-3</v>
      </c>
    </row>
    <row r="290" spans="1:33" hidden="1" x14ac:dyDescent="0.3">
      <c r="A290">
        <v>2011</v>
      </c>
      <c r="B290" t="s">
        <v>11</v>
      </c>
      <c r="C290" t="s">
        <v>15</v>
      </c>
      <c r="D290">
        <f t="shared" si="132"/>
        <v>71</v>
      </c>
      <c r="E290">
        <v>3</v>
      </c>
      <c r="F290">
        <v>51</v>
      </c>
      <c r="G290">
        <v>67</v>
      </c>
      <c r="H290">
        <v>4</v>
      </c>
      <c r="I290">
        <f t="shared" si="153"/>
        <v>1</v>
      </c>
      <c r="J290">
        <f t="shared" si="144"/>
        <v>4.2253521126760563E-2</v>
      </c>
      <c r="K290">
        <f t="shared" si="145"/>
        <v>5.7811658684501382E-4</v>
      </c>
      <c r="L290">
        <f t="shared" si="164"/>
        <v>3.0639151044043043E-2</v>
      </c>
      <c r="M290">
        <v>7.0238748683799804E-4</v>
      </c>
      <c r="N290">
        <f t="shared" si="146"/>
        <v>0.71830985915492962</v>
      </c>
      <c r="O290">
        <f t="shared" si="147"/>
        <v>2.8905829342250684E-3</v>
      </c>
      <c r="P290">
        <f t="shared" si="165"/>
        <v>0.75033909644950614</v>
      </c>
      <c r="Q290">
        <v>6.1451115363430698E-3</v>
      </c>
      <c r="R290">
        <f t="shared" si="148"/>
        <v>0.94366197183098588</v>
      </c>
      <c r="S290">
        <f t="shared" si="149"/>
        <v>7.5948649644344991E-4</v>
      </c>
      <c r="T290">
        <f t="shared" si="166"/>
        <v>0.96256721449355198</v>
      </c>
      <c r="U290">
        <v>8.1366335611916796E-4</v>
      </c>
      <c r="V290">
        <f t="shared" si="150"/>
        <v>5.6338028169014086E-2</v>
      </c>
      <c r="W290" s="23">
        <f t="shared" si="169"/>
        <v>7.5948649644344947E-4</v>
      </c>
      <c r="X290">
        <f t="shared" si="167"/>
        <v>3.7432785506447665E-2</v>
      </c>
      <c r="Y290">
        <v>8.18889604601043E-4</v>
      </c>
      <c r="AD290">
        <f t="shared" si="151"/>
        <v>0.76119402985074625</v>
      </c>
      <c r="AE290">
        <f t="shared" si="170"/>
        <v>2.7542072540958709E-3</v>
      </c>
      <c r="AF290">
        <f t="shared" si="168"/>
        <v>0.77882408104470657</v>
      </c>
      <c r="AG290">
        <v>5.2025834466097997E-3</v>
      </c>
    </row>
    <row r="291" spans="1:33" hidden="1" x14ac:dyDescent="0.3">
      <c r="A291">
        <v>2012</v>
      </c>
      <c r="B291" t="s">
        <v>11</v>
      </c>
      <c r="C291" t="s">
        <v>15</v>
      </c>
      <c r="D291">
        <f t="shared" si="132"/>
        <v>153</v>
      </c>
      <c r="E291">
        <v>2</v>
      </c>
      <c r="F291">
        <v>114</v>
      </c>
      <c r="G291">
        <v>151</v>
      </c>
      <c r="H291">
        <v>2</v>
      </c>
      <c r="I291">
        <f t="shared" si="153"/>
        <v>0</v>
      </c>
      <c r="J291">
        <f t="shared" si="144"/>
        <v>1.3071895424836602E-2</v>
      </c>
      <c r="K291">
        <f t="shared" si="145"/>
        <v>8.4875137992360122E-5</v>
      </c>
      <c r="L291">
        <f t="shared" si="164"/>
        <v>3.0639151044043043E-2</v>
      </c>
      <c r="M291">
        <v>7.0238748683799804E-4</v>
      </c>
      <c r="N291">
        <f t="shared" si="146"/>
        <v>0.74509803921568629</v>
      </c>
      <c r="O291">
        <f t="shared" si="147"/>
        <v>1.2495194156093808E-3</v>
      </c>
      <c r="P291">
        <f t="shared" si="165"/>
        <v>0.75033909644950614</v>
      </c>
      <c r="Q291">
        <v>6.1451115363430698E-3</v>
      </c>
      <c r="R291">
        <f t="shared" si="148"/>
        <v>0.98692810457516345</v>
      </c>
      <c r="S291">
        <f t="shared" si="149"/>
        <v>8.4875137992359811E-5</v>
      </c>
      <c r="T291">
        <f t="shared" si="166"/>
        <v>0.96256721449355198</v>
      </c>
      <c r="U291">
        <v>8.1366335611916796E-4</v>
      </c>
      <c r="V291">
        <f t="shared" si="150"/>
        <v>1.3071895424836602E-2</v>
      </c>
      <c r="W291" s="23">
        <f t="shared" si="169"/>
        <v>8.4875137992360122E-5</v>
      </c>
      <c r="X291">
        <f t="shared" si="167"/>
        <v>3.7432785506447665E-2</v>
      </c>
      <c r="Y291">
        <v>8.18889604601043E-4</v>
      </c>
      <c r="AD291">
        <f t="shared" si="151"/>
        <v>0.75496688741721851</v>
      </c>
      <c r="AE291">
        <f t="shared" si="170"/>
        <v>1.2332792421385029E-3</v>
      </c>
      <c r="AF291">
        <f t="shared" si="168"/>
        <v>0.77882408104470657</v>
      </c>
      <c r="AG291">
        <v>5.2025834466097997E-3</v>
      </c>
    </row>
    <row r="292" spans="1:33" hidden="1" x14ac:dyDescent="0.3">
      <c r="A292">
        <v>2013</v>
      </c>
      <c r="B292" t="s">
        <v>11</v>
      </c>
      <c r="C292" t="s">
        <v>15</v>
      </c>
      <c r="D292">
        <f t="shared" si="132"/>
        <v>163</v>
      </c>
      <c r="E292">
        <v>6</v>
      </c>
      <c r="F292">
        <v>110</v>
      </c>
      <c r="G292">
        <v>153</v>
      </c>
      <c r="H292">
        <v>10</v>
      </c>
      <c r="I292">
        <f t="shared" si="153"/>
        <v>4</v>
      </c>
      <c r="J292">
        <f t="shared" si="144"/>
        <v>3.6809815950920248E-2</v>
      </c>
      <c r="K292">
        <f t="shared" si="145"/>
        <v>2.1885711975666436E-4</v>
      </c>
      <c r="L292">
        <f t="shared" si="164"/>
        <v>3.0639151044043043E-2</v>
      </c>
      <c r="M292">
        <v>7.0238748683799804E-4</v>
      </c>
      <c r="N292">
        <f t="shared" si="146"/>
        <v>0.67484662576687116</v>
      </c>
      <c r="O292">
        <f t="shared" si="147"/>
        <v>1.3544978855428377E-3</v>
      </c>
      <c r="P292">
        <f t="shared" si="165"/>
        <v>0.75033909644950614</v>
      </c>
      <c r="Q292">
        <v>6.1451115363430698E-3</v>
      </c>
      <c r="R292">
        <f t="shared" si="148"/>
        <v>0.93865030674846628</v>
      </c>
      <c r="S292">
        <f t="shared" si="149"/>
        <v>3.5546857030541016E-4</v>
      </c>
      <c r="T292">
        <f t="shared" si="166"/>
        <v>0.96256721449355198</v>
      </c>
      <c r="U292">
        <v>8.1366335611916796E-4</v>
      </c>
      <c r="V292">
        <f t="shared" si="150"/>
        <v>6.1349693251533742E-2</v>
      </c>
      <c r="W292" s="23">
        <f t="shared" si="169"/>
        <v>3.5546857030541022E-4</v>
      </c>
      <c r="X292">
        <f t="shared" si="167"/>
        <v>3.7432785506447665E-2</v>
      </c>
      <c r="Y292">
        <v>8.18889604601043E-4</v>
      </c>
      <c r="AD292">
        <f t="shared" si="151"/>
        <v>0.71895424836601307</v>
      </c>
      <c r="AE292">
        <f t="shared" si="170"/>
        <v>1.3293357705425938E-3</v>
      </c>
      <c r="AF292">
        <f t="shared" si="168"/>
        <v>0.77882408104470657</v>
      </c>
      <c r="AG292">
        <v>5.2025834466097997E-3</v>
      </c>
    </row>
    <row r="293" spans="1:33" hidden="1" x14ac:dyDescent="0.3">
      <c r="A293">
        <v>2014</v>
      </c>
      <c r="B293" t="s">
        <v>11</v>
      </c>
      <c r="C293" t="s">
        <v>15</v>
      </c>
      <c r="D293">
        <f t="shared" si="132"/>
        <v>126</v>
      </c>
      <c r="E293">
        <v>10</v>
      </c>
      <c r="F293">
        <v>98</v>
      </c>
      <c r="G293">
        <v>115</v>
      </c>
      <c r="H293">
        <v>11</v>
      </c>
      <c r="I293">
        <f t="shared" si="153"/>
        <v>1</v>
      </c>
      <c r="J293">
        <f t="shared" si="144"/>
        <v>7.9365079365079361E-2</v>
      </c>
      <c r="K293">
        <f t="shared" si="145"/>
        <v>5.8453010833963218E-4</v>
      </c>
      <c r="L293">
        <f t="shared" si="164"/>
        <v>3.0639151044043043E-2</v>
      </c>
      <c r="M293">
        <v>7.0238748683799804E-4</v>
      </c>
      <c r="N293">
        <f t="shared" si="146"/>
        <v>0.77777777777777779</v>
      </c>
      <c r="O293">
        <f t="shared" si="147"/>
        <v>1.382716049382716E-3</v>
      </c>
      <c r="P293">
        <f t="shared" si="165"/>
        <v>0.75033909644950614</v>
      </c>
      <c r="Q293">
        <v>6.1451115363430698E-3</v>
      </c>
      <c r="R293">
        <f t="shared" si="148"/>
        <v>0.91269841269841268</v>
      </c>
      <c r="S293">
        <f t="shared" si="149"/>
        <v>6.3744016124968512E-4</v>
      </c>
      <c r="T293">
        <f t="shared" si="166"/>
        <v>0.96256721449355198</v>
      </c>
      <c r="U293">
        <v>8.1366335611916796E-4</v>
      </c>
      <c r="V293">
        <f t="shared" si="150"/>
        <v>8.7301587301587297E-2</v>
      </c>
      <c r="W293" s="23">
        <f t="shared" si="169"/>
        <v>6.3744016124968501E-4</v>
      </c>
      <c r="X293">
        <f t="shared" si="167"/>
        <v>3.7432785506447665E-2</v>
      </c>
      <c r="Y293">
        <v>8.18889604601043E-4</v>
      </c>
      <c r="AD293">
        <f t="shared" si="151"/>
        <v>0.85217391304347823</v>
      </c>
      <c r="AE293">
        <f t="shared" si="170"/>
        <v>1.1050310085231984E-3</v>
      </c>
      <c r="AF293">
        <f t="shared" si="168"/>
        <v>0.77882408104470657</v>
      </c>
      <c r="AG293">
        <v>5.2025834466097997E-3</v>
      </c>
    </row>
    <row r="294" spans="1:33" hidden="1" x14ac:dyDescent="0.3">
      <c r="A294">
        <v>2015</v>
      </c>
      <c r="B294" t="s">
        <v>11</v>
      </c>
      <c r="C294" t="s">
        <v>15</v>
      </c>
      <c r="D294">
        <f t="shared" si="132"/>
        <v>380</v>
      </c>
      <c r="E294">
        <v>11</v>
      </c>
      <c r="F294">
        <v>281</v>
      </c>
      <c r="G294">
        <v>365</v>
      </c>
      <c r="H294">
        <v>15</v>
      </c>
      <c r="I294">
        <f t="shared" si="153"/>
        <v>4</v>
      </c>
      <c r="J294">
        <f t="shared" si="144"/>
        <v>2.8947368421052631E-2</v>
      </c>
      <c r="K294">
        <f t="shared" si="145"/>
        <v>7.416733056081392E-5</v>
      </c>
      <c r="L294">
        <f t="shared" si="164"/>
        <v>3.0639151044043043E-2</v>
      </c>
      <c r="M294">
        <v>7.0238748683799804E-4</v>
      </c>
      <c r="N294">
        <f t="shared" si="146"/>
        <v>0.73947368421052628</v>
      </c>
      <c r="O294">
        <f t="shared" si="147"/>
        <v>5.0831755823387112E-4</v>
      </c>
      <c r="P294">
        <f t="shared" si="165"/>
        <v>0.75033909644950614</v>
      </c>
      <c r="Q294">
        <v>6.1451115363430698E-3</v>
      </c>
      <c r="R294">
        <f t="shared" si="148"/>
        <v>0.96052631578947367</v>
      </c>
      <c r="S294">
        <f t="shared" si="149"/>
        <v>1.0004092998779413E-4</v>
      </c>
      <c r="T294">
        <f t="shared" si="166"/>
        <v>0.96256721449355198</v>
      </c>
      <c r="U294">
        <v>8.1366335611916796E-4</v>
      </c>
      <c r="V294">
        <f t="shared" si="150"/>
        <v>3.9473684210526314E-2</v>
      </c>
      <c r="W294" s="23">
        <f t="shared" si="169"/>
        <v>1.0004092998779409E-4</v>
      </c>
      <c r="X294">
        <f t="shared" si="167"/>
        <v>3.7432785506447665E-2</v>
      </c>
      <c r="Y294">
        <v>8.18889604601043E-4</v>
      </c>
      <c r="AD294">
        <f t="shared" si="151"/>
        <v>0.76986301369863008</v>
      </c>
      <c r="AE294">
        <f t="shared" si="170"/>
        <v>4.8674163142168404E-4</v>
      </c>
      <c r="AF294">
        <f t="shared" si="168"/>
        <v>0.77882408104470657</v>
      </c>
      <c r="AG294">
        <v>5.2025834466097997E-3</v>
      </c>
    </row>
    <row r="295" spans="1:33" hidden="1" x14ac:dyDescent="0.3">
      <c r="A295">
        <v>2016</v>
      </c>
      <c r="B295" t="s">
        <v>11</v>
      </c>
      <c r="C295" t="s">
        <v>15</v>
      </c>
      <c r="D295">
        <f t="shared" si="132"/>
        <v>320</v>
      </c>
      <c r="E295">
        <v>5</v>
      </c>
      <c r="F295">
        <v>267</v>
      </c>
      <c r="G295">
        <v>314</v>
      </c>
      <c r="H295">
        <v>6</v>
      </c>
      <c r="I295">
        <f t="shared" si="153"/>
        <v>1</v>
      </c>
      <c r="J295">
        <f t="shared" si="144"/>
        <v>1.5625E-2</v>
      </c>
      <c r="K295">
        <f t="shared" si="145"/>
        <v>4.8215860109717869E-5</v>
      </c>
      <c r="L295">
        <f t="shared" si="164"/>
        <v>3.0639151044043043E-2</v>
      </c>
      <c r="M295">
        <v>7.0238748683799804E-4</v>
      </c>
      <c r="N295">
        <f t="shared" si="146"/>
        <v>0.83437499999999998</v>
      </c>
      <c r="O295">
        <f t="shared" si="147"/>
        <v>4.3320802311912232E-4</v>
      </c>
      <c r="P295">
        <f t="shared" si="165"/>
        <v>0.75033909644950614</v>
      </c>
      <c r="Q295">
        <v>6.1451115363430698E-3</v>
      </c>
      <c r="R295">
        <f t="shared" si="148"/>
        <v>0.98124999999999996</v>
      </c>
      <c r="S295">
        <f t="shared" si="149"/>
        <v>5.767535266457693E-5</v>
      </c>
      <c r="T295">
        <f t="shared" si="166"/>
        <v>0.96256721449355198</v>
      </c>
      <c r="U295">
        <v>8.1366335611916796E-4</v>
      </c>
      <c r="V295">
        <f t="shared" si="150"/>
        <v>1.8749999999999999E-2</v>
      </c>
      <c r="W295" s="23">
        <f t="shared" si="169"/>
        <v>5.7675352664576801E-5</v>
      </c>
      <c r="X295">
        <f t="shared" si="167"/>
        <v>3.7432785506447665E-2</v>
      </c>
      <c r="Y295">
        <v>8.18889604601043E-4</v>
      </c>
      <c r="AD295">
        <f t="shared" si="151"/>
        <v>0.85031847133757965</v>
      </c>
      <c r="AE295">
        <f t="shared" si="170"/>
        <v>4.0663568255495654E-4</v>
      </c>
      <c r="AF295">
        <f t="shared" si="168"/>
        <v>0.77882408104470657</v>
      </c>
      <c r="AG295">
        <v>5.2025834466097997E-3</v>
      </c>
    </row>
    <row r="296" spans="1:33" hidden="1" x14ac:dyDescent="0.3">
      <c r="A296">
        <v>2017</v>
      </c>
      <c r="B296" t="s">
        <v>11</v>
      </c>
      <c r="C296" t="s">
        <v>15</v>
      </c>
      <c r="D296">
        <f t="shared" si="132"/>
        <v>330</v>
      </c>
      <c r="E296">
        <v>6</v>
      </c>
      <c r="F296">
        <v>236</v>
      </c>
      <c r="G296">
        <v>320</v>
      </c>
      <c r="H296">
        <v>10</v>
      </c>
      <c r="I296">
        <f t="shared" si="153"/>
        <v>4</v>
      </c>
      <c r="J296">
        <f t="shared" si="144"/>
        <v>1.8181818181818181E-2</v>
      </c>
      <c r="K296">
        <f t="shared" si="145"/>
        <v>5.4259087141098736E-5</v>
      </c>
      <c r="L296">
        <f t="shared" si="164"/>
        <v>3.0639151044043043E-2</v>
      </c>
      <c r="M296">
        <v>7.0238748683799804E-4</v>
      </c>
      <c r="N296">
        <f t="shared" si="146"/>
        <v>0.7151515151515152</v>
      </c>
      <c r="O296">
        <f t="shared" si="147"/>
        <v>6.1917880099698268E-4</v>
      </c>
      <c r="P296">
        <f t="shared" si="165"/>
        <v>0.75033909644950614</v>
      </c>
      <c r="Q296">
        <v>6.1451115363430698E-3</v>
      </c>
      <c r="R296">
        <f t="shared" si="148"/>
        <v>0.96969696969696972</v>
      </c>
      <c r="S296">
        <f t="shared" si="149"/>
        <v>8.931536977958634E-5</v>
      </c>
      <c r="T296">
        <f t="shared" si="166"/>
        <v>0.96256721449355198</v>
      </c>
      <c r="U296">
        <v>8.1366335611916796E-4</v>
      </c>
      <c r="V296">
        <f t="shared" si="150"/>
        <v>3.0303030303030304E-2</v>
      </c>
      <c r="W296" s="23">
        <f t="shared" si="169"/>
        <v>8.9315369779586421E-5</v>
      </c>
      <c r="X296">
        <f t="shared" si="167"/>
        <v>3.7432785506447665E-2</v>
      </c>
      <c r="Y296">
        <v>8.18889604601043E-4</v>
      </c>
      <c r="AD296">
        <f t="shared" si="151"/>
        <v>0.73750000000000004</v>
      </c>
      <c r="AE296">
        <f t="shared" si="170"/>
        <v>6.0687695924764888E-4</v>
      </c>
      <c r="AF296">
        <f t="shared" si="168"/>
        <v>0.77882408104470657</v>
      </c>
      <c r="AG296">
        <v>5.2025834466097997E-3</v>
      </c>
    </row>
    <row r="297" spans="1:33" hidden="1" x14ac:dyDescent="0.3">
      <c r="A297">
        <v>2018</v>
      </c>
      <c r="B297" t="s">
        <v>11</v>
      </c>
      <c r="C297" t="s">
        <v>15</v>
      </c>
      <c r="D297">
        <f t="shared" si="132"/>
        <v>299</v>
      </c>
      <c r="E297">
        <v>6</v>
      </c>
      <c r="F297">
        <v>227</v>
      </c>
      <c r="G297">
        <v>286</v>
      </c>
      <c r="H297">
        <v>13</v>
      </c>
      <c r="I297">
        <f t="shared" si="153"/>
        <v>7</v>
      </c>
      <c r="J297">
        <f t="shared" si="144"/>
        <v>2.0066889632107024E-2</v>
      </c>
      <c r="K297">
        <f t="shared" si="145"/>
        <v>6.5987280444965973E-5</v>
      </c>
      <c r="L297">
        <f>AVERAGE(J$277:J$288,J$290:J$298)</f>
        <v>3.0639151044043043E-2</v>
      </c>
      <c r="M297">
        <v>7.0238748683799804E-4</v>
      </c>
      <c r="N297">
        <f t="shared" si="146"/>
        <v>0.75919732441471577</v>
      </c>
      <c r="O297">
        <f t="shared" si="147"/>
        <v>6.134790168330624E-4</v>
      </c>
      <c r="P297">
        <f>AVERAGE(N$277:N$288,N$290:N$298)</f>
        <v>0.75033909644950614</v>
      </c>
      <c r="Q297">
        <v>6.1451115363430698E-3</v>
      </c>
      <c r="R297">
        <f t="shared" si="148"/>
        <v>0.95652173913043481</v>
      </c>
      <c r="S297">
        <f t="shared" si="149"/>
        <v>1.395567171185343E-4</v>
      </c>
      <c r="T297">
        <f>AVERAGE(R$277:R$288,R$290:R$298)</f>
        <v>0.96256721449355198</v>
      </c>
      <c r="U297">
        <v>8.1366335611916796E-4</v>
      </c>
      <c r="V297">
        <f t="shared" si="150"/>
        <v>4.3478260869565216E-2</v>
      </c>
      <c r="W297" s="23">
        <f t="shared" si="169"/>
        <v>1.3955671711853441E-4</v>
      </c>
      <c r="X297">
        <f>AVERAGE(V$277:V$288,V$290:V$298)</f>
        <v>3.7432785506447665E-2</v>
      </c>
      <c r="Y297">
        <v>8.18889604601043E-4</v>
      </c>
      <c r="AD297">
        <f t="shared" si="151"/>
        <v>0.79370629370629375</v>
      </c>
      <c r="AE297">
        <f t="shared" si="170"/>
        <v>5.7451443170986776E-4</v>
      </c>
      <c r="AF297">
        <f>AVERAGE(AD$277:AD$288,AD$290:AD$298)</f>
        <v>0.77882408104470657</v>
      </c>
      <c r="AG297">
        <v>5.2025834466097997E-3</v>
      </c>
    </row>
    <row r="298" spans="1:33" hidden="1" x14ac:dyDescent="0.3">
      <c r="A298">
        <v>2019</v>
      </c>
      <c r="B298" t="s">
        <v>11</v>
      </c>
      <c r="C298" t="s">
        <v>15</v>
      </c>
      <c r="D298">
        <f t="shared" si="132"/>
        <v>240</v>
      </c>
      <c r="E298">
        <v>9</v>
      </c>
      <c r="F298">
        <v>191</v>
      </c>
      <c r="G298">
        <v>229</v>
      </c>
      <c r="H298">
        <v>11</v>
      </c>
      <c r="I298">
        <f t="shared" si="153"/>
        <v>2</v>
      </c>
      <c r="J298">
        <f t="shared" ref="J298:J300" si="171">E298/D298</f>
        <v>3.7499999999999999E-2</v>
      </c>
      <c r="K298">
        <f t="shared" ref="K298:K300" si="172">(J298*(1-J298))/(D298-1)</f>
        <v>1.5101987447698744E-4</v>
      </c>
      <c r="L298">
        <f>AVERAGE(J$277:J$288,J$290:J$298)</f>
        <v>3.0639151044043043E-2</v>
      </c>
      <c r="M298">
        <v>7.0238748683799804E-4</v>
      </c>
      <c r="N298">
        <f t="shared" ref="N298:N300" si="173">F298/D298</f>
        <v>0.79583333333333328</v>
      </c>
      <c r="O298">
        <f t="shared" ref="O298:O300" si="174">(N298*(1-N298))/($D298-1)</f>
        <v>6.7984367735936788E-4</v>
      </c>
      <c r="P298">
        <f>AVERAGE(N$277:N$288,N$290:N$298)</f>
        <v>0.75033909644950614</v>
      </c>
      <c r="Q298">
        <v>6.1451115363430698E-3</v>
      </c>
      <c r="R298">
        <f t="shared" ref="R298:R300" si="175">G298/D298</f>
        <v>0.95416666666666672</v>
      </c>
      <c r="S298">
        <f t="shared" ref="S298:S300" si="176">(R298*(1-R298))/($D298-1)</f>
        <v>1.8298175267317506E-4</v>
      </c>
      <c r="T298">
        <f>AVERAGE(R$277:R$288,R$290:R$298)</f>
        <v>0.96256721449355198</v>
      </c>
      <c r="U298">
        <v>8.1366335611916796E-4</v>
      </c>
      <c r="V298">
        <f t="shared" ref="V298:V300" si="177">H298/D298</f>
        <v>4.583333333333333E-2</v>
      </c>
      <c r="W298" s="23">
        <f t="shared" ref="W298:W300" si="178">(V298*(1-V298))/(D298-1)</f>
        <v>1.8298175267317528E-4</v>
      </c>
      <c r="X298">
        <f>AVERAGE(V$277:V$288,V$290:V$298)</f>
        <v>3.7432785506447665E-2</v>
      </c>
      <c r="Y298">
        <v>8.18889604601043E-4</v>
      </c>
      <c r="AD298">
        <f t="shared" ref="AD298:AD300" si="179">F298/G298</f>
        <v>0.83406113537117899</v>
      </c>
      <c r="AE298">
        <f t="shared" ref="AE298:AE300" si="180">(AD298*(1-AD298))/(G298-1)</f>
        <v>6.0703139401104759E-4</v>
      </c>
      <c r="AF298">
        <f>AVERAGE(AD$277:AD$288,AD$290:AD$298)</f>
        <v>0.77882408104470657</v>
      </c>
      <c r="AG298">
        <v>5.2025834466097997E-3</v>
      </c>
    </row>
    <row r="299" spans="1:33" hidden="1" x14ac:dyDescent="0.3">
      <c r="A299">
        <v>2020</v>
      </c>
      <c r="B299" t="s">
        <v>11</v>
      </c>
      <c r="C299" t="s">
        <v>15</v>
      </c>
      <c r="D299">
        <f t="shared" si="132"/>
        <v>108</v>
      </c>
      <c r="E299">
        <v>8</v>
      </c>
      <c r="F299">
        <v>79</v>
      </c>
      <c r="G299">
        <v>97</v>
      </c>
      <c r="H299">
        <v>11</v>
      </c>
      <c r="I299">
        <f t="shared" si="153"/>
        <v>3</v>
      </c>
      <c r="J299">
        <f t="shared" si="171"/>
        <v>7.407407407407407E-2</v>
      </c>
      <c r="K299">
        <f t="shared" si="172"/>
        <v>6.4100098714152019E-4</v>
      </c>
      <c r="N299">
        <f t="shared" si="173"/>
        <v>0.73148148148148151</v>
      </c>
      <c r="O299">
        <f t="shared" si="174"/>
        <v>1.8356665769265284E-3</v>
      </c>
      <c r="R299">
        <f t="shared" si="175"/>
        <v>0.89814814814814814</v>
      </c>
      <c r="S299">
        <f t="shared" si="176"/>
        <v>8.5493506660000256E-4</v>
      </c>
      <c r="V299">
        <f t="shared" si="177"/>
        <v>0.10185185185185185</v>
      </c>
      <c r="W299" s="23">
        <f t="shared" si="178"/>
        <v>8.5493506660000245E-4</v>
      </c>
      <c r="AD299">
        <f t="shared" si="179"/>
        <v>0.81443298969072164</v>
      </c>
      <c r="AE299">
        <f t="shared" si="180"/>
        <v>1.5742905728557764E-3</v>
      </c>
    </row>
    <row r="300" spans="1:33" hidden="1" x14ac:dyDescent="0.3">
      <c r="A300">
        <v>2021</v>
      </c>
      <c r="B300" t="s">
        <v>11</v>
      </c>
      <c r="C300" t="s">
        <v>15</v>
      </c>
      <c r="D300">
        <f t="shared" si="132"/>
        <v>204</v>
      </c>
      <c r="E300">
        <v>1</v>
      </c>
      <c r="F300">
        <v>183</v>
      </c>
      <c r="G300">
        <v>201</v>
      </c>
      <c r="H300">
        <v>3</v>
      </c>
      <c r="I300">
        <f t="shared" si="153"/>
        <v>2</v>
      </c>
      <c r="J300">
        <f t="shared" si="171"/>
        <v>4.9019607843137254E-3</v>
      </c>
      <c r="K300">
        <f t="shared" si="172"/>
        <v>2.4029219530949632E-5</v>
      </c>
      <c r="N300">
        <f t="shared" si="173"/>
        <v>0.8970588235294118</v>
      </c>
      <c r="O300">
        <f t="shared" si="174"/>
        <v>4.5489798353418433E-4</v>
      </c>
      <c r="R300">
        <f t="shared" si="175"/>
        <v>0.98529411764705888</v>
      </c>
      <c r="S300">
        <f t="shared" si="176"/>
        <v>7.1377435355480688E-5</v>
      </c>
      <c r="V300">
        <f t="shared" si="177"/>
        <v>1.4705882352941176E-2</v>
      </c>
      <c r="W300" s="23">
        <f t="shared" si="178"/>
        <v>7.1377435355480932E-5</v>
      </c>
      <c r="AD300">
        <f t="shared" si="179"/>
        <v>0.91044776119402981</v>
      </c>
      <c r="AE300">
        <f t="shared" si="180"/>
        <v>4.0766317665404339E-4</v>
      </c>
    </row>
    <row r="301" spans="1:33" hidden="1" x14ac:dyDescent="0.3">
      <c r="A301">
        <v>2022</v>
      </c>
      <c r="B301" s="15" t="s">
        <v>11</v>
      </c>
      <c r="C301" s="15" t="s">
        <v>15</v>
      </c>
    </row>
    <row r="302" spans="1:33" hidden="1" x14ac:dyDescent="0.3">
      <c r="A302" s="25">
        <v>1993</v>
      </c>
      <c r="B302" s="25" t="s">
        <v>9</v>
      </c>
      <c r="C302" s="25" t="s">
        <v>16</v>
      </c>
      <c r="D302" s="25">
        <f t="shared" si="132"/>
        <v>108</v>
      </c>
      <c r="E302" s="25">
        <v>56</v>
      </c>
      <c r="F302" s="25">
        <v>13</v>
      </c>
      <c r="G302" s="25">
        <v>20</v>
      </c>
      <c r="H302" s="25">
        <v>88</v>
      </c>
      <c r="I302" s="25">
        <f t="shared" si="153"/>
        <v>32</v>
      </c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6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</row>
    <row r="303" spans="1:33" hidden="1" x14ac:dyDescent="0.3">
      <c r="A303" s="25">
        <v>1994</v>
      </c>
      <c r="B303" s="25" t="s">
        <v>9</v>
      </c>
      <c r="C303" s="25" t="s">
        <v>16</v>
      </c>
      <c r="D303" s="25">
        <f t="shared" si="132"/>
        <v>149</v>
      </c>
      <c r="E303" s="25">
        <v>60</v>
      </c>
      <c r="F303" s="25">
        <v>70</v>
      </c>
      <c r="G303" s="25">
        <v>72</v>
      </c>
      <c r="H303" s="25">
        <v>77</v>
      </c>
      <c r="I303" s="25">
        <f t="shared" si="153"/>
        <v>17</v>
      </c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6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</row>
    <row r="304" spans="1:33" hidden="1" x14ac:dyDescent="0.3">
      <c r="A304" s="25">
        <v>1995</v>
      </c>
      <c r="B304" s="25" t="s">
        <v>9</v>
      </c>
      <c r="C304" s="25" t="s">
        <v>16</v>
      </c>
      <c r="D304" s="25">
        <f t="shared" si="132"/>
        <v>158</v>
      </c>
      <c r="E304" s="25">
        <v>71</v>
      </c>
      <c r="F304" s="25">
        <v>46</v>
      </c>
      <c r="G304" s="25">
        <v>51</v>
      </c>
      <c r="H304" s="25">
        <v>107</v>
      </c>
      <c r="I304" s="25">
        <f t="shared" si="153"/>
        <v>36</v>
      </c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6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</row>
    <row r="305" spans="1:33" hidden="1" x14ac:dyDescent="0.3">
      <c r="A305" s="25">
        <v>1996</v>
      </c>
      <c r="B305" s="25" t="s">
        <v>9</v>
      </c>
      <c r="C305" s="25" t="s">
        <v>16</v>
      </c>
      <c r="D305" s="25">
        <f t="shared" si="132"/>
        <v>38</v>
      </c>
      <c r="E305" s="25">
        <v>7</v>
      </c>
      <c r="F305" s="25">
        <v>16</v>
      </c>
      <c r="G305" s="25">
        <v>16</v>
      </c>
      <c r="H305" s="25">
        <v>22</v>
      </c>
      <c r="I305" s="25">
        <f t="shared" si="153"/>
        <v>15</v>
      </c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6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</row>
    <row r="306" spans="1:33" hidden="1" x14ac:dyDescent="0.3">
      <c r="A306" s="25">
        <v>1997</v>
      </c>
      <c r="B306" s="25" t="s">
        <v>9</v>
      </c>
      <c r="C306" s="25" t="s">
        <v>16</v>
      </c>
      <c r="D306" s="25">
        <f t="shared" si="132"/>
        <v>50</v>
      </c>
      <c r="E306" s="25">
        <v>22</v>
      </c>
      <c r="F306" s="25">
        <v>21</v>
      </c>
      <c r="G306" s="25">
        <v>21</v>
      </c>
      <c r="H306" s="25">
        <v>29</v>
      </c>
      <c r="I306" s="25">
        <f t="shared" si="153"/>
        <v>7</v>
      </c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6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</row>
    <row r="307" spans="1:33" hidden="1" x14ac:dyDescent="0.3">
      <c r="A307" s="25">
        <v>1998</v>
      </c>
      <c r="B307" s="25" t="s">
        <v>9</v>
      </c>
      <c r="C307" s="25" t="s">
        <v>16</v>
      </c>
      <c r="D307" s="25">
        <f t="shared" si="132"/>
        <v>181</v>
      </c>
      <c r="E307" s="25">
        <v>89</v>
      </c>
      <c r="F307" s="25">
        <v>73</v>
      </c>
      <c r="G307" s="25">
        <v>76</v>
      </c>
      <c r="H307" s="25">
        <v>105</v>
      </c>
      <c r="I307" s="25">
        <f t="shared" si="153"/>
        <v>16</v>
      </c>
      <c r="J307" s="25">
        <f>'R2 guide wt multiport'!AV34</f>
        <v>0.55683984873132653</v>
      </c>
      <c r="K307" s="25">
        <f t="shared" si="145"/>
        <v>1.3709401755344441E-3</v>
      </c>
      <c r="L307" s="25">
        <f t="shared" ref="L307:L326" si="181">AVERAGE(J$307:J$328)</f>
        <v>0.22281896636350884</v>
      </c>
      <c r="M307" s="25">
        <v>1.4915266125658499E-2</v>
      </c>
      <c r="N307" s="25">
        <f>'R2 guide wt multiport'!AW34</f>
        <v>0.30593814061178903</v>
      </c>
      <c r="O307" s="25">
        <f t="shared" si="147"/>
        <v>1.179666637393279E-3</v>
      </c>
      <c r="P307" s="25">
        <f t="shared" ref="P307:P326" si="182">AVERAGE(N$307:N$328)</f>
        <v>0.50125043165578864</v>
      </c>
      <c r="Q307" s="25">
        <v>1.3345352218062699E-2</v>
      </c>
      <c r="R307" s="25">
        <f>'R2 guide wt multiport'!AT34</f>
        <v>0.31943061596207445</v>
      </c>
      <c r="S307" s="25">
        <f t="shared" si="149"/>
        <v>1.2077483197120232E-3</v>
      </c>
      <c r="T307" s="25">
        <f t="shared" ref="T307:T326" si="183">AVERAGE(R$307:R$328)</f>
        <v>0.59973066116457119</v>
      </c>
      <c r="U307" s="25">
        <v>1.8703033616446499E-2</v>
      </c>
      <c r="V307" s="25">
        <f>'R2 guide wt multiport'!AU34</f>
        <v>0.68056938403792544</v>
      </c>
      <c r="W307" s="26">
        <f t="shared" si="169"/>
        <v>1.2077483197120234E-3</v>
      </c>
      <c r="X307" s="25">
        <f t="shared" ref="X307:X326" si="184">AVERAGE(V$307:V$328)</f>
        <v>0.40026933883542887</v>
      </c>
      <c r="Y307" s="25">
        <v>1.87584578015139E-2</v>
      </c>
      <c r="Z307" s="25">
        <f>'R2 guide wt multiport'!AX34</f>
        <v>0.81819703000377098</v>
      </c>
      <c r="AA307" s="25">
        <f t="shared" ref="AA307:AA331" si="185">(Z307*(1-Z307))/(H307-1)</f>
        <v>1.4302947124690314E-3</v>
      </c>
      <c r="AB307" s="25">
        <f t="shared" ref="AB307:AB326" si="186">AVERAGE(Z$307:Z$328)</f>
        <v>0.52894984820158075</v>
      </c>
      <c r="AC307" s="25">
        <v>2.0934961579060898E-2</v>
      </c>
      <c r="AD307" s="25">
        <f>'R2 guide wt multiport'!AY34</f>
        <v>0.95776085736287919</v>
      </c>
      <c r="AE307" s="25">
        <f t="shared" ref="AE307:AE361" si="187">(AD307*(1-AD307))/(G307-1)</f>
        <v>5.3939996621869032E-4</v>
      </c>
      <c r="AF307" s="25">
        <f t="shared" ref="AF307:AF326" si="188">AVERAGE(AD$307:AD$328)</f>
        <v>0.84046641957117285</v>
      </c>
      <c r="AG307" s="25">
        <v>7.5210074982134398E-3</v>
      </c>
    </row>
    <row r="308" spans="1:33" hidden="1" x14ac:dyDescent="0.3">
      <c r="A308" s="25">
        <v>1999</v>
      </c>
      <c r="B308" s="25" t="s">
        <v>9</v>
      </c>
      <c r="C308" s="25" t="s">
        <v>16</v>
      </c>
      <c r="D308" s="25">
        <f t="shared" si="132"/>
        <v>380</v>
      </c>
      <c r="E308" s="25">
        <v>168</v>
      </c>
      <c r="F308" s="25">
        <v>100</v>
      </c>
      <c r="G308" s="25">
        <v>126</v>
      </c>
      <c r="H308" s="25">
        <v>254</v>
      </c>
      <c r="I308" s="25">
        <f t="shared" si="153"/>
        <v>86</v>
      </c>
      <c r="J308" s="25">
        <f>'R2 guide wt multiport'!AV35</f>
        <v>0.33941732744605002</v>
      </c>
      <c r="K308" s="25">
        <f t="shared" si="145"/>
        <v>5.9159157064757491E-4</v>
      </c>
      <c r="L308" s="25">
        <f t="shared" si="181"/>
        <v>0.22281896636350884</v>
      </c>
      <c r="M308" s="25">
        <v>1.4915266125658499E-2</v>
      </c>
      <c r="N308" s="25">
        <f>'R2 guide wt multiport'!AW35</f>
        <v>0.48641373950062272</v>
      </c>
      <c r="O308" s="25">
        <f t="shared" si="147"/>
        <v>6.5914357130776537E-4</v>
      </c>
      <c r="P308" s="25">
        <f t="shared" si="182"/>
        <v>0.50125043165578864</v>
      </c>
      <c r="Q308" s="25">
        <v>1.3345352218062699E-2</v>
      </c>
      <c r="R308" s="25">
        <f>'R2 guide wt multiport'!AT35</f>
        <v>0.51896695570881457</v>
      </c>
      <c r="S308" s="25">
        <f t="shared" si="149"/>
        <v>6.5868141053071201E-4</v>
      </c>
      <c r="T308" s="25">
        <f t="shared" si="183"/>
        <v>0.59973066116457119</v>
      </c>
      <c r="U308" s="25">
        <v>1.8703033616446499E-2</v>
      </c>
      <c r="V308" s="25">
        <f>'R2 guide wt multiport'!AU35</f>
        <v>0.48103304429118543</v>
      </c>
      <c r="W308" s="26">
        <f t="shared" si="169"/>
        <v>6.5868141053071201E-4</v>
      </c>
      <c r="X308" s="25">
        <f t="shared" si="184"/>
        <v>0.40026933883542887</v>
      </c>
      <c r="Y308" s="25">
        <v>1.87584578015139E-2</v>
      </c>
      <c r="Z308" s="25">
        <f>'R2 guide wt multiport'!AX35</f>
        <v>0.70560085523062166</v>
      </c>
      <c r="AA308" s="25">
        <f t="shared" si="185"/>
        <v>8.210604281756401E-4</v>
      </c>
      <c r="AB308" s="25">
        <f t="shared" si="186"/>
        <v>0.52894984820158075</v>
      </c>
      <c r="AC308" s="25">
        <v>2.0934961579060898E-2</v>
      </c>
      <c r="AD308" s="25">
        <f>'R2 guide wt multiport'!AY35</f>
        <v>0.93727304628918018</v>
      </c>
      <c r="AE308" s="25">
        <f t="shared" si="187"/>
        <v>4.7033826391184393E-4</v>
      </c>
      <c r="AF308" s="25">
        <f t="shared" si="188"/>
        <v>0.84046641957117285</v>
      </c>
      <c r="AG308" s="25">
        <v>7.5210074982134398E-3</v>
      </c>
    </row>
    <row r="309" spans="1:33" hidden="1" x14ac:dyDescent="0.3">
      <c r="A309" s="25">
        <v>2000</v>
      </c>
      <c r="B309" s="25" t="s">
        <v>9</v>
      </c>
      <c r="C309" s="25" t="s">
        <v>16</v>
      </c>
      <c r="D309" s="25">
        <f t="shared" si="132"/>
        <v>399</v>
      </c>
      <c r="E309" s="25">
        <v>115</v>
      </c>
      <c r="F309" s="25">
        <v>53</v>
      </c>
      <c r="G309" s="25">
        <v>128</v>
      </c>
      <c r="H309" s="25">
        <v>271</v>
      </c>
      <c r="I309" s="25">
        <f t="shared" si="153"/>
        <v>156</v>
      </c>
      <c r="J309" s="25">
        <f>'R2 guide wt multiport'!AV36</f>
        <v>0.29943922843997972</v>
      </c>
      <c r="K309" s="25">
        <f t="shared" si="145"/>
        <v>5.2707381133479739E-4</v>
      </c>
      <c r="L309" s="25">
        <f t="shared" si="181"/>
        <v>0.22281896636350884</v>
      </c>
      <c r="M309" s="25">
        <v>1.4915266125658499E-2</v>
      </c>
      <c r="N309" s="25">
        <f>'R2 guide wt multiport'!AW36</f>
        <v>0.26620011593715581</v>
      </c>
      <c r="O309" s="25">
        <f t="shared" si="147"/>
        <v>4.9079802565879548E-4</v>
      </c>
      <c r="P309" s="25">
        <f t="shared" si="182"/>
        <v>0.50125043165578864</v>
      </c>
      <c r="Q309" s="25">
        <v>1.3345352218062699E-2</v>
      </c>
      <c r="R309" s="25">
        <f>'R2 guide wt multiport'!AT36</f>
        <v>0.38370557566650731</v>
      </c>
      <c r="S309" s="25">
        <f t="shared" si="149"/>
        <v>5.9415981625362191E-4</v>
      </c>
      <c r="T309" s="25">
        <f t="shared" si="183"/>
        <v>0.59973066116457119</v>
      </c>
      <c r="U309" s="25">
        <v>1.8703033616446499E-2</v>
      </c>
      <c r="V309" s="25">
        <f>'R2 guide wt multiport'!AU36</f>
        <v>0.61629442433349269</v>
      </c>
      <c r="W309" s="26">
        <f t="shared" si="169"/>
        <v>5.9415981625362191E-4</v>
      </c>
      <c r="X309" s="25">
        <f t="shared" si="184"/>
        <v>0.40026933883542887</v>
      </c>
      <c r="Y309" s="25">
        <v>1.87584578015139E-2</v>
      </c>
      <c r="Z309" s="25">
        <f>'R2 guide wt multiport'!AX36</f>
        <v>0.48587041617943555</v>
      </c>
      <c r="AA309" s="25">
        <f t="shared" si="185"/>
        <v>9.2518649948539861E-4</v>
      </c>
      <c r="AB309" s="25">
        <f t="shared" si="186"/>
        <v>0.52894984820158075</v>
      </c>
      <c r="AC309" s="25">
        <v>2.0934961579060898E-2</v>
      </c>
      <c r="AD309" s="25">
        <f>'R2 guide wt multiport'!AY36</f>
        <v>0.69376139628609435</v>
      </c>
      <c r="AE309" s="25">
        <f t="shared" si="187"/>
        <v>1.6728859945611266E-3</v>
      </c>
      <c r="AF309" s="25">
        <f t="shared" si="188"/>
        <v>0.84046641957117285</v>
      </c>
      <c r="AG309" s="25">
        <v>7.5210074982134398E-3</v>
      </c>
    </row>
    <row r="310" spans="1:33" hidden="1" x14ac:dyDescent="0.3">
      <c r="A310" s="25">
        <v>2001</v>
      </c>
      <c r="B310" s="25" t="s">
        <v>9</v>
      </c>
      <c r="C310" s="25" t="s">
        <v>16</v>
      </c>
      <c r="D310" s="25">
        <f t="shared" ref="D310:D381" si="189">G310+H310</f>
        <v>305</v>
      </c>
      <c r="E310" s="25">
        <v>93</v>
      </c>
      <c r="F310" s="25">
        <v>74</v>
      </c>
      <c r="G310" s="25">
        <v>98</v>
      </c>
      <c r="H310" s="25">
        <v>207</v>
      </c>
      <c r="I310" s="25">
        <f t="shared" si="153"/>
        <v>114</v>
      </c>
      <c r="J310" s="25">
        <f>'R2 guide wt multiport'!AV37</f>
        <v>0.29476262348178134</v>
      </c>
      <c r="K310" s="25">
        <f t="shared" si="145"/>
        <v>6.8380795815762814E-4</v>
      </c>
      <c r="L310" s="25">
        <f t="shared" si="181"/>
        <v>0.22281896636350884</v>
      </c>
      <c r="M310" s="25">
        <v>1.4915266125658499E-2</v>
      </c>
      <c r="N310" s="25">
        <f>'R2 guide wt multiport'!AW37</f>
        <v>0.36700093207377416</v>
      </c>
      <c r="O310" s="25">
        <f t="shared" si="147"/>
        <v>7.6418173661432624E-4</v>
      </c>
      <c r="P310" s="25">
        <f t="shared" si="182"/>
        <v>0.50125043165578864</v>
      </c>
      <c r="Q310" s="25">
        <v>1.3345352218062699E-2</v>
      </c>
      <c r="R310" s="25">
        <f>'R2 guide wt multiport'!AT37</f>
        <v>0.43200128115159692</v>
      </c>
      <c r="S310" s="25">
        <f t="shared" si="149"/>
        <v>8.071584678782099E-4</v>
      </c>
      <c r="T310" s="25">
        <f t="shared" si="183"/>
        <v>0.59973066116457119</v>
      </c>
      <c r="U310" s="25">
        <v>1.8703033616446499E-2</v>
      </c>
      <c r="V310" s="25">
        <f>'R2 guide wt multiport'!AU37</f>
        <v>0.56799871884840303</v>
      </c>
      <c r="W310" s="26">
        <f t="shared" si="169"/>
        <v>8.0715846787821001E-4</v>
      </c>
      <c r="X310" s="25">
        <f t="shared" si="184"/>
        <v>0.40026933883542887</v>
      </c>
      <c r="Y310" s="25">
        <v>1.87584578015139E-2</v>
      </c>
      <c r="Z310" s="25">
        <f>'R2 guide wt multiport'!AX37</f>
        <v>0.51894945129348524</v>
      </c>
      <c r="AA310" s="25">
        <f t="shared" si="185"/>
        <v>1.211849117940174E-3</v>
      </c>
      <c r="AB310" s="25">
        <f t="shared" si="186"/>
        <v>0.52894984820158075</v>
      </c>
      <c r="AC310" s="25">
        <v>2.0934961579060898E-2</v>
      </c>
      <c r="AD310" s="25">
        <f>'R2 guide wt multiport'!AY37</f>
        <v>0.84953667520487519</v>
      </c>
      <c r="AE310" s="25">
        <f t="shared" si="187"/>
        <v>1.317774357595068E-3</v>
      </c>
      <c r="AF310" s="25">
        <f t="shared" si="188"/>
        <v>0.84046641957117285</v>
      </c>
      <c r="AG310" s="25">
        <v>7.5210074982134398E-3</v>
      </c>
    </row>
    <row r="311" spans="1:33" hidden="1" x14ac:dyDescent="0.3">
      <c r="A311" s="25">
        <v>2002</v>
      </c>
      <c r="B311" s="25" t="s">
        <v>9</v>
      </c>
      <c r="C311" s="25" t="s">
        <v>16</v>
      </c>
      <c r="D311" s="25">
        <f t="shared" si="189"/>
        <v>257</v>
      </c>
      <c r="E311" s="25">
        <v>107</v>
      </c>
      <c r="F311" s="25">
        <v>63</v>
      </c>
      <c r="G311" s="25">
        <v>82</v>
      </c>
      <c r="H311" s="25">
        <v>175</v>
      </c>
      <c r="I311" s="25">
        <f t="shared" si="153"/>
        <v>68</v>
      </c>
      <c r="J311" s="25">
        <f>'R2 guide wt multiport'!AV38</f>
        <v>0.3956085919473516</v>
      </c>
      <c r="K311" s="25">
        <f t="shared" si="145"/>
        <v>9.3399388251869326E-4</v>
      </c>
      <c r="L311" s="25">
        <f t="shared" si="181"/>
        <v>0.22281896636350884</v>
      </c>
      <c r="M311" s="25">
        <v>1.4915266125658499E-2</v>
      </c>
      <c r="N311" s="25">
        <f>'R2 guide wt multiport'!AW38</f>
        <v>0.3485305895108804</v>
      </c>
      <c r="O311" s="25">
        <f t="shared" si="147"/>
        <v>8.8694147533624457E-4</v>
      </c>
      <c r="P311" s="25">
        <f t="shared" si="182"/>
        <v>0.50125043165578864</v>
      </c>
      <c r="Q311" s="25">
        <v>1.3345352218062699E-2</v>
      </c>
      <c r="R311" s="25">
        <f>'R2 guide wt multiport'!AT38</f>
        <v>0.42328519057354186</v>
      </c>
      <c r="S311" s="25">
        <f t="shared" si="149"/>
        <v>9.5357358599477428E-4</v>
      </c>
      <c r="T311" s="25">
        <f t="shared" si="183"/>
        <v>0.59973066116457119</v>
      </c>
      <c r="U311" s="25">
        <v>1.8703033616446499E-2</v>
      </c>
      <c r="V311" s="25">
        <f>'R2 guide wt multiport'!AU38</f>
        <v>0.57671480942645825</v>
      </c>
      <c r="W311" s="26">
        <f t="shared" si="169"/>
        <v>9.5357358599477417E-4</v>
      </c>
      <c r="X311" s="25">
        <f t="shared" si="184"/>
        <v>0.40026933883542887</v>
      </c>
      <c r="Y311" s="25">
        <v>1.87584578015139E-2</v>
      </c>
      <c r="Z311" s="25">
        <f>'R2 guide wt multiport'!AX38</f>
        <v>0.6859691921918627</v>
      </c>
      <c r="AA311" s="25">
        <f t="shared" si="185"/>
        <v>1.2380198825029081E-3</v>
      </c>
      <c r="AB311" s="25">
        <f t="shared" si="186"/>
        <v>0.52894984820158075</v>
      </c>
      <c r="AC311" s="25">
        <v>2.0934961579060898E-2</v>
      </c>
      <c r="AD311" s="25">
        <f>'R2 guide wt multiport'!AY38</f>
        <v>0.8233942440524068</v>
      </c>
      <c r="AE311" s="25">
        <f t="shared" si="187"/>
        <v>1.7952612705403994E-3</v>
      </c>
      <c r="AF311" s="25">
        <f t="shared" si="188"/>
        <v>0.84046641957117285</v>
      </c>
      <c r="AG311" s="25">
        <v>7.5210074982134398E-3</v>
      </c>
    </row>
    <row r="312" spans="1:33" hidden="1" x14ac:dyDescent="0.3">
      <c r="A312" s="25">
        <v>2003</v>
      </c>
      <c r="B312" s="25" t="s">
        <v>9</v>
      </c>
      <c r="C312" s="25" t="s">
        <v>16</v>
      </c>
      <c r="D312" s="25">
        <f t="shared" si="189"/>
        <v>470</v>
      </c>
      <c r="E312" s="25">
        <v>199</v>
      </c>
      <c r="F312" s="25">
        <v>101</v>
      </c>
      <c r="G312" s="25">
        <v>172</v>
      </c>
      <c r="H312" s="25">
        <v>298</v>
      </c>
      <c r="I312" s="25">
        <f t="shared" si="153"/>
        <v>99</v>
      </c>
      <c r="J312" s="25">
        <f>'R2 guide wt multiport'!AV39</f>
        <v>0.26102244548617332</v>
      </c>
      <c r="K312" s="25">
        <f t="shared" si="145"/>
        <v>4.1127873867503406E-4</v>
      </c>
      <c r="L312" s="25">
        <f t="shared" si="181"/>
        <v>0.22281896636350884</v>
      </c>
      <c r="M312" s="25">
        <v>1.4915266125658499E-2</v>
      </c>
      <c r="N312" s="25">
        <f>'R2 guide wt multiport'!AW39</f>
        <v>0.5545258628910138</v>
      </c>
      <c r="O312" s="25">
        <f t="shared" si="147"/>
        <v>5.2670987265669592E-4</v>
      </c>
      <c r="P312" s="25">
        <f t="shared" si="182"/>
        <v>0.50125043165578864</v>
      </c>
      <c r="Q312" s="25">
        <v>1.3345352218062699E-2</v>
      </c>
      <c r="R312" s="25">
        <f>'R2 guide wt multiport'!AT39</f>
        <v>0.61980474999565582</v>
      </c>
      <c r="S312" s="25">
        <f t="shared" si="149"/>
        <v>5.0244524920784307E-4</v>
      </c>
      <c r="T312" s="25">
        <f t="shared" si="183"/>
        <v>0.59973066116457119</v>
      </c>
      <c r="U312" s="25">
        <v>1.8703033616446499E-2</v>
      </c>
      <c r="V312" s="25">
        <f>'R2 guide wt multiport'!AU39</f>
        <v>0.38019525000434407</v>
      </c>
      <c r="W312" s="26">
        <f t="shared" si="169"/>
        <v>5.0244524920784307E-4</v>
      </c>
      <c r="X312" s="25">
        <f t="shared" si="184"/>
        <v>0.40026933883542887</v>
      </c>
      <c r="Y312" s="25">
        <v>1.87584578015139E-2</v>
      </c>
      <c r="Z312" s="25">
        <f>'R2 guide wt multiport'!AX39</f>
        <v>0.68654841290939572</v>
      </c>
      <c r="AA312" s="25">
        <f t="shared" si="185"/>
        <v>7.2457807959927815E-4</v>
      </c>
      <c r="AB312" s="25">
        <f t="shared" si="186"/>
        <v>0.52894984820158075</v>
      </c>
      <c r="AC312" s="25">
        <v>2.0934961579060898E-2</v>
      </c>
      <c r="AD312" s="25">
        <f>'R2 guide wt multiport'!AY39</f>
        <v>0.89467830457075459</v>
      </c>
      <c r="AE312" s="25">
        <f t="shared" si="187"/>
        <v>5.5104699357400402E-4</v>
      </c>
      <c r="AF312" s="25">
        <f t="shared" si="188"/>
        <v>0.84046641957117285</v>
      </c>
      <c r="AG312" s="25">
        <v>7.5210074982134398E-3</v>
      </c>
    </row>
    <row r="313" spans="1:33" hidden="1" x14ac:dyDescent="0.3">
      <c r="A313" s="25">
        <v>2004</v>
      </c>
      <c r="B313" s="25" t="s">
        <v>9</v>
      </c>
      <c r="C313" s="25" t="s">
        <v>16</v>
      </c>
      <c r="D313" s="25">
        <f t="shared" si="189"/>
        <v>506</v>
      </c>
      <c r="E313" s="25">
        <v>202</v>
      </c>
      <c r="F313" s="25">
        <v>173</v>
      </c>
      <c r="G313" s="25">
        <v>209</v>
      </c>
      <c r="H313" s="25">
        <v>297</v>
      </c>
      <c r="I313" s="25">
        <f t="shared" si="153"/>
        <v>95</v>
      </c>
      <c r="J313" s="25">
        <f>'R2 guide wt multiport'!AV40</f>
        <v>0.29007991827959922</v>
      </c>
      <c r="K313" s="25">
        <f t="shared" si="145"/>
        <v>4.0778922631782227E-4</v>
      </c>
      <c r="L313" s="25">
        <f t="shared" si="181"/>
        <v>0.22281896636350884</v>
      </c>
      <c r="M313" s="25">
        <v>1.4915266125658499E-2</v>
      </c>
      <c r="N313" s="25">
        <f>'R2 guide wt multiport'!AW40</f>
        <v>0.49813717722354228</v>
      </c>
      <c r="O313" s="25">
        <f t="shared" si="147"/>
        <v>4.9504263344812567E-4</v>
      </c>
      <c r="P313" s="25">
        <f t="shared" si="182"/>
        <v>0.50125043165578864</v>
      </c>
      <c r="Q313" s="25">
        <v>1.3345352218062699E-2</v>
      </c>
      <c r="R313" s="25">
        <f>'R2 guide wt multiport'!AT40</f>
        <v>0.57642511066075963</v>
      </c>
      <c r="S313" s="25">
        <f t="shared" si="149"/>
        <v>4.8348356922869434E-4</v>
      </c>
      <c r="T313" s="25">
        <f t="shared" si="183"/>
        <v>0.59973066116457119</v>
      </c>
      <c r="U313" s="25">
        <v>1.8703033616446499E-2</v>
      </c>
      <c r="V313" s="25">
        <f>'R2 guide wt multiport'!AU40</f>
        <v>0.42357488933924037</v>
      </c>
      <c r="W313" s="26">
        <f t="shared" si="169"/>
        <v>4.8348356922869434E-4</v>
      </c>
      <c r="X313" s="25">
        <f t="shared" si="184"/>
        <v>0.40026933883542887</v>
      </c>
      <c r="Y313" s="25">
        <v>1.87584578015139E-2</v>
      </c>
      <c r="Z313" s="25">
        <f>'R2 guide wt multiport'!AX40</f>
        <v>0.6848373819612209</v>
      </c>
      <c r="AA313" s="25">
        <f t="shared" si="185"/>
        <v>7.2917277780311395E-4</v>
      </c>
      <c r="AB313" s="25">
        <f t="shared" si="186"/>
        <v>0.52894984820158075</v>
      </c>
      <c r="AC313" s="25">
        <v>2.0934961579060898E-2</v>
      </c>
      <c r="AD313" s="25">
        <f>'R2 guide wt multiport'!AY40</f>
        <v>0.8641836866761835</v>
      </c>
      <c r="AE313" s="25">
        <f t="shared" si="187"/>
        <v>5.6428001134107403E-4</v>
      </c>
      <c r="AF313" s="25">
        <f t="shared" si="188"/>
        <v>0.84046641957117285</v>
      </c>
      <c r="AG313" s="25">
        <v>7.5210074982134398E-3</v>
      </c>
    </row>
    <row r="314" spans="1:33" hidden="1" x14ac:dyDescent="0.3">
      <c r="A314" s="25">
        <v>2005</v>
      </c>
      <c r="B314" s="25" t="s">
        <v>9</v>
      </c>
      <c r="C314" s="25" t="s">
        <v>16</v>
      </c>
      <c r="D314" s="25">
        <f t="shared" si="189"/>
        <v>316</v>
      </c>
      <c r="E314" s="25">
        <v>117</v>
      </c>
      <c r="F314" s="25">
        <v>111</v>
      </c>
      <c r="G314" s="25">
        <v>142</v>
      </c>
      <c r="H314" s="25">
        <v>174</v>
      </c>
      <c r="I314" s="25">
        <f t="shared" si="153"/>
        <v>57</v>
      </c>
      <c r="J314" s="25">
        <f>'R2 guide wt multiport'!AV41</f>
        <v>0.2057053342072464</v>
      </c>
      <c r="K314" s="25">
        <f t="shared" si="145"/>
        <v>5.187004751934333E-4</v>
      </c>
      <c r="L314" s="25">
        <f t="shared" si="181"/>
        <v>0.22281896636350884</v>
      </c>
      <c r="M314" s="25">
        <v>1.4915266125658499E-2</v>
      </c>
      <c r="N314" s="25">
        <f>'R2 guide wt multiport'!AW41</f>
        <v>0.68765559507705021</v>
      </c>
      <c r="O314" s="25">
        <f t="shared" si="147"/>
        <v>6.8185834170247039E-4</v>
      </c>
      <c r="P314" s="25">
        <f t="shared" si="182"/>
        <v>0.50125043165578864</v>
      </c>
      <c r="Q314" s="25">
        <v>1.3345352218062699E-2</v>
      </c>
      <c r="R314" s="25">
        <f>'R2 guide wt multiport'!AT41</f>
        <v>0.70918183964652526</v>
      </c>
      <c r="S314" s="25">
        <f t="shared" si="149"/>
        <v>6.547395490860171E-4</v>
      </c>
      <c r="T314" s="25">
        <f t="shared" si="183"/>
        <v>0.59973066116457119</v>
      </c>
      <c r="U314" s="25">
        <v>1.8703033616446499E-2</v>
      </c>
      <c r="V314" s="25">
        <f>'R2 guide wt multiport'!AU41</f>
        <v>0.29081816035347469</v>
      </c>
      <c r="W314" s="26">
        <f t="shared" si="169"/>
        <v>6.5473954908601699E-4</v>
      </c>
      <c r="X314" s="25">
        <f t="shared" si="184"/>
        <v>0.40026933883542887</v>
      </c>
      <c r="Y314" s="25">
        <v>1.87584578015139E-2</v>
      </c>
      <c r="Z314" s="25">
        <f>'R2 guide wt multiport'!AX41</f>
        <v>0.70733318014673507</v>
      </c>
      <c r="AA314" s="25">
        <f t="shared" si="185"/>
        <v>1.1966066613308757E-3</v>
      </c>
      <c r="AB314" s="25">
        <f t="shared" si="186"/>
        <v>0.52894984820158075</v>
      </c>
      <c r="AC314" s="25">
        <v>2.0934961579060898E-2</v>
      </c>
      <c r="AD314" s="25">
        <f>'R2 guide wt multiport'!AY41</f>
        <v>0.96964636801725723</v>
      </c>
      <c r="AE314" s="25">
        <f t="shared" si="187"/>
        <v>2.0873963835602117E-4</v>
      </c>
      <c r="AF314" s="25">
        <f t="shared" si="188"/>
        <v>0.84046641957117285</v>
      </c>
      <c r="AG314" s="25">
        <v>7.5210074982134398E-3</v>
      </c>
    </row>
    <row r="315" spans="1:33" hidden="1" x14ac:dyDescent="0.3">
      <c r="A315" s="25">
        <v>2006</v>
      </c>
      <c r="B315" s="25" t="s">
        <v>9</v>
      </c>
      <c r="C315" s="25" t="s">
        <v>16</v>
      </c>
      <c r="D315" s="25">
        <f t="shared" si="189"/>
        <v>388</v>
      </c>
      <c r="E315" s="25">
        <v>173</v>
      </c>
      <c r="F315" s="25">
        <v>80</v>
      </c>
      <c r="G315" s="25">
        <v>104</v>
      </c>
      <c r="H315" s="25">
        <v>284</v>
      </c>
      <c r="I315" s="25">
        <f t="shared" si="153"/>
        <v>111</v>
      </c>
      <c r="J315" s="25">
        <f>'R2 guide wt multiport'!AV42</f>
        <v>0.39657401782576573</v>
      </c>
      <c r="K315" s="25">
        <f t="shared" si="145"/>
        <v>6.1835417625657617E-4</v>
      </c>
      <c r="L315" s="25">
        <f t="shared" si="181"/>
        <v>0.22281896636350884</v>
      </c>
      <c r="M315" s="25">
        <v>1.4915266125658499E-2</v>
      </c>
      <c r="N315" s="25">
        <f>'R2 guide wt multiport'!AW42</f>
        <v>0.34967388063758487</v>
      </c>
      <c r="O315" s="25">
        <f t="shared" si="147"/>
        <v>5.8760221663420396E-4</v>
      </c>
      <c r="P315" s="25">
        <f t="shared" si="182"/>
        <v>0.50125043165578864</v>
      </c>
      <c r="Q315" s="25">
        <v>1.3345352218062699E-2</v>
      </c>
      <c r="R315" s="25">
        <f>'R2 guide wt multiport'!AT42</f>
        <v>0.37713152310827552</v>
      </c>
      <c r="S315" s="25">
        <f t="shared" si="149"/>
        <v>6.0698536792327593E-4</v>
      </c>
      <c r="T315" s="25">
        <f t="shared" si="183"/>
        <v>0.59973066116457119</v>
      </c>
      <c r="U315" s="25">
        <v>1.8703033616446499E-2</v>
      </c>
      <c r="V315" s="25">
        <f>'R2 guide wt multiport'!AU42</f>
        <v>0.62286847689172453</v>
      </c>
      <c r="W315" s="26">
        <f t="shared" si="169"/>
        <v>6.0698536792327582E-4</v>
      </c>
      <c r="X315" s="25">
        <f t="shared" si="184"/>
        <v>0.40026933883542887</v>
      </c>
      <c r="Y315" s="25">
        <v>1.87584578015139E-2</v>
      </c>
      <c r="Z315" s="25">
        <f>'R2 guide wt multiport'!AX42</f>
        <v>0.63668981902049859</v>
      </c>
      <c r="AA315" s="25">
        <f t="shared" si="185"/>
        <v>8.1737064797223792E-4</v>
      </c>
      <c r="AB315" s="25">
        <f t="shared" si="186"/>
        <v>0.52894984820158075</v>
      </c>
      <c r="AC315" s="25">
        <v>2.0934961579060898E-2</v>
      </c>
      <c r="AD315" s="25">
        <f>'R2 guide wt multiport'!AY42</f>
        <v>0.92719345695531408</v>
      </c>
      <c r="AE315" s="25">
        <f t="shared" si="187"/>
        <v>6.5539563431619638E-4</v>
      </c>
      <c r="AF315" s="25">
        <f t="shared" si="188"/>
        <v>0.84046641957117285</v>
      </c>
      <c r="AG315" s="25">
        <v>7.5210074982134398E-3</v>
      </c>
    </row>
    <row r="316" spans="1:33" hidden="1" x14ac:dyDescent="0.3">
      <c r="A316" s="25">
        <v>2007</v>
      </c>
      <c r="B316" s="25" t="s">
        <v>9</v>
      </c>
      <c r="C316" s="25" t="s">
        <v>16</v>
      </c>
      <c r="D316" s="25">
        <f t="shared" si="189"/>
        <v>374</v>
      </c>
      <c r="E316" s="25">
        <v>76</v>
      </c>
      <c r="F316" s="25">
        <v>199</v>
      </c>
      <c r="G316" s="25">
        <v>227</v>
      </c>
      <c r="H316" s="25">
        <v>147</v>
      </c>
      <c r="I316" s="25">
        <f t="shared" si="153"/>
        <v>71</v>
      </c>
      <c r="J316" s="25">
        <f>'R2 guide wt multiport'!AV43</f>
        <v>0.11721037550554114</v>
      </c>
      <c r="K316" s="25">
        <f t="shared" si="145"/>
        <v>2.7740510289381016E-4</v>
      </c>
      <c r="L316" s="25">
        <f t="shared" si="181"/>
        <v>0.22281896636350884</v>
      </c>
      <c r="M316" s="25">
        <v>1.4915266125658499E-2</v>
      </c>
      <c r="N316" s="25">
        <f>'R2 guide wt multiport'!AW43</f>
        <v>0.6757561291934383</v>
      </c>
      <c r="O316" s="25">
        <f t="shared" si="147"/>
        <v>5.8742569182557484E-4</v>
      </c>
      <c r="P316" s="25">
        <f t="shared" si="182"/>
        <v>0.50125043165578864</v>
      </c>
      <c r="Q316" s="25">
        <v>1.3345352218062699E-2</v>
      </c>
      <c r="R316" s="25">
        <f>'R2 guide wt multiport'!AT43</f>
        <v>0.7351408291623035</v>
      </c>
      <c r="S316" s="25">
        <f t="shared" si="149"/>
        <v>5.2200748112832273E-4</v>
      </c>
      <c r="T316" s="25">
        <f t="shared" si="183"/>
        <v>0.59973066116457119</v>
      </c>
      <c r="U316" s="25">
        <v>1.8703033616446499E-2</v>
      </c>
      <c r="V316" s="25">
        <f>'R2 guide wt multiport'!AU43</f>
        <v>0.26485917083769656</v>
      </c>
      <c r="W316" s="26">
        <f t="shared" si="169"/>
        <v>5.2200748112832284E-4</v>
      </c>
      <c r="X316" s="25">
        <f t="shared" si="184"/>
        <v>0.40026933883542887</v>
      </c>
      <c r="Y316" s="25">
        <v>1.87584578015139E-2</v>
      </c>
      <c r="Z316" s="25">
        <f>'R2 guide wt multiport'!AX43</f>
        <v>0.44253848237472077</v>
      </c>
      <c r="AA316" s="25">
        <f t="shared" si="185"/>
        <v>1.6897135204945188E-3</v>
      </c>
      <c r="AB316" s="25">
        <f t="shared" si="186"/>
        <v>0.52894984820158075</v>
      </c>
      <c r="AC316" s="25">
        <v>2.0934961579060898E-2</v>
      </c>
      <c r="AD316" s="25">
        <f>'R2 guide wt multiport'!AY43</f>
        <v>0.919219967640031</v>
      </c>
      <c r="AE316" s="25">
        <f t="shared" si="187"/>
        <v>3.2856025987562551E-4</v>
      </c>
      <c r="AF316" s="25">
        <f t="shared" si="188"/>
        <v>0.84046641957117285</v>
      </c>
      <c r="AG316" s="25">
        <v>7.5210074982134398E-3</v>
      </c>
    </row>
    <row r="317" spans="1:33" hidden="1" x14ac:dyDescent="0.3">
      <c r="A317" s="25">
        <v>2008</v>
      </c>
      <c r="B317" s="25" t="s">
        <v>9</v>
      </c>
      <c r="C317" s="25" t="s">
        <v>16</v>
      </c>
      <c r="D317" s="25">
        <f t="shared" si="189"/>
        <v>327</v>
      </c>
      <c r="E317" s="25">
        <v>99</v>
      </c>
      <c r="F317" s="25">
        <v>114</v>
      </c>
      <c r="G317" s="25">
        <v>143</v>
      </c>
      <c r="H317" s="25">
        <v>184</v>
      </c>
      <c r="I317" s="25">
        <f t="shared" si="153"/>
        <v>85</v>
      </c>
      <c r="J317" s="25">
        <f>'R2 guide wt multiport'!AV44</f>
        <v>0.22859598064065265</v>
      </c>
      <c r="K317" s="25">
        <f t="shared" si="145"/>
        <v>5.4091981066132209E-4</v>
      </c>
      <c r="L317" s="25">
        <f t="shared" si="181"/>
        <v>0.22281896636350884</v>
      </c>
      <c r="M317" s="25">
        <v>1.4915266125658499E-2</v>
      </c>
      <c r="N317" s="25">
        <f>'R2 guide wt multiport'!AW44</f>
        <v>0.46157630183821802</v>
      </c>
      <c r="O317" s="25">
        <f t="shared" si="147"/>
        <v>7.6234239085758377E-4</v>
      </c>
      <c r="P317" s="25">
        <f t="shared" si="182"/>
        <v>0.50125043165578864</v>
      </c>
      <c r="Q317" s="25">
        <v>1.3345352218062699E-2</v>
      </c>
      <c r="R317" s="25">
        <f>'R2 guide wt multiport'!AT44</f>
        <v>0.55798878600185764</v>
      </c>
      <c r="S317" s="25">
        <f t="shared" si="149"/>
        <v>7.5655613711052381E-4</v>
      </c>
      <c r="T317" s="25">
        <f t="shared" si="183"/>
        <v>0.59973066116457119</v>
      </c>
      <c r="U317" s="25">
        <v>1.8703033616446499E-2</v>
      </c>
      <c r="V317" s="25">
        <f>'R2 guide wt multiport'!AU44</f>
        <v>0.44201121399814236</v>
      </c>
      <c r="W317" s="26">
        <f t="shared" si="169"/>
        <v>7.5655613711052381E-4</v>
      </c>
      <c r="X317" s="25">
        <f t="shared" si="184"/>
        <v>0.40026933883542887</v>
      </c>
      <c r="Y317" s="25">
        <v>1.87584578015139E-2</v>
      </c>
      <c r="Z317" s="25">
        <f>'R2 guide wt multiport'!AX44</f>
        <v>0.51717235536384676</v>
      </c>
      <c r="AA317" s="25">
        <f t="shared" si="185"/>
        <v>1.3645087989686217E-3</v>
      </c>
      <c r="AB317" s="25">
        <f t="shared" si="186"/>
        <v>0.52894984820158075</v>
      </c>
      <c r="AC317" s="25">
        <v>2.0934961579060898E-2</v>
      </c>
      <c r="AD317" s="25">
        <f>'R2 guide wt multiport'!AY44</f>
        <v>0.82721429788139389</v>
      </c>
      <c r="AE317" s="25">
        <f t="shared" si="187"/>
        <v>1.0065549525492001E-3</v>
      </c>
      <c r="AF317" s="25">
        <f t="shared" si="188"/>
        <v>0.84046641957117285</v>
      </c>
      <c r="AG317" s="25">
        <v>7.5210074982134398E-3</v>
      </c>
    </row>
    <row r="318" spans="1:33" hidden="1" x14ac:dyDescent="0.3">
      <c r="A318" s="25">
        <v>2009</v>
      </c>
      <c r="B318" s="25" t="s">
        <v>9</v>
      </c>
      <c r="C318" s="25" t="s">
        <v>16</v>
      </c>
      <c r="D318" s="25">
        <f t="shared" si="189"/>
        <v>367</v>
      </c>
      <c r="E318" s="25">
        <v>74</v>
      </c>
      <c r="F318" s="25">
        <v>189</v>
      </c>
      <c r="G318" s="25">
        <v>222</v>
      </c>
      <c r="H318" s="25">
        <v>145</v>
      </c>
      <c r="I318" s="25">
        <f t="shared" si="153"/>
        <v>71</v>
      </c>
      <c r="J318" s="25">
        <f>'R2 guide wt multiport'!AV45</f>
        <v>0.18965152981032207</v>
      </c>
      <c r="K318" s="25">
        <f t="shared" si="145"/>
        <v>4.1990116680581035E-4</v>
      </c>
      <c r="L318" s="25">
        <f t="shared" si="181"/>
        <v>0.22281896636350884</v>
      </c>
      <c r="M318" s="25">
        <v>1.4915266125658499E-2</v>
      </c>
      <c r="N318" s="25">
        <f>'R2 guide wt multiport'!AW45</f>
        <v>0.54444905931486787</v>
      </c>
      <c r="O318" s="25">
        <f t="shared" si="147"/>
        <v>6.7766197028968137E-4</v>
      </c>
      <c r="P318" s="25">
        <f t="shared" si="182"/>
        <v>0.50125043165578864</v>
      </c>
      <c r="Q318" s="25">
        <v>1.3345352218062699E-2</v>
      </c>
      <c r="R318" s="25">
        <f>'R2 guide wt multiport'!AT45</f>
        <v>0.63203330836996574</v>
      </c>
      <c r="S318" s="25">
        <f t="shared" si="149"/>
        <v>6.3542952317180749E-4</v>
      </c>
      <c r="T318" s="25">
        <f t="shared" si="183"/>
        <v>0.59973066116457119</v>
      </c>
      <c r="U318" s="25">
        <v>1.8703033616446499E-2</v>
      </c>
      <c r="V318" s="25">
        <f>'R2 guide wt multiport'!AU45</f>
        <v>0.3679666916300342</v>
      </c>
      <c r="W318" s="26">
        <f t="shared" si="169"/>
        <v>6.3542952317180749E-4</v>
      </c>
      <c r="X318" s="25">
        <f t="shared" si="184"/>
        <v>0.40026933883542887</v>
      </c>
      <c r="Y318" s="25">
        <v>1.87584578015139E-2</v>
      </c>
      <c r="Z318" s="25">
        <f>'R2 guide wt multiport'!AX45</f>
        <v>0.51540406815137485</v>
      </c>
      <c r="AA318" s="25">
        <f t="shared" si="185"/>
        <v>1.7344632964193597E-3</v>
      </c>
      <c r="AB318" s="25">
        <f t="shared" si="186"/>
        <v>0.52894984820158075</v>
      </c>
      <c r="AC318" s="25">
        <v>2.0934961579060898E-2</v>
      </c>
      <c r="AD318" s="25">
        <f>'R2 guide wt multiport'!AY45</f>
        <v>0.86142463079836629</v>
      </c>
      <c r="AE318" s="25">
        <f t="shared" si="187"/>
        <v>5.4014586539486255E-4</v>
      </c>
      <c r="AF318" s="25">
        <f t="shared" si="188"/>
        <v>0.84046641957117285</v>
      </c>
      <c r="AG318" s="25">
        <v>7.5210074982134398E-3</v>
      </c>
    </row>
    <row r="319" spans="1:33" hidden="1" x14ac:dyDescent="0.3">
      <c r="A319" s="25">
        <v>2010</v>
      </c>
      <c r="B319" s="25" t="s">
        <v>9</v>
      </c>
      <c r="C319" s="25" t="s">
        <v>16</v>
      </c>
      <c r="D319" s="25">
        <f t="shared" si="189"/>
        <v>451</v>
      </c>
      <c r="E319" s="25">
        <v>102</v>
      </c>
      <c r="F319" s="25">
        <v>191</v>
      </c>
      <c r="G319" s="25">
        <v>225</v>
      </c>
      <c r="H319" s="25">
        <v>226</v>
      </c>
      <c r="I319" s="25">
        <f t="shared" si="153"/>
        <v>124</v>
      </c>
      <c r="J319" s="25">
        <f>'R2 guide wt multiport'!AV46</f>
        <v>0.19370405855130937</v>
      </c>
      <c r="K319" s="25">
        <f t="shared" si="145"/>
        <v>3.4707288056013395E-4</v>
      </c>
      <c r="L319" s="25">
        <f t="shared" si="181"/>
        <v>0.22281896636350884</v>
      </c>
      <c r="M319" s="25">
        <v>1.4915266125658499E-2</v>
      </c>
      <c r="N319" s="25">
        <f>'R2 guide wt multiport'!AW46</f>
        <v>0.56620942019228737</v>
      </c>
      <c r="O319" s="25">
        <f t="shared" si="147"/>
        <v>5.4581402817289136E-4</v>
      </c>
      <c r="P319" s="25">
        <f t="shared" si="182"/>
        <v>0.50125043165578864</v>
      </c>
      <c r="Q319" s="25">
        <v>1.3345352218062699E-2</v>
      </c>
      <c r="R319" s="25">
        <f>'R2 guide wt multiport'!AT46</f>
        <v>0.6513354126267995</v>
      </c>
      <c r="S319" s="25">
        <f t="shared" si="149"/>
        <v>5.0466131752239184E-4</v>
      </c>
      <c r="T319" s="25">
        <f t="shared" si="183"/>
        <v>0.59973066116457119</v>
      </c>
      <c r="U319" s="25">
        <v>1.8703033616446499E-2</v>
      </c>
      <c r="V319" s="25">
        <f>'R2 guide wt multiport'!AU46</f>
        <v>0.34866458737320055</v>
      </c>
      <c r="W319" s="26">
        <f t="shared" si="169"/>
        <v>5.0466131752239184E-4</v>
      </c>
      <c r="X319" s="25">
        <f t="shared" si="184"/>
        <v>0.40026933883542887</v>
      </c>
      <c r="Y319" s="25">
        <v>1.87584578015139E-2</v>
      </c>
      <c r="Z319" s="25">
        <f>'R2 guide wt multiport'!AX46</f>
        <v>0.55555988639584475</v>
      </c>
      <c r="AA319" s="25">
        <f t="shared" si="185"/>
        <v>1.0973915512163593E-3</v>
      </c>
      <c r="AB319" s="25">
        <f t="shared" si="186"/>
        <v>0.52894984820158075</v>
      </c>
      <c r="AC319" s="25">
        <v>2.0934961579060898E-2</v>
      </c>
      <c r="AD319" s="25">
        <f>'R2 guide wt multiport'!AY46</f>
        <v>0.8693054441931789</v>
      </c>
      <c r="AE319" s="25">
        <f t="shared" si="187"/>
        <v>5.072030753985662E-4</v>
      </c>
      <c r="AF319" s="25">
        <f t="shared" si="188"/>
        <v>0.84046641957117285</v>
      </c>
      <c r="AG319" s="25">
        <v>7.5210074982134398E-3</v>
      </c>
    </row>
    <row r="320" spans="1:33" hidden="1" x14ac:dyDescent="0.3">
      <c r="A320" s="25">
        <v>2011</v>
      </c>
      <c r="B320" s="25" t="s">
        <v>9</v>
      </c>
      <c r="C320" s="25" t="s">
        <v>16</v>
      </c>
      <c r="D320" s="25">
        <f t="shared" si="189"/>
        <v>473</v>
      </c>
      <c r="E320" s="25">
        <v>78</v>
      </c>
      <c r="F320" s="25">
        <v>208</v>
      </c>
      <c r="G320" s="25">
        <v>265</v>
      </c>
      <c r="H320" s="25">
        <v>208</v>
      </c>
      <c r="I320" s="25">
        <f t="shared" si="153"/>
        <v>130</v>
      </c>
      <c r="J320" s="25">
        <f>'R2 guide wt multiport'!AV47</f>
        <v>0.14641706140635474</v>
      </c>
      <c r="K320" s="25">
        <f t="shared" si="145"/>
        <v>2.6478624054127649E-4</v>
      </c>
      <c r="L320" s="25">
        <f t="shared" si="181"/>
        <v>0.22281896636350884</v>
      </c>
      <c r="M320" s="25">
        <v>1.4915266125658499E-2</v>
      </c>
      <c r="N320" s="25">
        <f>'R2 guide wt multiport'!AW47</f>
        <v>0.5550830152375632</v>
      </c>
      <c r="O320" s="25">
        <f t="shared" si="147"/>
        <v>5.2323275727190327E-4</v>
      </c>
      <c r="P320" s="25">
        <f t="shared" si="182"/>
        <v>0.50125043165578864</v>
      </c>
      <c r="Q320" s="25">
        <v>1.3345352218062699E-2</v>
      </c>
      <c r="R320" s="25">
        <f>'R2 guide wt multiport'!AT47</f>
        <v>0.69761954335271537</v>
      </c>
      <c r="S320" s="25">
        <f t="shared" si="149"/>
        <v>4.4692058492598358E-4</v>
      </c>
      <c r="T320" s="25">
        <f t="shared" si="183"/>
        <v>0.59973066116457119</v>
      </c>
      <c r="U320" s="25">
        <v>1.8703033616446499E-2</v>
      </c>
      <c r="V320" s="25">
        <f>'R2 guide wt multiport'!AU47</f>
        <v>0.30238045664728469</v>
      </c>
      <c r="W320" s="26">
        <f t="shared" si="169"/>
        <v>4.4692058492598358E-4</v>
      </c>
      <c r="X320" s="25">
        <f t="shared" si="184"/>
        <v>0.40026933883542887</v>
      </c>
      <c r="Y320" s="25">
        <v>1.87584578015139E-2</v>
      </c>
      <c r="Z320" s="25">
        <f>'R2 guide wt multiport'!AX47</f>
        <v>0.4842146977016597</v>
      </c>
      <c r="AA320" s="25">
        <f t="shared" si="185"/>
        <v>1.2065257209243961E-3</v>
      </c>
      <c r="AB320" s="25">
        <f t="shared" si="186"/>
        <v>0.52894984820158075</v>
      </c>
      <c r="AC320" s="25">
        <v>2.0934961579060898E-2</v>
      </c>
      <c r="AD320" s="25">
        <f>'R2 guide wt multiport'!AY47</f>
        <v>0.79568157246551519</v>
      </c>
      <c r="AE320" s="25">
        <f t="shared" si="187"/>
        <v>6.1580457463757685E-4</v>
      </c>
      <c r="AF320" s="25">
        <f t="shared" si="188"/>
        <v>0.84046641957117285</v>
      </c>
      <c r="AG320" s="25">
        <v>7.5210074982134398E-3</v>
      </c>
    </row>
    <row r="321" spans="1:33" hidden="1" x14ac:dyDescent="0.3">
      <c r="A321" s="25">
        <v>2012</v>
      </c>
      <c r="B321" s="25" t="s">
        <v>9</v>
      </c>
      <c r="C321" s="25" t="s">
        <v>16</v>
      </c>
      <c r="D321" s="25">
        <f t="shared" si="189"/>
        <v>601</v>
      </c>
      <c r="E321" s="25">
        <v>91</v>
      </c>
      <c r="F321" s="25">
        <v>281</v>
      </c>
      <c r="G321" s="25">
        <v>340</v>
      </c>
      <c r="H321" s="25">
        <v>261</v>
      </c>
      <c r="I321" s="25">
        <f t="shared" si="153"/>
        <v>170</v>
      </c>
      <c r="J321" s="25">
        <f>'R2 guide wt multiport'!AV48</f>
        <v>0.14431481714096697</v>
      </c>
      <c r="K321" s="25">
        <f t="shared" si="145"/>
        <v>2.0581341782422707E-4</v>
      </c>
      <c r="L321" s="25">
        <f t="shared" si="181"/>
        <v>0.22281896636350884</v>
      </c>
      <c r="M321" s="25">
        <v>1.4915266125658499E-2</v>
      </c>
      <c r="N321" s="25">
        <f>'R2 guide wt multiport'!AW48</f>
        <v>0.48294846687048459</v>
      </c>
      <c r="O321" s="25">
        <f t="shared" si="147"/>
        <v>4.1618207536322165E-4</v>
      </c>
      <c r="P321" s="25">
        <f t="shared" si="182"/>
        <v>0.50125043165578864</v>
      </c>
      <c r="Q321" s="25">
        <v>1.3345352218062699E-2</v>
      </c>
      <c r="R321" s="25">
        <f>'R2 guide wt multiport'!AT48</f>
        <v>0.57046578685550398</v>
      </c>
      <c r="S321" s="25">
        <f t="shared" si="149"/>
        <v>4.0839095480472445E-4</v>
      </c>
      <c r="T321" s="25">
        <f t="shared" si="183"/>
        <v>0.59973066116457119</v>
      </c>
      <c r="U321" s="25">
        <v>1.8703033616446499E-2</v>
      </c>
      <c r="V321" s="25">
        <f>'R2 guide wt multiport'!AU48</f>
        <v>0.42953421314449586</v>
      </c>
      <c r="W321" s="26">
        <f t="shared" si="169"/>
        <v>4.0839095480472439E-4</v>
      </c>
      <c r="X321" s="25">
        <f t="shared" si="184"/>
        <v>0.40026933883542887</v>
      </c>
      <c r="Y321" s="25">
        <v>1.87584578015139E-2</v>
      </c>
      <c r="Z321" s="25">
        <f>'R2 guide wt multiport'!AX48</f>
        <v>0.33597979561274033</v>
      </c>
      <c r="AA321" s="25">
        <f t="shared" si="185"/>
        <v>8.5806681751062137E-4</v>
      </c>
      <c r="AB321" s="25">
        <f t="shared" si="186"/>
        <v>0.52894984820158075</v>
      </c>
      <c r="AC321" s="25">
        <v>2.0934961579060898E-2</v>
      </c>
      <c r="AD321" s="25">
        <f>'R2 guide wt multiport'!AY48</f>
        <v>0.84658620726857547</v>
      </c>
      <c r="AE321" s="25">
        <f t="shared" si="187"/>
        <v>3.8312094669965793E-4</v>
      </c>
      <c r="AF321" s="25">
        <f t="shared" si="188"/>
        <v>0.84046641957117285</v>
      </c>
      <c r="AG321" s="25">
        <v>7.5210074982134398E-3</v>
      </c>
    </row>
    <row r="322" spans="1:33" hidden="1" x14ac:dyDescent="0.3">
      <c r="A322" s="25">
        <v>2013</v>
      </c>
      <c r="B322" s="25" t="s">
        <v>9</v>
      </c>
      <c r="C322" s="25" t="s">
        <v>16</v>
      </c>
      <c r="D322" s="25">
        <f t="shared" si="189"/>
        <v>545</v>
      </c>
      <c r="E322" s="25">
        <v>78</v>
      </c>
      <c r="F322" s="25">
        <v>313</v>
      </c>
      <c r="G322" s="25">
        <v>371</v>
      </c>
      <c r="H322" s="25">
        <v>174</v>
      </c>
      <c r="I322" s="25">
        <f t="shared" si="153"/>
        <v>96</v>
      </c>
      <c r="J322" s="25">
        <f>'R2 guide wt multiport'!AV49</f>
        <v>0.15202367087586605</v>
      </c>
      <c r="K322" s="25">
        <f t="shared" si="145"/>
        <v>2.3697146023766985E-4</v>
      </c>
      <c r="L322" s="25">
        <f t="shared" si="181"/>
        <v>0.22281896636350884</v>
      </c>
      <c r="M322" s="25">
        <v>1.4915266125658499E-2</v>
      </c>
      <c r="N322" s="25">
        <f>'R2 guide wt multiport'!AW49</f>
        <v>0.51715934618399728</v>
      </c>
      <c r="O322" s="25">
        <f t="shared" si="147"/>
        <v>4.5901756771790024E-4</v>
      </c>
      <c r="P322" s="25">
        <f t="shared" si="182"/>
        <v>0.50125043165578864</v>
      </c>
      <c r="Q322" s="25">
        <v>1.3345352218062699E-2</v>
      </c>
      <c r="R322" s="25">
        <f>'R2 guide wt multiport'!AT49</f>
        <v>0.652922370431399</v>
      </c>
      <c r="S322" s="25">
        <f t="shared" si="149"/>
        <v>4.1657122908390074E-4</v>
      </c>
      <c r="T322" s="25">
        <f t="shared" si="183"/>
        <v>0.59973066116457119</v>
      </c>
      <c r="U322" s="25">
        <v>1.8703033616446499E-2</v>
      </c>
      <c r="V322" s="25">
        <f>'R2 guide wt multiport'!AU49</f>
        <v>0.34707762956860111</v>
      </c>
      <c r="W322" s="26">
        <f t="shared" si="169"/>
        <v>4.165712290839008E-4</v>
      </c>
      <c r="X322" s="25">
        <f t="shared" si="184"/>
        <v>0.40026933883542887</v>
      </c>
      <c r="Y322" s="25">
        <v>1.87584578015139E-2</v>
      </c>
      <c r="Z322" s="25">
        <f>'R2 guide wt multiport'!AX49</f>
        <v>0.43801057148172678</v>
      </c>
      <c r="AA322" s="25">
        <f t="shared" si="185"/>
        <v>1.4228746286241494E-3</v>
      </c>
      <c r="AB322" s="25">
        <f t="shared" si="186"/>
        <v>0.52894984820158075</v>
      </c>
      <c r="AC322" s="25">
        <v>2.0934961579060898E-2</v>
      </c>
      <c r="AD322" s="25">
        <f>'R2 guide wt multiport'!AY49</f>
        <v>0.79206865870179877</v>
      </c>
      <c r="AE322" s="25">
        <f t="shared" si="187"/>
        <v>4.4512405028143839E-4</v>
      </c>
      <c r="AF322" s="25">
        <f t="shared" si="188"/>
        <v>0.84046641957117285</v>
      </c>
      <c r="AG322" s="25">
        <v>7.5210074982134398E-3</v>
      </c>
    </row>
    <row r="323" spans="1:33" hidden="1" x14ac:dyDescent="0.3">
      <c r="A323" s="25">
        <v>2014</v>
      </c>
      <c r="B323" s="25" t="s">
        <v>9</v>
      </c>
      <c r="C323" s="25" t="s">
        <v>16</v>
      </c>
      <c r="D323" s="25">
        <f t="shared" si="189"/>
        <v>700</v>
      </c>
      <c r="E323" s="25">
        <v>67</v>
      </c>
      <c r="F323" s="25">
        <v>433</v>
      </c>
      <c r="G323" s="25">
        <v>516</v>
      </c>
      <c r="H323" s="25">
        <v>184</v>
      </c>
      <c r="I323" s="25">
        <f t="shared" si="153"/>
        <v>117</v>
      </c>
      <c r="J323" s="25">
        <f>'R2 guide wt multiport'!AV50</f>
        <v>7.5429826586799295E-2</v>
      </c>
      <c r="K323" s="25">
        <f t="shared" si="145"/>
        <v>9.9771341699405848E-5</v>
      </c>
      <c r="L323" s="25">
        <f t="shared" si="181"/>
        <v>0.22281896636350884</v>
      </c>
      <c r="M323" s="25">
        <v>1.4915266125658499E-2</v>
      </c>
      <c r="N323" s="25">
        <f>'R2 guide wt multiport'!AW50</f>
        <v>0.60568024607289861</v>
      </c>
      <c r="O323" s="25">
        <f t="shared" si="147"/>
        <v>3.4167623117306378E-4</v>
      </c>
      <c r="P323" s="25">
        <f t="shared" si="182"/>
        <v>0.50125043165578864</v>
      </c>
      <c r="Q323" s="25">
        <v>1.3345352218062699E-2</v>
      </c>
      <c r="R323" s="25">
        <f>'R2 guide wt multiport'!AT50</f>
        <v>0.76843324856933692</v>
      </c>
      <c r="S323" s="25">
        <f t="shared" si="149"/>
        <v>2.5456879980330837E-4</v>
      </c>
      <c r="T323" s="25">
        <f t="shared" si="183"/>
        <v>0.59973066116457119</v>
      </c>
      <c r="U323" s="25">
        <v>1.8703033616446499E-2</v>
      </c>
      <c r="V323" s="25">
        <f>'R2 guide wt multiport'!AU50</f>
        <v>0.23156675143066305</v>
      </c>
      <c r="W323" s="26">
        <f t="shared" si="169"/>
        <v>2.5456879980330837E-4</v>
      </c>
      <c r="X323" s="25">
        <f t="shared" si="184"/>
        <v>0.40026933883542887</v>
      </c>
      <c r="Y323" s="25">
        <v>1.87584578015139E-2</v>
      </c>
      <c r="Z323" s="25">
        <f>'R2 guide wt multiport'!AX50</f>
        <v>0.32573686041186661</v>
      </c>
      <c r="AA323" s="25">
        <f t="shared" si="185"/>
        <v>1.2001768206605832E-3</v>
      </c>
      <c r="AB323" s="25">
        <f t="shared" si="186"/>
        <v>0.52894984820158075</v>
      </c>
      <c r="AC323" s="25">
        <v>2.0934961579060898E-2</v>
      </c>
      <c r="AD323" s="25">
        <f>'R2 guide wt multiport'!AY50</f>
        <v>0.78820150898018704</v>
      </c>
      <c r="AE323" s="25">
        <f t="shared" si="187"/>
        <v>3.2415512664377318E-4</v>
      </c>
      <c r="AF323" s="25">
        <f t="shared" si="188"/>
        <v>0.84046641957117285</v>
      </c>
      <c r="AG323" s="25">
        <v>7.5210074982134398E-3</v>
      </c>
    </row>
    <row r="324" spans="1:33" hidden="1" x14ac:dyDescent="0.3">
      <c r="A324" s="25">
        <v>2015</v>
      </c>
      <c r="B324" s="25" t="s">
        <v>9</v>
      </c>
      <c r="C324" s="25" t="s">
        <v>16</v>
      </c>
      <c r="D324" s="25">
        <f t="shared" si="189"/>
        <v>518</v>
      </c>
      <c r="E324" s="25">
        <v>77</v>
      </c>
      <c r="F324" s="25">
        <v>313</v>
      </c>
      <c r="G324" s="25">
        <v>352</v>
      </c>
      <c r="H324" s="25">
        <v>166</v>
      </c>
      <c r="I324" s="25">
        <f t="shared" si="153"/>
        <v>89</v>
      </c>
      <c r="J324" s="25">
        <f>'R2 guide wt multiport'!AV51</f>
        <v>9.4462941821192234E-2</v>
      </c>
      <c r="K324" s="25">
        <f t="shared" ref="K324:K391" si="190">(J324*(1-J324))/(D324-1)</f>
        <v>1.6545395443651507E-4</v>
      </c>
      <c r="L324" s="25">
        <f t="shared" si="181"/>
        <v>0.22281896636350884</v>
      </c>
      <c r="M324" s="25">
        <v>1.4915266125658499E-2</v>
      </c>
      <c r="N324" s="25">
        <f>'R2 guide wt multiport'!AW51</f>
        <v>0.63511835988021681</v>
      </c>
      <c r="O324" s="25">
        <f t="shared" ref="O324:O390" si="191">(N324*(1-N324))/($D324-1)</f>
        <v>4.4824570372007776E-4</v>
      </c>
      <c r="P324" s="25">
        <f t="shared" si="182"/>
        <v>0.50125043165578864</v>
      </c>
      <c r="Q324" s="25">
        <v>1.3345352218062699E-2</v>
      </c>
      <c r="R324" s="25">
        <f>'R2 guide wt multiport'!AT51</f>
        <v>0.75219292798515325</v>
      </c>
      <c r="S324" s="25">
        <f t="shared" ref="S324:S391" si="192">(R324*(1-R324))/($D324-1)</f>
        <v>3.6053912393476848E-4</v>
      </c>
      <c r="T324" s="25">
        <f t="shared" si="183"/>
        <v>0.59973066116457119</v>
      </c>
      <c r="U324" s="25">
        <v>1.8703033616446499E-2</v>
      </c>
      <c r="V324" s="25">
        <f>'R2 guide wt multiport'!AU51</f>
        <v>0.24780707201484681</v>
      </c>
      <c r="W324" s="26">
        <f t="shared" si="169"/>
        <v>3.6053912393476853E-4</v>
      </c>
      <c r="X324" s="25">
        <f t="shared" si="184"/>
        <v>0.40026933883542887</v>
      </c>
      <c r="Y324" s="25">
        <v>1.87584578015139E-2</v>
      </c>
      <c r="Z324" s="25">
        <f>'R2 guide wt multiport'!AX51</f>
        <v>0.38119550444279771</v>
      </c>
      <c r="AA324" s="25">
        <f t="shared" si="185"/>
        <v>1.4296090414266588E-3</v>
      </c>
      <c r="AB324" s="25">
        <f t="shared" si="186"/>
        <v>0.52894984820158075</v>
      </c>
      <c r="AC324" s="25">
        <v>2.0934961579060898E-2</v>
      </c>
      <c r="AD324" s="25">
        <f>'R2 guide wt multiport'!AY51</f>
        <v>0.84435566495083114</v>
      </c>
      <c r="AE324" s="25">
        <f t="shared" si="187"/>
        <v>3.7441360688396277E-4</v>
      </c>
      <c r="AF324" s="25">
        <f t="shared" si="188"/>
        <v>0.84046641957117285</v>
      </c>
      <c r="AG324" s="25">
        <v>7.5210074982134398E-3</v>
      </c>
    </row>
    <row r="325" spans="1:33" hidden="1" x14ac:dyDescent="0.3">
      <c r="A325" s="25">
        <v>2016</v>
      </c>
      <c r="B325" s="25" t="s">
        <v>9</v>
      </c>
      <c r="C325" s="25" t="s">
        <v>16</v>
      </c>
      <c r="D325" s="25">
        <f t="shared" si="189"/>
        <v>816</v>
      </c>
      <c r="E325" s="25">
        <v>81</v>
      </c>
      <c r="F325" s="25">
        <v>390</v>
      </c>
      <c r="G325" s="25">
        <v>597</v>
      </c>
      <c r="H325" s="25">
        <v>219</v>
      </c>
      <c r="I325" s="25">
        <f t="shared" si="153"/>
        <v>138</v>
      </c>
      <c r="J325" s="25">
        <f>'R2 guide wt multiport'!AV52</f>
        <v>6.5751801378711866E-2</v>
      </c>
      <c r="K325" s="25">
        <f t="shared" si="190"/>
        <v>7.537239508486662E-5</v>
      </c>
      <c r="L325" s="25">
        <f t="shared" si="181"/>
        <v>0.22281896636350884</v>
      </c>
      <c r="M325" s="25">
        <v>1.4915266125658499E-2</v>
      </c>
      <c r="N325" s="25">
        <f>'R2 guide wt multiport'!AW52</f>
        <v>0.463810580186309</v>
      </c>
      <c r="O325" s="25">
        <f t="shared" si="191"/>
        <v>3.0514150416386304E-4</v>
      </c>
      <c r="P325" s="25">
        <f t="shared" si="182"/>
        <v>0.50125043165578864</v>
      </c>
      <c r="Q325" s="25">
        <v>1.3345352218062699E-2</v>
      </c>
      <c r="R325" s="25">
        <f>'R2 guide wt multiport'!AT52</f>
        <v>0.74460904575832498</v>
      </c>
      <c r="S325" s="25">
        <f t="shared" si="192"/>
        <v>2.3333302421251739E-4</v>
      </c>
      <c r="T325" s="25">
        <f t="shared" si="183"/>
        <v>0.59973066116457119</v>
      </c>
      <c r="U325" s="25">
        <v>1.8703033616446499E-2</v>
      </c>
      <c r="V325" s="25">
        <f>'R2 guide wt multiport'!AU52</f>
        <v>0.25539095424167502</v>
      </c>
      <c r="W325" s="26">
        <f t="shared" si="169"/>
        <v>2.3333302421251739E-4</v>
      </c>
      <c r="X325" s="25">
        <f t="shared" si="184"/>
        <v>0.40026933883542887</v>
      </c>
      <c r="Y325" s="25">
        <v>1.87584578015139E-2</v>
      </c>
      <c r="Z325" s="25">
        <f>'R2 guide wt multiport'!AX52</f>
        <v>0.25745548261075574</v>
      </c>
      <c r="AA325" s="25">
        <f t="shared" si="185"/>
        <v>8.7693650038724112E-4</v>
      </c>
      <c r="AB325" s="25">
        <f t="shared" si="186"/>
        <v>0.52894984820158075</v>
      </c>
      <c r="AC325" s="25">
        <v>2.0934961579060898E-2</v>
      </c>
      <c r="AD325" s="25">
        <f>'R2 guide wt multiport'!AY52</f>
        <v>0.62289141238400469</v>
      </c>
      <c r="AE325" s="25">
        <f t="shared" si="187"/>
        <v>3.9412365899708809E-4</v>
      </c>
      <c r="AF325" s="25">
        <f t="shared" si="188"/>
        <v>0.84046641957117285</v>
      </c>
      <c r="AG325" s="25">
        <v>7.5210074982134398E-3</v>
      </c>
    </row>
    <row r="326" spans="1:33" hidden="1" x14ac:dyDescent="0.3">
      <c r="A326" s="25">
        <v>2017</v>
      </c>
      <c r="B326" s="25" t="s">
        <v>9</v>
      </c>
      <c r="C326" s="25" t="s">
        <v>16</v>
      </c>
      <c r="D326" s="25">
        <f t="shared" si="189"/>
        <v>552</v>
      </c>
      <c r="E326" s="25">
        <v>114</v>
      </c>
      <c r="F326" s="25">
        <v>261</v>
      </c>
      <c r="G326" s="25">
        <v>348</v>
      </c>
      <c r="H326" s="25">
        <v>204</v>
      </c>
      <c r="I326" s="25">
        <f t="shared" si="153"/>
        <v>90</v>
      </c>
      <c r="J326" s="25">
        <f>'R2 guide wt multiport'!AV53</f>
        <v>0.10982932870774692</v>
      </c>
      <c r="K326" s="25">
        <f t="shared" si="190"/>
        <v>1.7743529448884318E-4</v>
      </c>
      <c r="L326" s="25">
        <f t="shared" si="181"/>
        <v>0.22281896636350884</v>
      </c>
      <c r="M326" s="25">
        <v>1.4915266125658499E-2</v>
      </c>
      <c r="N326" s="25">
        <f>'R2 guide wt multiport'!AW53</f>
        <v>0.53444117825873605</v>
      </c>
      <c r="O326" s="25">
        <f t="shared" si="191"/>
        <v>4.5156770461007249E-4</v>
      </c>
      <c r="P326" s="25">
        <f t="shared" si="182"/>
        <v>0.50125043165578864</v>
      </c>
      <c r="Q326" s="25">
        <v>1.3345352218062699E-2</v>
      </c>
      <c r="R326" s="25">
        <f>'R2 guide wt multiport'!AT53</f>
        <v>0.74576656063685509</v>
      </c>
      <c r="S326" s="25">
        <f t="shared" si="192"/>
        <v>3.4409945131167157E-4</v>
      </c>
      <c r="T326" s="25">
        <f t="shared" si="183"/>
        <v>0.59973066116457119</v>
      </c>
      <c r="U326" s="25">
        <v>1.8703033616446499E-2</v>
      </c>
      <c r="V326" s="25">
        <f>'R2 guide wt multiport'!AU53</f>
        <v>0.25423343936314469</v>
      </c>
      <c r="W326" s="26">
        <f t="shared" si="169"/>
        <v>3.4409945131167136E-4</v>
      </c>
      <c r="X326" s="25">
        <f t="shared" si="184"/>
        <v>0.40026933883542887</v>
      </c>
      <c r="Y326" s="25">
        <v>1.87584578015139E-2</v>
      </c>
      <c r="Z326" s="25">
        <f>'R2 guide wt multiport'!AX53</f>
        <v>0.43200189944670392</v>
      </c>
      <c r="AA326" s="25">
        <f t="shared" si="185"/>
        <v>1.2087500409908563E-3</v>
      </c>
      <c r="AB326" s="25">
        <f t="shared" si="186"/>
        <v>0.52894984820158075</v>
      </c>
      <c r="AC326" s="25">
        <v>2.0934961579060898E-2</v>
      </c>
      <c r="AD326" s="25">
        <f>'R2 guide wt multiport'!AY53</f>
        <v>0.71663333604331148</v>
      </c>
      <c r="AE326" s="25">
        <f t="shared" si="187"/>
        <v>5.8521613174278297E-4</v>
      </c>
      <c r="AF326" s="25">
        <f t="shared" si="188"/>
        <v>0.84046641957117285</v>
      </c>
      <c r="AG326" s="25">
        <v>7.5210074982134398E-3</v>
      </c>
    </row>
    <row r="327" spans="1:33" hidden="1" x14ac:dyDescent="0.3">
      <c r="A327" s="25">
        <v>2018</v>
      </c>
      <c r="B327" s="25" t="s">
        <v>9</v>
      </c>
      <c r="C327" s="25" t="s">
        <v>16</v>
      </c>
      <c r="D327" s="25">
        <f t="shared" si="189"/>
        <v>448</v>
      </c>
      <c r="E327" s="25">
        <v>67</v>
      </c>
      <c r="F327" s="25">
        <v>273</v>
      </c>
      <c r="G327" s="25">
        <v>300</v>
      </c>
      <c r="H327" s="25">
        <v>148</v>
      </c>
      <c r="I327" s="25">
        <f t="shared" si="153"/>
        <v>81</v>
      </c>
      <c r="J327" s="25">
        <f>'R2 guide wt multiport'!AV54</f>
        <v>0.15689208691548179</v>
      </c>
      <c r="K327" s="25">
        <f t="shared" si="190"/>
        <v>2.9592161069079805E-4</v>
      </c>
      <c r="L327" s="25">
        <f>AVERAGE(J$307:J$328)</f>
        <v>0.22281896636350884</v>
      </c>
      <c r="M327" s="25">
        <v>1.4915266125658499E-2</v>
      </c>
      <c r="N327" s="25">
        <f>'R2 guide wt multiport'!AW54</f>
        <v>0.61054834603054009</v>
      </c>
      <c r="O327" s="25">
        <f>(N327*(1-N327))/($D327-1)</f>
        <v>5.3194421295282314E-4</v>
      </c>
      <c r="P327" s="25">
        <f>AVERAGE(N$307:N$328)</f>
        <v>0.50125043165578864</v>
      </c>
      <c r="Q327" s="25">
        <v>1.3345352218062699E-2</v>
      </c>
      <c r="R327" s="25">
        <f>'R2 guide wt multiport'!AT54</f>
        <v>0.67592329687468766</v>
      </c>
      <c r="S327" s="25">
        <f t="shared" si="192"/>
        <v>4.9004696558554929E-4</v>
      </c>
      <c r="T327" s="25">
        <f>AVERAGE(R$307:R$328)</f>
        <v>0.59973066116457119</v>
      </c>
      <c r="U327" s="25">
        <v>1.8703033616446499E-2</v>
      </c>
      <c r="V327" s="25">
        <f>'R2 guide wt multiport'!AU54</f>
        <v>0.3240767031253125</v>
      </c>
      <c r="W327" s="26">
        <f t="shared" si="169"/>
        <v>4.900469655855494E-4</v>
      </c>
      <c r="X327" s="25">
        <f>AVERAGE(V$307:V$328)</f>
        <v>0.40026933883542887</v>
      </c>
      <c r="Y327" s="25">
        <v>1.87584578015139E-2</v>
      </c>
      <c r="Z327" s="25">
        <f>'R2 guide wt multiport'!AX54</f>
        <v>0.48412022648482533</v>
      </c>
      <c r="AA327" s="25">
        <f t="shared" si="185"/>
        <v>1.698964848932699E-3</v>
      </c>
      <c r="AB327" s="25">
        <f>AVERAGE(Z$307:Z$328)</f>
        <v>0.52894984820158075</v>
      </c>
      <c r="AC327" s="25">
        <v>2.0934961579060898E-2</v>
      </c>
      <c r="AD327" s="25">
        <f>'R2 guide wt multiport'!AY54</f>
        <v>0.90328051844576718</v>
      </c>
      <c r="AE327" s="25">
        <f t="shared" si="187"/>
        <v>2.9219004495690046E-4</v>
      </c>
      <c r="AF327" s="25">
        <f>AVERAGE(AD$307:AD$328)</f>
        <v>0.84046641957117285</v>
      </c>
      <c r="AG327" s="25">
        <v>7.5210074982134398E-3</v>
      </c>
    </row>
    <row r="328" spans="1:33" hidden="1" x14ac:dyDescent="0.3">
      <c r="A328" s="25">
        <v>2019</v>
      </c>
      <c r="B328" s="25" t="s">
        <v>9</v>
      </c>
      <c r="C328" s="25" t="s">
        <v>16</v>
      </c>
      <c r="D328" s="25">
        <f t="shared" si="189"/>
        <v>474</v>
      </c>
      <c r="E328" s="25">
        <v>115</v>
      </c>
      <c r="F328" s="25">
        <v>157</v>
      </c>
      <c r="G328" s="25">
        <v>249</v>
      </c>
      <c r="H328" s="25">
        <v>225</v>
      </c>
      <c r="I328" s="25">
        <f t="shared" si="153"/>
        <v>110</v>
      </c>
      <c r="J328" s="25">
        <f>'R2 guide wt multiport'!AV55</f>
        <v>0.18828444481097473</v>
      </c>
      <c r="K328" s="25">
        <f t="shared" si="190"/>
        <v>3.2311503732177112E-4</v>
      </c>
      <c r="L328" s="25">
        <f>AVERAGE(J$307:J$328)</f>
        <v>0.22281896636350884</v>
      </c>
      <c r="M328" s="25">
        <v>1.4915266125658499E-2</v>
      </c>
      <c r="N328" s="25">
        <f>'R2 guide wt multiport'!AW55</f>
        <v>0.51065301370437832</v>
      </c>
      <c r="O328" s="25">
        <f>(N328*(1-N328))/($D328-1)</f>
        <v>5.2830129661525223E-4</v>
      </c>
      <c r="P328" s="25">
        <f>AVERAGE(N$307:N$328)</f>
        <v>0.50125043165578864</v>
      </c>
      <c r="Q328" s="25">
        <v>1.3345352218062699E-2</v>
      </c>
      <c r="R328" s="25">
        <f>'R2 guide wt multiport'!AT55</f>
        <v>0.64971058652191049</v>
      </c>
      <c r="S328" s="25">
        <f t="shared" si="192"/>
        <v>4.8115589911895467E-4</v>
      </c>
      <c r="T328" s="25">
        <f>AVERAGE(R$307:R$328)</f>
        <v>0.59973066116457119</v>
      </c>
      <c r="U328" s="25">
        <v>1.8703033616446499E-2</v>
      </c>
      <c r="V328" s="25">
        <f>'R2 guide wt multiport'!AU55</f>
        <v>0.35028941347808951</v>
      </c>
      <c r="W328" s="26">
        <f t="shared" si="169"/>
        <v>4.8115589911895467E-4</v>
      </c>
      <c r="X328" s="25">
        <f>AVERAGE(V$307:V$328)</f>
        <v>0.40026933883542887</v>
      </c>
      <c r="Y328" s="25">
        <v>1.87584578015139E-2</v>
      </c>
      <c r="Z328" s="25">
        <f>'R2 guide wt multiport'!AX55</f>
        <v>0.53751109101888928</v>
      </c>
      <c r="AA328" s="25">
        <f t="shared" si="185"/>
        <v>1.1097898127257705E-3</v>
      </c>
      <c r="AB328" s="25">
        <f>AVERAGE(Z$307:Z$328)</f>
        <v>0.52894984820158075</v>
      </c>
      <c r="AC328" s="25">
        <v>2.0934961579060898E-2</v>
      </c>
      <c r="AD328" s="25">
        <f>'R2 guide wt multiport'!AY55</f>
        <v>0.78596997539789559</v>
      </c>
      <c r="AE328" s="25">
        <f t="shared" si="187"/>
        <v>6.7831118214083466E-4</v>
      </c>
      <c r="AF328" s="25">
        <f>AVERAGE(AD$307:AD$328)</f>
        <v>0.84046641957117285</v>
      </c>
      <c r="AG328" s="25">
        <v>7.5210074982134398E-3</v>
      </c>
    </row>
    <row r="329" spans="1:33" hidden="1" x14ac:dyDescent="0.3">
      <c r="A329" s="25">
        <v>2020</v>
      </c>
      <c r="B329" s="25" t="s">
        <v>9</v>
      </c>
      <c r="C329" s="25" t="s">
        <v>16</v>
      </c>
      <c r="D329" s="25">
        <f t="shared" si="189"/>
        <v>493</v>
      </c>
      <c r="E329" s="25">
        <v>67</v>
      </c>
      <c r="F329" s="25">
        <v>175</v>
      </c>
      <c r="G329" s="25">
        <v>312</v>
      </c>
      <c r="H329" s="25">
        <v>181</v>
      </c>
      <c r="I329" s="25">
        <f t="shared" si="153"/>
        <v>114</v>
      </c>
      <c r="J329" s="25">
        <v>0.13722523705489625</v>
      </c>
      <c r="K329" s="25">
        <f t="shared" si="190"/>
        <v>2.406391694514711E-4</v>
      </c>
      <c r="L329" s="25"/>
      <c r="M329" s="25"/>
      <c r="N329" s="25">
        <v>0.54309659538706789</v>
      </c>
      <c r="O329" s="25">
        <f>(N329*(1-N329))/($D329-1)</f>
        <v>5.0435504769521004E-4</v>
      </c>
      <c r="P329" s="25"/>
      <c r="Q329" s="25"/>
      <c r="R329" s="25">
        <v>0.711855227026015</v>
      </c>
      <c r="S329" s="25">
        <f t="shared" si="192"/>
        <v>4.1690520890600737E-4</v>
      </c>
      <c r="T329" s="25"/>
      <c r="U329" s="25"/>
      <c r="V329" s="25">
        <v>0.28814477297398483</v>
      </c>
      <c r="W329" s="26">
        <f t="shared" si="169"/>
        <v>4.1690520890600726E-4</v>
      </c>
      <c r="X329" s="25"/>
      <c r="Y329" s="25"/>
      <c r="Z329" s="25">
        <v>0.47623712080068042</v>
      </c>
      <c r="AA329" s="25">
        <f t="shared" si="185"/>
        <v>1.3857518087342143E-3</v>
      </c>
      <c r="AB329" s="25"/>
      <c r="AC329" s="25"/>
      <c r="AD329" s="25">
        <v>0.76293124608498553</v>
      </c>
      <c r="AE329" s="25">
        <f t="shared" si="187"/>
        <v>5.81566430328607E-4</v>
      </c>
      <c r="AF329" s="25"/>
      <c r="AG329" s="25"/>
    </row>
    <row r="330" spans="1:33" hidden="1" x14ac:dyDescent="0.3">
      <c r="A330" s="25">
        <v>2021</v>
      </c>
      <c r="B330" s="25" t="s">
        <v>9</v>
      </c>
      <c r="C330" s="25" t="s">
        <v>16</v>
      </c>
      <c r="D330" s="25">
        <f t="shared" si="189"/>
        <v>419</v>
      </c>
      <c r="E330" s="25">
        <v>35</v>
      </c>
      <c r="F330" s="25">
        <v>229</v>
      </c>
      <c r="G330" s="25">
        <v>315</v>
      </c>
      <c r="H330" s="25">
        <v>104</v>
      </c>
      <c r="I330" s="25">
        <f t="shared" si="153"/>
        <v>69</v>
      </c>
      <c r="J330" s="25">
        <v>6.6859678862798755E-2</v>
      </c>
      <c r="K330" s="25">
        <f t="shared" si="190"/>
        <v>1.4925708661522053E-4</v>
      </c>
      <c r="L330" s="25"/>
      <c r="M330" s="25"/>
      <c r="N330" s="25">
        <v>0.64727393120683729</v>
      </c>
      <c r="O330" s="25">
        <f t="shared" si="191"/>
        <v>5.4619710331790371E-4</v>
      </c>
      <c r="P330" s="25"/>
      <c r="Q330" s="25"/>
      <c r="R330" s="25">
        <v>0.8132460768916342</v>
      </c>
      <c r="S330" s="25">
        <f t="shared" si="192"/>
        <v>3.6334185481339812E-4</v>
      </c>
      <c r="T330" s="25"/>
      <c r="U330" s="25"/>
      <c r="V330" s="25">
        <v>0.18675392310836578</v>
      </c>
      <c r="W330" s="26"/>
      <c r="X330" s="25"/>
      <c r="Y330" s="25"/>
      <c r="Z330" s="25">
        <v>0.35800950121943503</v>
      </c>
      <c r="AA330" s="25">
        <f t="shared" si="185"/>
        <v>2.2314436723887996E-3</v>
      </c>
      <c r="AB330" s="25"/>
      <c r="AC330" s="25"/>
      <c r="AD330" s="25">
        <v>0.79591399159382248</v>
      </c>
      <c r="AE330" s="25">
        <f t="shared" si="187"/>
        <v>5.1730862923251967E-4</v>
      </c>
      <c r="AF330" s="25"/>
      <c r="AG330" s="25"/>
    </row>
    <row r="331" spans="1:33" hidden="1" x14ac:dyDescent="0.3">
      <c r="A331" s="25">
        <v>2022</v>
      </c>
      <c r="B331" s="15" t="s">
        <v>9</v>
      </c>
      <c r="C331" s="15" t="s">
        <v>16</v>
      </c>
      <c r="D331">
        <v>1075</v>
      </c>
      <c r="E331">
        <v>45</v>
      </c>
      <c r="F331">
        <v>616</v>
      </c>
      <c r="G331">
        <v>886</v>
      </c>
      <c r="H331">
        <v>189</v>
      </c>
      <c r="I331">
        <v>144</v>
      </c>
      <c r="J331" s="15">
        <f>'R2 guide wt multiport'!AV58</f>
        <v>2.7818259454227955E-2</v>
      </c>
      <c r="K331" s="25">
        <f t="shared" si="190"/>
        <v>2.5181009213375429E-5</v>
      </c>
      <c r="L331" s="25"/>
      <c r="M331" s="25"/>
      <c r="N331" s="15">
        <f>'R2 guide wt multiport'!AW58</f>
        <v>0.69609863193532151</v>
      </c>
      <c r="O331" s="25">
        <f t="shared" si="191"/>
        <v>1.9696957779617811E-4</v>
      </c>
      <c r="P331" s="25"/>
      <c r="Q331" s="25"/>
      <c r="R331" s="15">
        <f>'R2 guide wt multiport'!AT58</f>
        <v>0.85791314514999695</v>
      </c>
      <c r="S331" s="25">
        <f t="shared" si="192"/>
        <v>1.1349923699146854E-4</v>
      </c>
      <c r="T331" s="25"/>
      <c r="U331" s="25"/>
      <c r="V331" s="15">
        <f>'R2 guide wt multiport'!AU58</f>
        <v>0.142086854850003</v>
      </c>
      <c r="W331" s="26"/>
      <c r="X331" s="25"/>
      <c r="Y331" s="25"/>
      <c r="Z331" s="15">
        <f>'R2 guide wt multiport'!AX58</f>
        <v>0.19578348386692696</v>
      </c>
      <c r="AA331" s="25">
        <f t="shared" si="185"/>
        <v>8.3751229421199841E-4</v>
      </c>
      <c r="AB331" s="25"/>
      <c r="AC331" s="25"/>
      <c r="AD331" s="15">
        <f>'R2 guide wt multiport'!AY58</f>
        <v>0.81138590295596424</v>
      </c>
      <c r="AE331" s="25">
        <f t="shared" si="187"/>
        <v>1.7292521970655234E-4</v>
      </c>
      <c r="AF331" s="25"/>
      <c r="AG331" s="25"/>
    </row>
    <row r="332" spans="1:33" hidden="1" x14ac:dyDescent="0.3">
      <c r="A332">
        <v>1993</v>
      </c>
      <c r="B332" t="s">
        <v>11</v>
      </c>
      <c r="C332" t="s">
        <v>16</v>
      </c>
      <c r="D332">
        <f t="shared" si="189"/>
        <v>24</v>
      </c>
      <c r="E332">
        <v>7</v>
      </c>
      <c r="F332">
        <v>0</v>
      </c>
      <c r="G332">
        <v>1</v>
      </c>
      <c r="H332">
        <v>23</v>
      </c>
      <c r="I332">
        <f t="shared" si="153"/>
        <v>16</v>
      </c>
    </row>
    <row r="333" spans="1:33" hidden="1" x14ac:dyDescent="0.3">
      <c r="A333">
        <v>1994</v>
      </c>
      <c r="B333" t="s">
        <v>11</v>
      </c>
      <c r="C333" t="s">
        <v>16</v>
      </c>
      <c r="D333">
        <f t="shared" si="189"/>
        <v>14</v>
      </c>
      <c r="E333">
        <v>11</v>
      </c>
      <c r="F333">
        <v>0</v>
      </c>
      <c r="G333">
        <v>0</v>
      </c>
      <c r="H333">
        <v>14</v>
      </c>
      <c r="I333">
        <f t="shared" si="153"/>
        <v>3</v>
      </c>
    </row>
    <row r="334" spans="1:33" hidden="1" x14ac:dyDescent="0.3">
      <c r="A334">
        <v>1995</v>
      </c>
      <c r="B334" t="s">
        <v>11</v>
      </c>
      <c r="C334" t="s">
        <v>16</v>
      </c>
      <c r="D334">
        <f t="shared" si="189"/>
        <v>9</v>
      </c>
      <c r="E334">
        <v>3</v>
      </c>
      <c r="F334">
        <v>0</v>
      </c>
      <c r="G334">
        <v>0</v>
      </c>
      <c r="H334">
        <v>9</v>
      </c>
      <c r="I334">
        <f t="shared" si="153"/>
        <v>6</v>
      </c>
    </row>
    <row r="335" spans="1:33" hidden="1" x14ac:dyDescent="0.3">
      <c r="A335">
        <v>1996</v>
      </c>
      <c r="B335" t="s">
        <v>11</v>
      </c>
      <c r="C335" t="s">
        <v>16</v>
      </c>
      <c r="D335">
        <f t="shared" si="189"/>
        <v>44</v>
      </c>
      <c r="E335">
        <v>3</v>
      </c>
      <c r="F335">
        <v>7</v>
      </c>
      <c r="G335">
        <v>11</v>
      </c>
      <c r="H335">
        <v>33</v>
      </c>
      <c r="I335">
        <f t="shared" si="153"/>
        <v>30</v>
      </c>
    </row>
    <row r="336" spans="1:33" hidden="1" x14ac:dyDescent="0.3">
      <c r="A336">
        <v>1997</v>
      </c>
      <c r="B336" t="s">
        <v>11</v>
      </c>
      <c r="C336" t="s">
        <v>16</v>
      </c>
      <c r="D336">
        <f t="shared" si="189"/>
        <v>79</v>
      </c>
      <c r="E336">
        <v>35</v>
      </c>
      <c r="F336">
        <v>3</v>
      </c>
      <c r="G336">
        <v>14</v>
      </c>
      <c r="H336">
        <v>65</v>
      </c>
      <c r="I336">
        <f t="shared" si="153"/>
        <v>30</v>
      </c>
    </row>
    <row r="337" spans="1:33" hidden="1" x14ac:dyDescent="0.3">
      <c r="A337">
        <v>1998</v>
      </c>
      <c r="B337" t="s">
        <v>11</v>
      </c>
      <c r="C337" t="s">
        <v>16</v>
      </c>
      <c r="D337">
        <f t="shared" si="189"/>
        <v>48</v>
      </c>
      <c r="E337">
        <v>35</v>
      </c>
      <c r="F337">
        <v>4</v>
      </c>
      <c r="G337">
        <v>5</v>
      </c>
      <c r="H337">
        <v>43</v>
      </c>
      <c r="I337">
        <f t="shared" si="153"/>
        <v>8</v>
      </c>
      <c r="L337">
        <f t="shared" ref="L337:L356" si="193">AVERAGE(J$338:J$358)</f>
        <v>0.29962257736864256</v>
      </c>
      <c r="M337">
        <v>2.9240714296746999E-2</v>
      </c>
      <c r="P337">
        <f t="shared" ref="P337:P356" si="194">AVERAGE(N$338:N$358)</f>
        <v>0.38255798916205253</v>
      </c>
      <c r="Q337">
        <v>3.7726773675384101E-2</v>
      </c>
      <c r="T337">
        <f t="shared" ref="T337:T356" si="195">AVERAGE(R$338:R$358)</f>
        <v>0.47276160967189962</v>
      </c>
      <c r="U337">
        <v>3.4853147934917797E-2</v>
      </c>
      <c r="X337">
        <f t="shared" ref="X337:X356" si="196">AVERAGE(V$338:V$358)</f>
        <v>0.52723839032810027</v>
      </c>
      <c r="Y337">
        <v>3.4792010122241E-2</v>
      </c>
      <c r="AB337">
        <f t="shared" ref="AB337:AB356" si="197">AVERAGE(Z$338:Z$358)</f>
        <v>0.55026556539341598</v>
      </c>
      <c r="AC337">
        <v>2.6355639646195E-2</v>
      </c>
      <c r="AF337">
        <f t="shared" ref="AF337:AF356" si="198">AVERAGE(AD$340:AD$342, AD$345:AD$354,AD$357:AD$358)</f>
        <v>0.78533882118211884</v>
      </c>
      <c r="AG337">
        <v>1.89347863938562E-2</v>
      </c>
    </row>
    <row r="338" spans="1:33" hidden="1" x14ac:dyDescent="0.3">
      <c r="A338">
        <v>1999</v>
      </c>
      <c r="B338" t="s">
        <v>11</v>
      </c>
      <c r="C338" t="s">
        <v>16</v>
      </c>
      <c r="D338">
        <f t="shared" si="189"/>
        <v>194</v>
      </c>
      <c r="E338">
        <v>123</v>
      </c>
      <c r="F338">
        <v>4</v>
      </c>
      <c r="G338">
        <v>22</v>
      </c>
      <c r="H338">
        <v>172</v>
      </c>
      <c r="I338">
        <f t="shared" si="153"/>
        <v>49</v>
      </c>
      <c r="J338">
        <f>'R2 unguide wt multiport'!AR63</f>
        <v>0.42359815305076692</v>
      </c>
      <c r="K338">
        <f t="shared" si="190"/>
        <v>1.2650920092370259E-3</v>
      </c>
      <c r="L338">
        <f t="shared" si="193"/>
        <v>0.29962257736864256</v>
      </c>
      <c r="M338">
        <v>2.9240714296746999E-2</v>
      </c>
      <c r="N338">
        <f>'R2 unguide wt multiport'!AS63</f>
        <v>0.45590863111106683</v>
      </c>
      <c r="O338">
        <f t="shared" si="191"/>
        <v>1.2852639958005182E-3</v>
      </c>
      <c r="P338">
        <f t="shared" si="194"/>
        <v>0.38255798916205253</v>
      </c>
      <c r="Q338">
        <v>3.7726773675384101E-2</v>
      </c>
      <c r="R338">
        <f>'R2 unguide wt multiport'!AP63</f>
        <v>0.48566314081504863</v>
      </c>
      <c r="S338">
        <f t="shared" si="192"/>
        <v>1.2942717848119733E-3</v>
      </c>
      <c r="T338">
        <f t="shared" si="195"/>
        <v>0.47276160967189962</v>
      </c>
      <c r="U338">
        <v>3.4853147934917797E-2</v>
      </c>
      <c r="V338">
        <f>'R2 unguide wt multiport'!AQ63</f>
        <v>0.51433685918495153</v>
      </c>
      <c r="W338" s="23">
        <f t="shared" ref="W338:W361" si="199">(V338*(1-V338))/(D338-1)</f>
        <v>1.2942717848119735E-3</v>
      </c>
      <c r="X338">
        <f t="shared" si="196"/>
        <v>0.52723839032810027</v>
      </c>
      <c r="Y338">
        <v>3.4792010122241E-2</v>
      </c>
      <c r="Z338">
        <f>'R2 unguide wt multiport'!AT63</f>
        <v>0.8235811715342074</v>
      </c>
      <c r="AA338">
        <f t="shared" ref="AA338:AA361" si="200">(Z338*(1-Z338))/(H338-1)</f>
        <v>8.4967968086871253E-4</v>
      </c>
      <c r="AB338">
        <f t="shared" si="197"/>
        <v>0.55026556539341598</v>
      </c>
      <c r="AC338">
        <v>2.6355639646195E-2</v>
      </c>
      <c r="AF338">
        <f t="shared" si="198"/>
        <v>0.78533882118211884</v>
      </c>
      <c r="AG338">
        <v>1.89347863938562E-2</v>
      </c>
    </row>
    <row r="339" spans="1:33" hidden="1" x14ac:dyDescent="0.3">
      <c r="A339">
        <v>2000</v>
      </c>
      <c r="B339" t="s">
        <v>11</v>
      </c>
      <c r="C339" t="s">
        <v>16</v>
      </c>
      <c r="D339">
        <f t="shared" si="189"/>
        <v>177</v>
      </c>
      <c r="E339">
        <v>73</v>
      </c>
      <c r="F339">
        <v>19</v>
      </c>
      <c r="G339">
        <v>38</v>
      </c>
      <c r="H339">
        <v>139</v>
      </c>
      <c r="I339">
        <f t="shared" si="153"/>
        <v>66</v>
      </c>
      <c r="J339">
        <f>'R2 unguide wt multiport'!AR64</f>
        <v>0.19005574222119234</v>
      </c>
      <c r="K339">
        <f t="shared" si="190"/>
        <v>8.7462816517013648E-4</v>
      </c>
      <c r="L339">
        <f t="shared" si="193"/>
        <v>0.29962257736864256</v>
      </c>
      <c r="M339">
        <v>2.9240714296746999E-2</v>
      </c>
      <c r="N339">
        <f>'R2 unguide wt multiport'!AS64</f>
        <v>0.64025618249462535</v>
      </c>
      <c r="O339">
        <f t="shared" si="191"/>
        <v>1.3086829731365588E-3</v>
      </c>
      <c r="P339">
        <f t="shared" si="194"/>
        <v>0.38255798916205253</v>
      </c>
      <c r="Q339">
        <v>3.7726773675384101E-2</v>
      </c>
      <c r="R339">
        <f>'R2 unguide wt multiport'!AP64</f>
        <v>0.70073949300226668</v>
      </c>
      <c r="S339">
        <f t="shared" si="192"/>
        <v>1.1914980451658689E-3</v>
      </c>
      <c r="T339">
        <f t="shared" si="195"/>
        <v>0.47276160967189962</v>
      </c>
      <c r="U339">
        <v>3.4853147934917797E-2</v>
      </c>
      <c r="V339">
        <f>'R2 unguide wt multiport'!AQ64</f>
        <v>0.29926050699773327</v>
      </c>
      <c r="W339" s="23">
        <f t="shared" si="199"/>
        <v>1.1914980451658689E-3</v>
      </c>
      <c r="X339">
        <f t="shared" si="196"/>
        <v>0.52723839032810027</v>
      </c>
      <c r="Y339">
        <v>3.4792010122241E-2</v>
      </c>
      <c r="Z339">
        <f>'R2 unguide wt multiport'!AT64</f>
        <v>0.63508460948584811</v>
      </c>
      <c r="AA339">
        <f t="shared" si="200"/>
        <v>1.6793633933337385E-3</v>
      </c>
      <c r="AB339">
        <f t="shared" si="197"/>
        <v>0.55026556539341598</v>
      </c>
      <c r="AC339">
        <v>2.6355639646195E-2</v>
      </c>
      <c r="AF339">
        <f t="shared" si="198"/>
        <v>0.78533882118211884</v>
      </c>
      <c r="AG339">
        <v>1.89347863938562E-2</v>
      </c>
    </row>
    <row r="340" spans="1:33" hidden="1" x14ac:dyDescent="0.3">
      <c r="A340">
        <v>2001</v>
      </c>
      <c r="B340" t="s">
        <v>11</v>
      </c>
      <c r="C340" t="s">
        <v>16</v>
      </c>
      <c r="D340">
        <f t="shared" si="189"/>
        <v>243</v>
      </c>
      <c r="E340">
        <v>106</v>
      </c>
      <c r="F340">
        <v>46</v>
      </c>
      <c r="G340">
        <v>54</v>
      </c>
      <c r="H340">
        <v>189</v>
      </c>
      <c r="I340">
        <f t="shared" ref="I340:I409" si="201">H340-E340</f>
        <v>83</v>
      </c>
      <c r="J340">
        <f>'R2 unguide wt multiport'!AR65</f>
        <v>0.80829467917623088</v>
      </c>
      <c r="K340">
        <f t="shared" si="190"/>
        <v>6.4030739996539209E-4</v>
      </c>
      <c r="L340">
        <f t="shared" si="193"/>
        <v>0.29962257736864256</v>
      </c>
      <c r="M340">
        <v>2.9240714296746999E-2</v>
      </c>
      <c r="N340">
        <f>'R2 unguide wt multiport'!AS65</f>
        <v>6.4680016336393989E-2</v>
      </c>
      <c r="O340">
        <f t="shared" si="191"/>
        <v>2.4998558604594131E-4</v>
      </c>
      <c r="P340">
        <f t="shared" si="194"/>
        <v>0.38255798916205253</v>
      </c>
      <c r="Q340">
        <v>3.7726773675384101E-2</v>
      </c>
      <c r="R340">
        <f>'R2 unguide wt multiport'!AP65</f>
        <v>7.6950219790807239E-2</v>
      </c>
      <c r="S340">
        <f t="shared" si="192"/>
        <v>2.935077829130318E-4</v>
      </c>
      <c r="T340">
        <f t="shared" si="195"/>
        <v>0.47276160967189962</v>
      </c>
      <c r="U340">
        <v>3.4853147934917797E-2</v>
      </c>
      <c r="V340">
        <f>'R2 unguide wt multiport'!AQ65</f>
        <v>0.92304978020919271</v>
      </c>
      <c r="W340" s="23">
        <f t="shared" si="199"/>
        <v>2.9350778291303202E-4</v>
      </c>
      <c r="X340">
        <f t="shared" si="196"/>
        <v>0.52723839032810027</v>
      </c>
      <c r="Y340">
        <v>3.4792010122241E-2</v>
      </c>
      <c r="Z340">
        <f>'R2 unguide wt multiport'!AT65</f>
        <v>0.87567831823008002</v>
      </c>
      <c r="AA340">
        <f t="shared" si="200"/>
        <v>5.7907341070116344E-4</v>
      </c>
      <c r="AB340">
        <f t="shared" si="197"/>
        <v>0.55026556539341598</v>
      </c>
      <c r="AC340">
        <v>2.6355639646195E-2</v>
      </c>
      <c r="AD340">
        <f>'R2 unguide wt multiport'!AU65</f>
        <v>0.84054362043707775</v>
      </c>
      <c r="AE340">
        <f t="shared" si="187"/>
        <v>2.5288687279171229E-3</v>
      </c>
      <c r="AF340">
        <f t="shared" si="198"/>
        <v>0.78533882118211884</v>
      </c>
      <c r="AG340">
        <v>1.89347863938562E-2</v>
      </c>
    </row>
    <row r="341" spans="1:33" hidden="1" x14ac:dyDescent="0.3">
      <c r="A341">
        <v>2002</v>
      </c>
      <c r="B341" t="s">
        <v>11</v>
      </c>
      <c r="C341" t="s">
        <v>16</v>
      </c>
      <c r="D341">
        <f t="shared" si="189"/>
        <v>193</v>
      </c>
      <c r="E341">
        <v>66</v>
      </c>
      <c r="F341">
        <v>38</v>
      </c>
      <c r="G341">
        <v>60</v>
      </c>
      <c r="H341">
        <v>133</v>
      </c>
      <c r="I341">
        <f t="shared" si="201"/>
        <v>67</v>
      </c>
      <c r="J341">
        <f>'R2 unguide wt multiport'!AR66</f>
        <v>0.58358994330502045</v>
      </c>
      <c r="K341">
        <f t="shared" si="190"/>
        <v>1.2656912571784556E-3</v>
      </c>
      <c r="L341">
        <f t="shared" si="193"/>
        <v>0.29962257736864256</v>
      </c>
      <c r="M341">
        <v>2.9240714296746999E-2</v>
      </c>
      <c r="N341">
        <f>'R2 unguide wt multiport'!AS66</f>
        <v>0.2634679365981305</v>
      </c>
      <c r="O341">
        <f t="shared" si="191"/>
        <v>1.0106905363690313E-3</v>
      </c>
      <c r="P341">
        <f t="shared" si="194"/>
        <v>0.38255798916205253</v>
      </c>
      <c r="Q341">
        <v>3.7726773675384101E-2</v>
      </c>
      <c r="R341">
        <f>'R2 unguide wt multiport'!AP66</f>
        <v>0.31362828058514641</v>
      </c>
      <c r="S341">
        <f t="shared" si="192"/>
        <v>1.1211749073039119E-3</v>
      </c>
      <c r="T341">
        <f t="shared" si="195"/>
        <v>0.47276160967189962</v>
      </c>
      <c r="U341">
        <v>3.4853147934917797E-2</v>
      </c>
      <c r="V341">
        <f>'R2 unguide wt multiport'!AQ66</f>
        <v>0.68637171941485364</v>
      </c>
      <c r="W341" s="23">
        <f t="shared" si="199"/>
        <v>1.1211749073039119E-3</v>
      </c>
      <c r="X341">
        <f t="shared" si="196"/>
        <v>0.52723839032810027</v>
      </c>
      <c r="Y341">
        <v>3.4792010122241E-2</v>
      </c>
      <c r="Z341">
        <f>'R2 unguide wt multiport'!AT66</f>
        <v>0.85025348043556226</v>
      </c>
      <c r="AA341">
        <f t="shared" si="200"/>
        <v>9.6456438971799399E-4</v>
      </c>
      <c r="AB341">
        <f t="shared" si="197"/>
        <v>0.55026556539341598</v>
      </c>
      <c r="AC341">
        <v>2.6355639646195E-2</v>
      </c>
      <c r="AD341">
        <f>'R2 unguide wt multiport'!AU66</f>
        <v>0.84006434657796125</v>
      </c>
      <c r="AE341">
        <f t="shared" si="187"/>
        <v>2.2772244099407498E-3</v>
      </c>
      <c r="AF341">
        <f t="shared" si="198"/>
        <v>0.78533882118211884</v>
      </c>
      <c r="AG341">
        <v>1.89347863938562E-2</v>
      </c>
    </row>
    <row r="342" spans="1:33" hidden="1" x14ac:dyDescent="0.3">
      <c r="A342">
        <v>2003</v>
      </c>
      <c r="B342" t="s">
        <v>11</v>
      </c>
      <c r="C342" t="s">
        <v>16</v>
      </c>
      <c r="D342">
        <f t="shared" si="189"/>
        <v>380</v>
      </c>
      <c r="E342">
        <v>155</v>
      </c>
      <c r="F342">
        <v>41</v>
      </c>
      <c r="G342">
        <v>86</v>
      </c>
      <c r="H342">
        <v>294</v>
      </c>
      <c r="I342">
        <f t="shared" si="201"/>
        <v>139</v>
      </c>
      <c r="J342">
        <f>'R2 unguide wt multiport'!AR67</f>
        <v>0.17588940496828717</v>
      </c>
      <c r="K342">
        <f t="shared" si="190"/>
        <v>3.8245995300313732E-4</v>
      </c>
      <c r="L342">
        <f t="shared" si="193"/>
        <v>0.29962257736864256</v>
      </c>
      <c r="M342">
        <v>2.9240714296746999E-2</v>
      </c>
      <c r="N342">
        <f>'R2 unguide wt multiport'!AS67</f>
        <v>0.5773372599545985</v>
      </c>
      <c r="O342">
        <f t="shared" si="191"/>
        <v>6.4384946760610785E-4</v>
      </c>
      <c r="P342">
        <f t="shared" si="194"/>
        <v>0.38255798916205253</v>
      </c>
      <c r="Q342">
        <v>3.7726773675384101E-2</v>
      </c>
      <c r="R342">
        <f>'R2 unguide wt multiport'!AP67</f>
        <v>0.62870495307287644</v>
      </c>
      <c r="S342">
        <f t="shared" si="192"/>
        <v>6.1592357534171155E-4</v>
      </c>
      <c r="T342">
        <f t="shared" si="195"/>
        <v>0.47276160967189962</v>
      </c>
      <c r="U342">
        <v>3.4853147934917797E-2</v>
      </c>
      <c r="V342">
        <f>'R2 unguide wt multiport'!AQ67</f>
        <v>0.37129504692712356</v>
      </c>
      <c r="W342" s="23">
        <f t="shared" si="199"/>
        <v>6.1592357534171155E-4</v>
      </c>
      <c r="X342">
        <f t="shared" si="196"/>
        <v>0.52723839032810027</v>
      </c>
      <c r="Y342">
        <v>3.4792010122241E-2</v>
      </c>
      <c r="Z342">
        <f>'R2 unguide wt multiport'!AT67</f>
        <v>0.47371869467143768</v>
      </c>
      <c r="AA342">
        <f t="shared" si="200"/>
        <v>8.5088495901101328E-4</v>
      </c>
      <c r="AB342">
        <f t="shared" si="197"/>
        <v>0.55026556539341598</v>
      </c>
      <c r="AC342">
        <v>2.6355639646195E-2</v>
      </c>
      <c r="AD342">
        <f>'R2 unguide wt multiport'!AU67</f>
        <v>0.91829602603381477</v>
      </c>
      <c r="AE342">
        <f>(AD342*(1-AD342))/(G342-1)</f>
        <v>8.8268746593315474E-4</v>
      </c>
      <c r="AF342">
        <f t="shared" si="198"/>
        <v>0.78533882118211884</v>
      </c>
      <c r="AG342">
        <v>1.89347863938562E-2</v>
      </c>
    </row>
    <row r="343" spans="1:33" hidden="1" x14ac:dyDescent="0.3">
      <c r="A343">
        <v>2004</v>
      </c>
      <c r="B343" t="s">
        <v>11</v>
      </c>
      <c r="C343" t="s">
        <v>16</v>
      </c>
      <c r="D343">
        <f t="shared" si="189"/>
        <v>243</v>
      </c>
      <c r="E343">
        <v>109</v>
      </c>
      <c r="F343">
        <v>5</v>
      </c>
      <c r="G343">
        <v>37</v>
      </c>
      <c r="H343">
        <v>206</v>
      </c>
      <c r="I343">
        <f t="shared" si="201"/>
        <v>97</v>
      </c>
      <c r="J343">
        <f>'R2 unguide wt multiport'!AR68</f>
        <v>0.33339285775461891</v>
      </c>
      <c r="K343">
        <f t="shared" si="190"/>
        <v>9.1835562046622878E-4</v>
      </c>
      <c r="L343">
        <f t="shared" si="193"/>
        <v>0.29962257736864256</v>
      </c>
      <c r="M343">
        <v>2.9240714296746999E-2</v>
      </c>
      <c r="N343">
        <f>'R2 unguide wt multiport'!AS68</f>
        <v>0.46125918757960194</v>
      </c>
      <c r="O343">
        <f t="shared" si="191"/>
        <v>1.0268559894752378E-3</v>
      </c>
      <c r="P343">
        <f t="shared" si="194"/>
        <v>0.38255798916205253</v>
      </c>
      <c r="Q343">
        <v>3.7726773675384101E-2</v>
      </c>
      <c r="R343">
        <f>'R2 unguide wt multiport'!AP68</f>
        <v>0.51401768003782145</v>
      </c>
      <c r="S343">
        <f t="shared" si="192"/>
        <v>1.0322458869684184E-3</v>
      </c>
      <c r="T343">
        <f t="shared" si="195"/>
        <v>0.47276160967189962</v>
      </c>
      <c r="U343">
        <v>3.4853147934917797E-2</v>
      </c>
      <c r="V343">
        <f>'R2 unguide wt multiport'!AQ68</f>
        <v>0.48598231996217839</v>
      </c>
      <c r="W343" s="23">
        <f t="shared" si="199"/>
        <v>1.0322458869684182E-3</v>
      </c>
      <c r="X343">
        <f t="shared" si="196"/>
        <v>0.52723839032810027</v>
      </c>
      <c r="Y343">
        <v>3.4792010122241E-2</v>
      </c>
      <c r="Z343">
        <f>'R2 unguide wt multiport'!AT68</f>
        <v>0.6860184909207504</v>
      </c>
      <c r="AA343">
        <f t="shared" si="200"/>
        <v>1.0507176635881302E-3</v>
      </c>
      <c r="AB343">
        <f t="shared" si="197"/>
        <v>0.55026556539341598</v>
      </c>
      <c r="AC343">
        <v>2.6355639646195E-2</v>
      </c>
      <c r="AF343">
        <f t="shared" si="198"/>
        <v>0.78533882118211884</v>
      </c>
      <c r="AG343">
        <v>1.89347863938562E-2</v>
      </c>
    </row>
    <row r="344" spans="1:33" hidden="1" x14ac:dyDescent="0.3">
      <c r="A344">
        <v>2005</v>
      </c>
      <c r="B344" t="s">
        <v>11</v>
      </c>
      <c r="C344" t="s">
        <v>16</v>
      </c>
      <c r="D344">
        <f t="shared" si="189"/>
        <v>278</v>
      </c>
      <c r="E344">
        <v>151</v>
      </c>
      <c r="F344">
        <v>3</v>
      </c>
      <c r="G344">
        <v>46</v>
      </c>
      <c r="H344">
        <v>232</v>
      </c>
      <c r="I344">
        <f t="shared" si="201"/>
        <v>81</v>
      </c>
      <c r="J344">
        <f>'R2 unguide wt multiport'!AR69</f>
        <v>0.48188212882973797</v>
      </c>
      <c r="K344">
        <f t="shared" si="190"/>
        <v>9.013420315677178E-4</v>
      </c>
      <c r="L344">
        <f t="shared" si="193"/>
        <v>0.29962257736864256</v>
      </c>
      <c r="M344">
        <v>2.9240714296746999E-2</v>
      </c>
      <c r="N344">
        <f>'R2 unguide wt multiport'!AS69</f>
        <v>7.2009058953827433E-3</v>
      </c>
      <c r="O344">
        <f t="shared" si="191"/>
        <v>2.5808855052955185E-5</v>
      </c>
      <c r="P344">
        <f t="shared" si="194"/>
        <v>0.38255798916205253</v>
      </c>
      <c r="Q344">
        <v>3.7726773675384101E-2</v>
      </c>
      <c r="R344">
        <f>'R2 unguide wt multiport'!AP69</f>
        <v>0.17866333730756773</v>
      </c>
      <c r="S344">
        <f t="shared" si="192"/>
        <v>5.2975721736350193E-4</v>
      </c>
      <c r="T344">
        <f t="shared" si="195"/>
        <v>0.47276160967189962</v>
      </c>
      <c r="U344">
        <v>3.4853147934917797E-2</v>
      </c>
      <c r="V344">
        <f>'R2 unguide wt multiport'!AQ69</f>
        <v>0.82133666269243222</v>
      </c>
      <c r="W344" s="23">
        <f t="shared" si="199"/>
        <v>5.2975721736350193E-4</v>
      </c>
      <c r="X344">
        <f t="shared" si="196"/>
        <v>0.52723839032810027</v>
      </c>
      <c r="Y344">
        <v>3.4792010122241E-2</v>
      </c>
      <c r="Z344">
        <f>'R2 unguide wt multiport'!AT69</f>
        <v>0.58670475910581554</v>
      </c>
      <c r="AA344">
        <f t="shared" si="200"/>
        <v>1.0497068603826949E-3</v>
      </c>
      <c r="AB344">
        <f t="shared" si="197"/>
        <v>0.55026556539341598</v>
      </c>
      <c r="AC344">
        <v>2.6355639646195E-2</v>
      </c>
      <c r="AF344">
        <f t="shared" si="198"/>
        <v>0.78533882118211884</v>
      </c>
      <c r="AG344">
        <v>1.89347863938562E-2</v>
      </c>
    </row>
    <row r="345" spans="1:33" hidden="1" x14ac:dyDescent="0.3">
      <c r="A345">
        <v>2006</v>
      </c>
      <c r="B345" t="s">
        <v>11</v>
      </c>
      <c r="C345" t="s">
        <v>16</v>
      </c>
      <c r="D345">
        <f t="shared" si="189"/>
        <v>334</v>
      </c>
      <c r="E345">
        <v>157</v>
      </c>
      <c r="F345">
        <v>39</v>
      </c>
      <c r="G345">
        <v>63</v>
      </c>
      <c r="H345">
        <v>271</v>
      </c>
      <c r="I345">
        <f t="shared" si="201"/>
        <v>114</v>
      </c>
      <c r="J345">
        <f>'R2 unguide wt multiport'!AR70</f>
        <v>0.26586483860091287</v>
      </c>
      <c r="K345">
        <f t="shared" si="190"/>
        <v>5.8612830689676711E-4</v>
      </c>
      <c r="L345">
        <f t="shared" si="193"/>
        <v>0.29962257736864256</v>
      </c>
      <c r="M345">
        <v>2.9240714296746999E-2</v>
      </c>
      <c r="N345">
        <f>'R2 unguide wt multiport'!AS70</f>
        <v>0.49833717568626001</v>
      </c>
      <c r="O345">
        <f t="shared" si="191"/>
        <v>7.5074244749339834E-4</v>
      </c>
      <c r="P345">
        <f t="shared" si="194"/>
        <v>0.38255798916205253</v>
      </c>
      <c r="Q345">
        <v>3.7726773675384101E-2</v>
      </c>
      <c r="R345">
        <f>'R2 unguide wt multiport'!AP70</f>
        <v>0.55378914960846304</v>
      </c>
      <c r="S345">
        <f t="shared" si="192"/>
        <v>7.420622443975927E-4</v>
      </c>
      <c r="T345">
        <f t="shared" si="195"/>
        <v>0.47276160967189962</v>
      </c>
      <c r="U345">
        <v>3.4853147934917797E-2</v>
      </c>
      <c r="V345">
        <f>'R2 unguide wt multiport'!AQ70</f>
        <v>0.44621085039153691</v>
      </c>
      <c r="W345" s="23">
        <f t="shared" si="199"/>
        <v>7.4206224439759259E-4</v>
      </c>
      <c r="X345">
        <f t="shared" si="196"/>
        <v>0.52723839032810027</v>
      </c>
      <c r="Y345">
        <v>3.4792010122241E-2</v>
      </c>
      <c r="Z345">
        <f>'R2 unguide wt multiport'!AT70</f>
        <v>0.5958278207883656</v>
      </c>
      <c r="AA345">
        <f t="shared" si="200"/>
        <v>8.9191492134426992E-4</v>
      </c>
      <c r="AB345">
        <f t="shared" si="197"/>
        <v>0.55026556539341598</v>
      </c>
      <c r="AC345">
        <v>2.6355639646195E-2</v>
      </c>
      <c r="AD345">
        <f>'R2 unguide wt multiport'!AU70</f>
        <v>0.89986807440808769</v>
      </c>
      <c r="AE345">
        <f t="shared" si="187"/>
        <v>1.4533148882123878E-3</v>
      </c>
      <c r="AF345">
        <f t="shared" si="198"/>
        <v>0.78533882118211884</v>
      </c>
      <c r="AG345">
        <v>1.89347863938562E-2</v>
      </c>
    </row>
    <row r="346" spans="1:33" hidden="1" x14ac:dyDescent="0.3">
      <c r="A346">
        <v>2007</v>
      </c>
      <c r="B346" t="s">
        <v>11</v>
      </c>
      <c r="C346" t="s">
        <v>16</v>
      </c>
      <c r="D346">
        <f t="shared" si="189"/>
        <v>318</v>
      </c>
      <c r="E346">
        <v>125</v>
      </c>
      <c r="F346">
        <v>79</v>
      </c>
      <c r="G346">
        <v>116</v>
      </c>
      <c r="H346">
        <v>202</v>
      </c>
      <c r="I346">
        <f t="shared" si="201"/>
        <v>77</v>
      </c>
      <c r="J346">
        <f>'R2 unguide wt multiport'!AR71</f>
        <v>0.15352934336231447</v>
      </c>
      <c r="K346">
        <f t="shared" si="190"/>
        <v>4.0996241037555525E-4</v>
      </c>
      <c r="L346">
        <f t="shared" si="193"/>
        <v>0.29962257736864256</v>
      </c>
      <c r="M346">
        <v>2.9240714296746999E-2</v>
      </c>
      <c r="N346">
        <f>'R2 unguide wt multiport'!AS71</f>
        <v>0.63229425569817888</v>
      </c>
      <c r="O346">
        <f t="shared" si="191"/>
        <v>7.3343290192197114E-4</v>
      </c>
      <c r="P346">
        <f t="shared" si="194"/>
        <v>0.38255798916205253</v>
      </c>
      <c r="Q346">
        <v>3.7726773675384101E-2</v>
      </c>
      <c r="R346">
        <f>'R2 unguide wt multiport'!AP71</f>
        <v>0.67588298299257443</v>
      </c>
      <c r="S346">
        <f t="shared" si="192"/>
        <v>6.9105733846572173E-4</v>
      </c>
      <c r="T346">
        <f t="shared" si="195"/>
        <v>0.47276160967189962</v>
      </c>
      <c r="U346">
        <v>3.4853147934917797E-2</v>
      </c>
      <c r="V346">
        <f>'R2 unguide wt multiport'!AQ71</f>
        <v>0.32411701700742551</v>
      </c>
      <c r="W346" s="23">
        <f t="shared" si="199"/>
        <v>6.9105733846572173E-4</v>
      </c>
      <c r="X346">
        <f t="shared" si="196"/>
        <v>0.52723839032810027</v>
      </c>
      <c r="Y346">
        <v>3.4792010122241E-2</v>
      </c>
      <c r="Z346">
        <f>'R2 unguide wt multiport'!AT71</f>
        <v>0.47368492027926173</v>
      </c>
      <c r="AA346">
        <f t="shared" si="200"/>
        <v>1.2403359033795582E-3</v>
      </c>
      <c r="AB346">
        <f t="shared" si="197"/>
        <v>0.55026556539341598</v>
      </c>
      <c r="AC346">
        <v>2.6355639646195E-2</v>
      </c>
      <c r="AD346">
        <f>'R2 unguide wt multiport'!AU71</f>
        <v>0.93550847056187181</v>
      </c>
      <c r="AE346">
        <f t="shared" si="187"/>
        <v>5.2462932233790646E-4</v>
      </c>
      <c r="AF346">
        <f t="shared" si="198"/>
        <v>0.78533882118211884</v>
      </c>
      <c r="AG346">
        <v>1.89347863938562E-2</v>
      </c>
    </row>
    <row r="347" spans="1:33" hidden="1" x14ac:dyDescent="0.3">
      <c r="A347">
        <v>2008</v>
      </c>
      <c r="B347" t="s">
        <v>11</v>
      </c>
      <c r="C347" t="s">
        <v>16</v>
      </c>
      <c r="D347">
        <f t="shared" si="189"/>
        <v>533</v>
      </c>
      <c r="E347">
        <v>155</v>
      </c>
      <c r="F347">
        <v>89</v>
      </c>
      <c r="G347">
        <v>190</v>
      </c>
      <c r="H347">
        <v>343</v>
      </c>
      <c r="I347">
        <f t="shared" si="201"/>
        <v>188</v>
      </c>
      <c r="J347">
        <f>'R2 unguide wt multiport'!AR72</f>
        <v>0.18590060649896939</v>
      </c>
      <c r="K347">
        <f t="shared" si="190"/>
        <v>2.8447663722233965E-4</v>
      </c>
      <c r="L347">
        <f t="shared" si="193"/>
        <v>0.29962257736864256</v>
      </c>
      <c r="M347">
        <v>2.9240714296746999E-2</v>
      </c>
      <c r="N347">
        <f>'R2 unguide wt multiport'!AS72</f>
        <v>0.57020615671328545</v>
      </c>
      <c r="O347">
        <f t="shared" si="191"/>
        <v>4.6065995405930382E-4</v>
      </c>
      <c r="P347">
        <f t="shared" si="194"/>
        <v>0.38255798916205253</v>
      </c>
      <c r="Q347">
        <v>3.7726773675384101E-2</v>
      </c>
      <c r="R347">
        <f>'R2 unguide wt multiport'!AP72</f>
        <v>0.65452436278342729</v>
      </c>
      <c r="S347">
        <f t="shared" si="192"/>
        <v>4.2504176937288671E-4</v>
      </c>
      <c r="T347">
        <f t="shared" si="195"/>
        <v>0.47276160967189962</v>
      </c>
      <c r="U347">
        <v>3.4853147934917797E-2</v>
      </c>
      <c r="V347">
        <f>'R2 unguide wt multiport'!AQ72</f>
        <v>0.34547563721657265</v>
      </c>
      <c r="W347" s="23">
        <f t="shared" si="199"/>
        <v>4.2504176937288671E-4</v>
      </c>
      <c r="X347">
        <f t="shared" si="196"/>
        <v>0.52723839032810027</v>
      </c>
      <c r="Y347">
        <v>3.4792010122241E-2</v>
      </c>
      <c r="Z347">
        <f>'R2 unguide wt multiport'!AT72</f>
        <v>0.53810048082328754</v>
      </c>
      <c r="AA347">
        <f t="shared" si="200"/>
        <v>7.2674957123109439E-4</v>
      </c>
      <c r="AB347">
        <f t="shared" si="197"/>
        <v>0.55026556539341598</v>
      </c>
      <c r="AC347">
        <v>2.6355639646195E-2</v>
      </c>
      <c r="AD347">
        <f>'R2 unguide wt multiport'!AU72</f>
        <v>0.87117636735236148</v>
      </c>
      <c r="AE347">
        <f t="shared" si="187"/>
        <v>5.9379949375187727E-4</v>
      </c>
      <c r="AF347">
        <f t="shared" si="198"/>
        <v>0.78533882118211884</v>
      </c>
      <c r="AG347">
        <v>1.89347863938562E-2</v>
      </c>
    </row>
    <row r="348" spans="1:33" hidden="1" x14ac:dyDescent="0.3">
      <c r="A348">
        <v>2009</v>
      </c>
      <c r="B348" t="s">
        <v>11</v>
      </c>
      <c r="C348" t="s">
        <v>16</v>
      </c>
      <c r="D348">
        <f t="shared" si="189"/>
        <v>479</v>
      </c>
      <c r="E348">
        <v>151</v>
      </c>
      <c r="F348">
        <v>83</v>
      </c>
      <c r="G348">
        <v>117</v>
      </c>
      <c r="H348">
        <v>362</v>
      </c>
      <c r="I348">
        <f t="shared" si="201"/>
        <v>211</v>
      </c>
      <c r="J348">
        <f>'R2 unguide wt multiport'!AR73</f>
        <v>0.25532172057296076</v>
      </c>
      <c r="K348">
        <f t="shared" si="190"/>
        <v>3.9776681919795754E-4</v>
      </c>
      <c r="L348">
        <f t="shared" si="193"/>
        <v>0.29962257736864256</v>
      </c>
      <c r="M348">
        <v>2.9240714296746999E-2</v>
      </c>
      <c r="N348">
        <f>'R2 unguide wt multiport'!AS73</f>
        <v>0.33918759595554959</v>
      </c>
      <c r="O348">
        <f t="shared" si="191"/>
        <v>4.6891081737540673E-4</v>
      </c>
      <c r="P348">
        <f t="shared" si="194"/>
        <v>0.38255798916205253</v>
      </c>
      <c r="Q348">
        <v>3.7726773675384101E-2</v>
      </c>
      <c r="R348">
        <f>'R2 unguide wt multiport'!AP73</f>
        <v>0.57020462110956371</v>
      </c>
      <c r="S348">
        <f t="shared" si="192"/>
        <v>5.1270148781352011E-4</v>
      </c>
      <c r="T348">
        <f t="shared" si="195"/>
        <v>0.47276160967189962</v>
      </c>
      <c r="U348">
        <v>3.4853147934917797E-2</v>
      </c>
      <c r="V348">
        <f>'R2 unguide wt multiport'!AQ73</f>
        <v>0.42979537889043623</v>
      </c>
      <c r="W348" s="23">
        <f t="shared" si="199"/>
        <v>5.1270148781352E-4</v>
      </c>
      <c r="X348">
        <f t="shared" si="196"/>
        <v>0.52723839032810027</v>
      </c>
      <c r="Y348">
        <v>3.4792010122241E-2</v>
      </c>
      <c r="Z348">
        <f>'R2 unguide wt multiport'!AT73</f>
        <v>0.59405413160118592</v>
      </c>
      <c r="AA348">
        <f t="shared" si="200"/>
        <v>6.6801612279431249E-4</v>
      </c>
      <c r="AB348">
        <f t="shared" si="197"/>
        <v>0.55026556539341598</v>
      </c>
      <c r="AC348">
        <v>2.6355639646195E-2</v>
      </c>
      <c r="AD348">
        <f>'R2 unguide wt multiport'!AU73</f>
        <v>0.59485241507780662</v>
      </c>
      <c r="AE348">
        <f t="shared" si="187"/>
        <v>2.0776122358095472E-3</v>
      </c>
      <c r="AF348">
        <f t="shared" si="198"/>
        <v>0.78533882118211884</v>
      </c>
      <c r="AG348">
        <v>1.89347863938562E-2</v>
      </c>
    </row>
    <row r="349" spans="1:33" hidden="1" x14ac:dyDescent="0.3">
      <c r="A349">
        <v>2010</v>
      </c>
      <c r="B349" t="s">
        <v>11</v>
      </c>
      <c r="C349" t="s">
        <v>16</v>
      </c>
      <c r="D349">
        <f t="shared" si="189"/>
        <v>466</v>
      </c>
      <c r="E349">
        <v>123</v>
      </c>
      <c r="F349">
        <v>127</v>
      </c>
      <c r="G349">
        <v>166</v>
      </c>
      <c r="H349">
        <v>300</v>
      </c>
      <c r="I349">
        <f t="shared" si="201"/>
        <v>177</v>
      </c>
      <c r="J349">
        <f>'R2 unguide wt multiport'!AR74</f>
        <v>0.13172895266800949</v>
      </c>
      <c r="K349">
        <f t="shared" si="190"/>
        <v>2.4597082945591143E-4</v>
      </c>
      <c r="L349">
        <f t="shared" si="193"/>
        <v>0.29962257736864256</v>
      </c>
      <c r="M349">
        <v>2.9240714296746999E-2</v>
      </c>
      <c r="N349">
        <f>'R2 unguide wt multiport'!AS74</f>
        <v>0.57179370566479848</v>
      </c>
      <c r="O349">
        <f t="shared" si="191"/>
        <v>5.265498146815404E-4</v>
      </c>
      <c r="P349">
        <f t="shared" si="194"/>
        <v>0.38255798916205253</v>
      </c>
      <c r="Q349">
        <v>3.7726773675384101E-2</v>
      </c>
      <c r="R349">
        <f>'R2 unguide wt multiport'!AP74</f>
        <v>0.68504024362159155</v>
      </c>
      <c r="S349">
        <f t="shared" si="192"/>
        <v>4.640002327751872E-4</v>
      </c>
      <c r="T349">
        <f t="shared" si="195"/>
        <v>0.47276160967189962</v>
      </c>
      <c r="U349">
        <v>3.4853147934917797E-2</v>
      </c>
      <c r="V349">
        <f>'R2 unguide wt multiport'!AQ74</f>
        <v>0.31495975637840851</v>
      </c>
      <c r="W349" s="23">
        <f t="shared" si="199"/>
        <v>4.640002327751872E-4</v>
      </c>
      <c r="X349">
        <f t="shared" si="196"/>
        <v>0.52723839032810027</v>
      </c>
      <c r="Y349">
        <v>3.4792010122241E-2</v>
      </c>
      <c r="Z349">
        <f>'R2 unguide wt multiport'!AT74</f>
        <v>0.41824058471058667</v>
      </c>
      <c r="AA349">
        <f t="shared" si="200"/>
        <v>8.1376387294827173E-4</v>
      </c>
      <c r="AB349">
        <f t="shared" si="197"/>
        <v>0.55026556539341598</v>
      </c>
      <c r="AC349">
        <v>2.6355639646195E-2</v>
      </c>
      <c r="AD349">
        <f>'R2 unguide wt multiport'!AU74</f>
        <v>0.83468629907332959</v>
      </c>
      <c r="AE349">
        <f t="shared" si="187"/>
        <v>8.3627321947028961E-4</v>
      </c>
      <c r="AF349">
        <f t="shared" si="198"/>
        <v>0.78533882118211884</v>
      </c>
      <c r="AG349">
        <v>1.89347863938562E-2</v>
      </c>
    </row>
    <row r="350" spans="1:33" hidden="1" x14ac:dyDescent="0.3">
      <c r="A350">
        <v>2011</v>
      </c>
      <c r="B350" t="s">
        <v>11</v>
      </c>
      <c r="C350" t="s">
        <v>16</v>
      </c>
      <c r="D350">
        <f t="shared" si="189"/>
        <v>499</v>
      </c>
      <c r="E350">
        <v>135</v>
      </c>
      <c r="F350">
        <v>119</v>
      </c>
      <c r="G350">
        <v>168</v>
      </c>
      <c r="H350">
        <v>331</v>
      </c>
      <c r="I350">
        <f t="shared" si="201"/>
        <v>196</v>
      </c>
      <c r="J350">
        <f>'R2 unguide wt multiport'!AR75</f>
        <v>0.14624831269506489</v>
      </c>
      <c r="K350">
        <f t="shared" si="190"/>
        <v>2.5072237696568554E-4</v>
      </c>
      <c r="L350">
        <f t="shared" si="193"/>
        <v>0.29962257736864256</v>
      </c>
      <c r="M350">
        <v>2.9240714296746999E-2</v>
      </c>
      <c r="N350">
        <f>'R2 unguide wt multiport'!AS75</f>
        <v>0.59104858357062606</v>
      </c>
      <c r="O350">
        <f t="shared" si="191"/>
        <v>4.8536175789112997E-4</v>
      </c>
      <c r="P350">
        <f t="shared" si="194"/>
        <v>0.38255798916205253</v>
      </c>
      <c r="Q350">
        <v>3.7726773675384101E-2</v>
      </c>
      <c r="R350">
        <f>'R2 unguide wt multiport'!AP75</f>
        <v>0.64381013570233858</v>
      </c>
      <c r="S350">
        <f t="shared" si="192"/>
        <v>4.6047920656480917E-4</v>
      </c>
      <c r="T350">
        <f t="shared" si="195"/>
        <v>0.47276160967189962</v>
      </c>
      <c r="U350">
        <v>3.4853147934917797E-2</v>
      </c>
      <c r="V350">
        <f>'R2 unguide wt multiport'!AQ75</f>
        <v>0.35618986429766142</v>
      </c>
      <c r="W350" s="23">
        <f t="shared" si="199"/>
        <v>4.6047920656480917E-4</v>
      </c>
      <c r="X350">
        <f t="shared" si="196"/>
        <v>0.52723839032810027</v>
      </c>
      <c r="Y350">
        <v>3.4792010122241E-2</v>
      </c>
      <c r="Z350">
        <f>'R2 unguide wt multiport'!AT75</f>
        <v>0.41059088804629157</v>
      </c>
      <c r="AA350">
        <f t="shared" si="200"/>
        <v>7.333515475746946E-4</v>
      </c>
      <c r="AB350">
        <f t="shared" si="197"/>
        <v>0.55026556539341598</v>
      </c>
      <c r="AC350">
        <v>2.6355639646195E-2</v>
      </c>
      <c r="AD350">
        <f>'R2 unguide wt multiport'!AU75</f>
        <v>0.91804796289180124</v>
      </c>
      <c r="AE350">
        <f t="shared" si="187"/>
        <v>4.5051437558092921E-4</v>
      </c>
      <c r="AF350">
        <f t="shared" si="198"/>
        <v>0.78533882118211884</v>
      </c>
      <c r="AG350">
        <v>1.89347863938562E-2</v>
      </c>
    </row>
    <row r="351" spans="1:33" hidden="1" x14ac:dyDescent="0.3">
      <c r="A351">
        <v>2012</v>
      </c>
      <c r="B351" t="s">
        <v>11</v>
      </c>
      <c r="C351" t="s">
        <v>16</v>
      </c>
      <c r="D351">
        <f t="shared" si="189"/>
        <v>454</v>
      </c>
      <c r="E351">
        <v>158</v>
      </c>
      <c r="F351">
        <v>48</v>
      </c>
      <c r="G351">
        <v>136</v>
      </c>
      <c r="H351">
        <v>318</v>
      </c>
      <c r="I351">
        <f t="shared" si="201"/>
        <v>160</v>
      </c>
      <c r="J351">
        <f>'R2 unguide wt multiport'!AR76</f>
        <v>0.30745004325495678</v>
      </c>
      <c r="K351">
        <f t="shared" si="190"/>
        <v>4.7003204008274176E-4</v>
      </c>
      <c r="L351">
        <f t="shared" si="193"/>
        <v>0.29962257736864256</v>
      </c>
      <c r="M351">
        <v>2.9240714296746999E-2</v>
      </c>
      <c r="N351">
        <f>'R2 unguide wt multiport'!AS76</f>
        <v>0.32468505455658297</v>
      </c>
      <c r="O351">
        <f t="shared" si="191"/>
        <v>4.8402796888338129E-4</v>
      </c>
      <c r="P351">
        <f t="shared" si="194"/>
        <v>0.38255798916205253</v>
      </c>
      <c r="Q351">
        <v>3.7726773675384101E-2</v>
      </c>
      <c r="R351">
        <f>'R2 unguide wt multiport'!AP76</f>
        <v>0.43794117300756719</v>
      </c>
      <c r="S351">
        <f t="shared" si="192"/>
        <v>5.4337461808459892E-4</v>
      </c>
      <c r="T351">
        <f t="shared" si="195"/>
        <v>0.47276160967189962</v>
      </c>
      <c r="U351">
        <v>3.4853147934917797E-2</v>
      </c>
      <c r="V351">
        <f>'R2 unguide wt multiport'!AQ76</f>
        <v>0.56205882699243304</v>
      </c>
      <c r="W351" s="23">
        <f t="shared" si="199"/>
        <v>5.4337461808459881E-4</v>
      </c>
      <c r="X351">
        <f t="shared" si="196"/>
        <v>0.52723839032810027</v>
      </c>
      <c r="Y351">
        <v>3.4792010122241E-2</v>
      </c>
      <c r="Z351">
        <f>'R2 unguide wt multiport'!AT76</f>
        <v>0.54700687630886724</v>
      </c>
      <c r="AA351">
        <f t="shared" si="200"/>
        <v>7.8167303968354213E-4</v>
      </c>
      <c r="AB351">
        <f t="shared" si="197"/>
        <v>0.55026556539341598</v>
      </c>
      <c r="AC351">
        <v>2.6355639646195E-2</v>
      </c>
      <c r="AD351">
        <f>'R2 unguide wt multiport'!AU76</f>
        <v>0.74138965360759246</v>
      </c>
      <c r="AE351">
        <f t="shared" si="187"/>
        <v>1.4202298898607891E-3</v>
      </c>
      <c r="AF351">
        <f t="shared" si="198"/>
        <v>0.78533882118211884</v>
      </c>
      <c r="AG351">
        <v>1.89347863938562E-2</v>
      </c>
    </row>
    <row r="352" spans="1:33" hidden="1" x14ac:dyDescent="0.3">
      <c r="A352">
        <v>2013</v>
      </c>
      <c r="B352" t="s">
        <v>11</v>
      </c>
      <c r="C352" t="s">
        <v>16</v>
      </c>
      <c r="D352">
        <f t="shared" si="189"/>
        <v>651</v>
      </c>
      <c r="E352">
        <v>147</v>
      </c>
      <c r="F352">
        <v>134</v>
      </c>
      <c r="G352">
        <v>244</v>
      </c>
      <c r="H352">
        <v>407</v>
      </c>
      <c r="I352">
        <f t="shared" si="201"/>
        <v>260</v>
      </c>
      <c r="J352">
        <f>'R2 unguide wt multiport'!AR77</f>
        <v>0.15489728966432165</v>
      </c>
      <c r="K352">
        <f t="shared" si="190"/>
        <v>2.0139095279841365E-4</v>
      </c>
      <c r="L352">
        <f t="shared" si="193"/>
        <v>0.29962257736864256</v>
      </c>
      <c r="M352">
        <v>2.9240714296746999E-2</v>
      </c>
      <c r="N352">
        <f>'R2 unguide wt multiport'!AS77</f>
        <v>0.27321723139891457</v>
      </c>
      <c r="O352">
        <f t="shared" si="191"/>
        <v>3.0549165517788701E-4</v>
      </c>
      <c r="P352">
        <f t="shared" si="194"/>
        <v>0.38255798916205253</v>
      </c>
      <c r="Q352">
        <v>3.7726773675384101E-2</v>
      </c>
      <c r="R352">
        <f>'R2 unguide wt multiport'!AP77</f>
        <v>0.48399904137007826</v>
      </c>
      <c r="S352">
        <f t="shared" si="192"/>
        <v>3.8422149126603617E-4</v>
      </c>
      <c r="T352">
        <f t="shared" si="195"/>
        <v>0.47276160967189962</v>
      </c>
      <c r="U352">
        <v>3.4853147934917797E-2</v>
      </c>
      <c r="V352">
        <f>'R2 unguide wt multiport'!AQ77</f>
        <v>0.51600095862992168</v>
      </c>
      <c r="W352" s="23">
        <f t="shared" si="199"/>
        <v>3.8422149126603623E-4</v>
      </c>
      <c r="X352">
        <f t="shared" si="196"/>
        <v>0.52723839032810027</v>
      </c>
      <c r="Y352">
        <v>3.4792010122241E-2</v>
      </c>
      <c r="Z352">
        <f>'R2 unguide wt multiport'!AT77</f>
        <v>0.30018798816886438</v>
      </c>
      <c r="AA352">
        <f t="shared" si="200"/>
        <v>5.1742650228569977E-4</v>
      </c>
      <c r="AB352">
        <f t="shared" si="197"/>
        <v>0.55026556539341598</v>
      </c>
      <c r="AC352">
        <v>2.6355639646195E-2</v>
      </c>
      <c r="AD352">
        <f>'R2 unguide wt multiport'!AU77</f>
        <v>0.56449953005176645</v>
      </c>
      <c r="AE352">
        <f t="shared" si="187"/>
        <v>1.0116864634695526E-3</v>
      </c>
      <c r="AF352">
        <f t="shared" si="198"/>
        <v>0.78533882118211884</v>
      </c>
      <c r="AG352">
        <v>1.89347863938562E-2</v>
      </c>
    </row>
    <row r="353" spans="1:33" hidden="1" x14ac:dyDescent="0.3">
      <c r="A353">
        <v>2014</v>
      </c>
      <c r="B353" t="s">
        <v>11</v>
      </c>
      <c r="C353" t="s">
        <v>16</v>
      </c>
      <c r="D353">
        <f t="shared" si="189"/>
        <v>495</v>
      </c>
      <c r="E353">
        <v>182</v>
      </c>
      <c r="F353">
        <v>47</v>
      </c>
      <c r="G353">
        <v>113</v>
      </c>
      <c r="H353">
        <v>382</v>
      </c>
      <c r="I353">
        <f t="shared" si="201"/>
        <v>200</v>
      </c>
      <c r="J353">
        <f>'R2 unguide wt multiport'!AR78</f>
        <v>0.35337700644621051</v>
      </c>
      <c r="K353">
        <f t="shared" si="190"/>
        <v>4.62554044051266E-4</v>
      </c>
      <c r="L353">
        <f t="shared" si="193"/>
        <v>0.29962257736864256</v>
      </c>
      <c r="M353">
        <v>2.9240714296746999E-2</v>
      </c>
      <c r="N353">
        <f>'R2 unguide wt multiport'!AS78</f>
        <v>0.15014405092990515</v>
      </c>
      <c r="O353">
        <f t="shared" si="191"/>
        <v>2.583012447373749E-4</v>
      </c>
      <c r="P353">
        <f t="shared" si="194"/>
        <v>0.38255798916205253</v>
      </c>
      <c r="Q353">
        <v>3.7726773675384101E-2</v>
      </c>
      <c r="R353">
        <f>'R2 unguide wt multiport'!AP78</f>
        <v>0.24405813763594195</v>
      </c>
      <c r="S353">
        <f t="shared" si="192"/>
        <v>3.7346915605185744E-4</v>
      </c>
      <c r="T353">
        <f t="shared" si="195"/>
        <v>0.47276160967189962</v>
      </c>
      <c r="U353">
        <v>3.4853147934917797E-2</v>
      </c>
      <c r="V353">
        <f>'R2 unguide wt multiport'!AQ78</f>
        <v>0.75594186236405803</v>
      </c>
      <c r="W353" s="23">
        <f t="shared" si="199"/>
        <v>3.7346915605185744E-4</v>
      </c>
      <c r="X353">
        <f t="shared" si="196"/>
        <v>0.52723839032810027</v>
      </c>
      <c r="Y353">
        <v>3.4792010122241E-2</v>
      </c>
      <c r="Z353">
        <f>'R2 unguide wt multiport'!AT78</f>
        <v>0.46746585159484899</v>
      </c>
      <c r="AA353">
        <f t="shared" si="200"/>
        <v>6.5338984038727451E-4</v>
      </c>
      <c r="AB353">
        <f t="shared" si="197"/>
        <v>0.55026556539341598</v>
      </c>
      <c r="AC353">
        <v>2.6355639646195E-2</v>
      </c>
      <c r="AD353">
        <f>'R2 unguide wt multiport'!AU78</f>
        <v>0.61519788843866741</v>
      </c>
      <c r="AE353">
        <f t="shared" si="187"/>
        <v>2.1136557723149315E-3</v>
      </c>
      <c r="AF353">
        <f t="shared" si="198"/>
        <v>0.78533882118211884</v>
      </c>
      <c r="AG353">
        <v>1.89347863938562E-2</v>
      </c>
    </row>
    <row r="354" spans="1:33" hidden="1" x14ac:dyDescent="0.3">
      <c r="A354">
        <v>2015</v>
      </c>
      <c r="B354" t="s">
        <v>11</v>
      </c>
      <c r="C354" t="s">
        <v>16</v>
      </c>
      <c r="D354">
        <f t="shared" si="189"/>
        <v>493</v>
      </c>
      <c r="E354">
        <v>148</v>
      </c>
      <c r="F354">
        <v>85</v>
      </c>
      <c r="G354">
        <v>146</v>
      </c>
      <c r="H354">
        <v>347</v>
      </c>
      <c r="I354">
        <f t="shared" si="201"/>
        <v>199</v>
      </c>
      <c r="J354">
        <f>'R2 unguide wt multiport'!AR79</f>
        <v>0.42477820126904092</v>
      </c>
      <c r="K354">
        <f t="shared" si="190"/>
        <v>4.9662943291804696E-4</v>
      </c>
      <c r="L354">
        <f t="shared" si="193"/>
        <v>0.29962257736864256</v>
      </c>
      <c r="M354">
        <v>2.9240714296746999E-2</v>
      </c>
      <c r="N354">
        <f>'R2 unguide wt multiport'!AS79</f>
        <v>8.9524672718259229E-2</v>
      </c>
      <c r="O354">
        <f t="shared" si="191"/>
        <v>1.6567074327834917E-4</v>
      </c>
      <c r="P354">
        <f t="shared" si="194"/>
        <v>0.38255798916205253</v>
      </c>
      <c r="Q354">
        <v>3.7726773675384101E-2</v>
      </c>
      <c r="R354">
        <f>'R2 unguide wt multiport'!AP79</f>
        <v>0.16292027255028593</v>
      </c>
      <c r="S354">
        <f t="shared" si="192"/>
        <v>2.7718954744395627E-4</v>
      </c>
      <c r="T354">
        <f t="shared" si="195"/>
        <v>0.47276160967189962</v>
      </c>
      <c r="U354">
        <v>3.4853147934917797E-2</v>
      </c>
      <c r="V354">
        <f>'R2 unguide wt multiport'!AQ79</f>
        <v>0.83707972744971404</v>
      </c>
      <c r="W354" s="23">
        <f t="shared" si="199"/>
        <v>2.7718954744395633E-4</v>
      </c>
      <c r="X354">
        <f t="shared" si="196"/>
        <v>0.52723839032810027</v>
      </c>
      <c r="Y354">
        <v>3.4792010122241E-2</v>
      </c>
      <c r="Z354">
        <f>'R2 unguide wt multiport'!AT79</f>
        <v>0.50745250104573658</v>
      </c>
      <c r="AA354">
        <f t="shared" si="200"/>
        <v>7.2238283302937371E-4</v>
      </c>
      <c r="AB354">
        <f t="shared" si="197"/>
        <v>0.55026556539341598</v>
      </c>
      <c r="AC354">
        <v>2.6355639646195E-2</v>
      </c>
      <c r="AD354">
        <f>'R2 unguide wt multiport'!AU79</f>
        <v>0.54949989535910648</v>
      </c>
      <c r="AE354">
        <f t="shared" si="187"/>
        <v>1.7072397266168105E-3</v>
      </c>
      <c r="AF354">
        <f t="shared" si="198"/>
        <v>0.78533882118211884</v>
      </c>
      <c r="AG354">
        <v>1.89347863938562E-2</v>
      </c>
    </row>
    <row r="355" spans="1:33" hidden="1" x14ac:dyDescent="0.3">
      <c r="A355">
        <v>2016</v>
      </c>
      <c r="B355" t="s">
        <v>11</v>
      </c>
      <c r="C355" t="s">
        <v>16</v>
      </c>
      <c r="D355">
        <f t="shared" si="189"/>
        <v>127</v>
      </c>
      <c r="E355">
        <v>37</v>
      </c>
      <c r="F355">
        <v>19</v>
      </c>
      <c r="G355">
        <v>32</v>
      </c>
      <c r="H355">
        <v>95</v>
      </c>
      <c r="I355">
        <f t="shared" si="201"/>
        <v>58</v>
      </c>
      <c r="J355">
        <f>'R2 unguide wt multiport'!AR80</f>
        <v>0.14767519993953523</v>
      </c>
      <c r="K355">
        <f t="shared" si="190"/>
        <v>9.9894631160598029E-4</v>
      </c>
      <c r="L355">
        <f t="shared" si="193"/>
        <v>0.29962257736864256</v>
      </c>
      <c r="M355">
        <v>2.9240714296746999E-2</v>
      </c>
      <c r="N355">
        <f>'R2 unguide wt multiport'!AS80</f>
        <v>0.33847740759569828</v>
      </c>
      <c r="O355">
        <f t="shared" si="191"/>
        <v>1.7770670804999509E-3</v>
      </c>
      <c r="P355">
        <f t="shared" si="194"/>
        <v>0.38255798916205253</v>
      </c>
      <c r="Q355">
        <v>3.7726773675384101E-2</v>
      </c>
      <c r="R355">
        <f>'R2 unguide wt multiport'!AP80</f>
        <v>0.59719819414664999</v>
      </c>
      <c r="S355">
        <f t="shared" si="192"/>
        <v>1.9091469131319852E-3</v>
      </c>
      <c r="T355">
        <f t="shared" si="195"/>
        <v>0.47276160967189962</v>
      </c>
      <c r="U355">
        <v>3.4853147934917797E-2</v>
      </c>
      <c r="V355">
        <f>'R2 unguide wt multiport'!AQ80</f>
        <v>0.40280180585335007</v>
      </c>
      <c r="W355" s="23">
        <f t="shared" si="199"/>
        <v>1.9091469131319854E-3</v>
      </c>
      <c r="X355">
        <f t="shared" si="196"/>
        <v>0.52723839032810027</v>
      </c>
      <c r="Y355">
        <v>3.4792010122241E-2</v>
      </c>
      <c r="Z355">
        <f>'R2 unguide wt multiport'!AT80</f>
        <v>0.36662000466129996</v>
      </c>
      <c r="AA355">
        <f t="shared" si="200"/>
        <v>2.4703167749303015E-3</v>
      </c>
      <c r="AB355">
        <f t="shared" si="197"/>
        <v>0.55026556539341598</v>
      </c>
      <c r="AC355">
        <v>2.6355639646195E-2</v>
      </c>
      <c r="AF355">
        <f t="shared" si="198"/>
        <v>0.78533882118211884</v>
      </c>
      <c r="AG355">
        <v>1.89347863938562E-2</v>
      </c>
    </row>
    <row r="356" spans="1:33" hidden="1" x14ac:dyDescent="0.3">
      <c r="A356">
        <v>2017</v>
      </c>
      <c r="B356" t="s">
        <v>11</v>
      </c>
      <c r="C356" t="s">
        <v>16</v>
      </c>
      <c r="D356">
        <f t="shared" si="189"/>
        <v>112</v>
      </c>
      <c r="E356">
        <v>51</v>
      </c>
      <c r="F356">
        <v>24</v>
      </c>
      <c r="G356">
        <v>25</v>
      </c>
      <c r="H356">
        <v>87</v>
      </c>
      <c r="I356">
        <f t="shared" si="201"/>
        <v>36</v>
      </c>
      <c r="J356">
        <f>'R2 unguide wt multiport'!AR81</f>
        <v>0.26616483792738005</v>
      </c>
      <c r="K356">
        <f t="shared" si="190"/>
        <v>1.7596497025087528E-3</v>
      </c>
      <c r="L356">
        <f t="shared" si="193"/>
        <v>0.29962257736864256</v>
      </c>
      <c r="M356">
        <v>2.9240714296746999E-2</v>
      </c>
      <c r="N356">
        <f>'R2 unguide wt multiport'!AS81</f>
        <v>0.54382908608192826</v>
      </c>
      <c r="O356">
        <f t="shared" si="191"/>
        <v>2.2349460469659722E-3</v>
      </c>
      <c r="P356">
        <f t="shared" si="194"/>
        <v>0.38255798916205253</v>
      </c>
      <c r="Q356">
        <v>3.7726773675384101E-2</v>
      </c>
      <c r="R356">
        <f>'R2 unguide wt multiport'!AP81</f>
        <v>0.54666807796002492</v>
      </c>
      <c r="S356">
        <f t="shared" si="192"/>
        <v>2.232631445941595E-3</v>
      </c>
      <c r="T356">
        <f t="shared" si="195"/>
        <v>0.47276160967189962</v>
      </c>
      <c r="U356">
        <v>3.4853147934917797E-2</v>
      </c>
      <c r="V356">
        <f>'R2 unguide wt multiport'!AQ81</f>
        <v>0.45333192203997508</v>
      </c>
      <c r="W356" s="23">
        <f t="shared" si="199"/>
        <v>2.232631445941595E-3</v>
      </c>
      <c r="X356">
        <f t="shared" si="196"/>
        <v>0.52723839032810027</v>
      </c>
      <c r="Y356">
        <v>3.4792010122241E-2</v>
      </c>
      <c r="Z356">
        <f>'R2 unguide wt multiport'!AT81</f>
        <v>0.58713014677997788</v>
      </c>
      <c r="AA356">
        <f t="shared" si="200"/>
        <v>2.8187015990941804E-3</v>
      </c>
      <c r="AB356">
        <f t="shared" si="197"/>
        <v>0.55026556539341598</v>
      </c>
      <c r="AC356">
        <v>2.6355639646195E-2</v>
      </c>
      <c r="AF356">
        <f t="shared" si="198"/>
        <v>0.78533882118211884</v>
      </c>
      <c r="AG356">
        <v>1.89347863938562E-2</v>
      </c>
    </row>
    <row r="357" spans="1:33" hidden="1" x14ac:dyDescent="0.3">
      <c r="A357">
        <v>2018</v>
      </c>
      <c r="B357" t="s">
        <v>11</v>
      </c>
      <c r="C357" t="s">
        <v>16</v>
      </c>
      <c r="D357">
        <f t="shared" si="189"/>
        <v>244</v>
      </c>
      <c r="E357">
        <v>71</v>
      </c>
      <c r="F357">
        <v>71</v>
      </c>
      <c r="G357">
        <v>94</v>
      </c>
      <c r="H357">
        <v>150</v>
      </c>
      <c r="I357">
        <f t="shared" si="201"/>
        <v>79</v>
      </c>
      <c r="J357">
        <f>'R2 unguide wt multiport'!AR82</f>
        <v>0.17565516930416428</v>
      </c>
      <c r="K357">
        <f t="shared" si="190"/>
        <v>5.9588654650571883E-4</v>
      </c>
      <c r="L357">
        <f>AVERAGE(J$338:J$358)</f>
        <v>0.29962257736864256</v>
      </c>
      <c r="M357">
        <v>2.9240714296746999E-2</v>
      </c>
      <c r="N357">
        <f>'R2 unguide wt multiport'!AS82</f>
        <v>0.33293387607510555</v>
      </c>
      <c r="O357">
        <f t="shared" si="191"/>
        <v>9.1394613266136552E-4</v>
      </c>
      <c r="P357">
        <f>AVERAGE(N$338:N$358)</f>
        <v>0.38255798916205253</v>
      </c>
      <c r="Q357">
        <v>3.7726773675384101E-2</v>
      </c>
      <c r="R357">
        <f>'R2 unguide wt multiport'!AP82</f>
        <v>0.38978907125678974</v>
      </c>
      <c r="S357">
        <f t="shared" si="192"/>
        <v>9.7882119829448169E-4</v>
      </c>
      <c r="T357">
        <f>AVERAGE(R$338:R$358)</f>
        <v>0.47276160967189962</v>
      </c>
      <c r="U357">
        <v>3.4853147934917797E-2</v>
      </c>
      <c r="V357">
        <f>'R2 unguide wt multiport'!AQ82</f>
        <v>0.61021092874321026</v>
      </c>
      <c r="W357" s="23">
        <f t="shared" si="199"/>
        <v>9.7882119829448169E-4</v>
      </c>
      <c r="X357">
        <f>AVERAGE(V$338:V$358)</f>
        <v>0.52723839032810027</v>
      </c>
      <c r="Y357">
        <v>3.4792010122241E-2</v>
      </c>
      <c r="Z357">
        <f>'R2 unguide wt multiport'!AT82</f>
        <v>0.28785975640577832</v>
      </c>
      <c r="AA357">
        <f t="shared" si="200"/>
        <v>1.3758155506562704E-3</v>
      </c>
      <c r="AB357">
        <f>AVERAGE(Z$338:Z$358)</f>
        <v>0.55026556539341598</v>
      </c>
      <c r="AC357">
        <v>2.6355639646195E-2</v>
      </c>
      <c r="AD357">
        <f>'R2 unguide wt multiport'!AU82</f>
        <v>0.85413856012338407</v>
      </c>
      <c r="AE357">
        <f t="shared" si="187"/>
        <v>1.3396331207928634E-3</v>
      </c>
      <c r="AF357">
        <f>AVERAGE(AD$340:AD$342, AD$345:AD$354,AD$357:AD$358)</f>
        <v>0.78533882118211884</v>
      </c>
      <c r="AG357">
        <v>1.89347863938562E-2</v>
      </c>
    </row>
    <row r="358" spans="1:33" hidden="1" x14ac:dyDescent="0.3">
      <c r="A358">
        <v>2019</v>
      </c>
      <c r="B358" t="s">
        <v>11</v>
      </c>
      <c r="C358" t="s">
        <v>16</v>
      </c>
      <c r="D358">
        <f t="shared" si="189"/>
        <v>317</v>
      </c>
      <c r="E358">
        <v>99</v>
      </c>
      <c r="F358">
        <v>103</v>
      </c>
      <c r="G358">
        <v>125</v>
      </c>
      <c r="H358">
        <v>192</v>
      </c>
      <c r="I358">
        <f t="shared" si="201"/>
        <v>93</v>
      </c>
      <c r="J358">
        <v>0.32677969323179668</v>
      </c>
      <c r="K358">
        <f t="shared" si="190"/>
        <v>6.9618583963015673E-4</v>
      </c>
      <c r="L358">
        <f>AVERAGE(J$338:J$358)</f>
        <v>0.29962257736864256</v>
      </c>
      <c r="M358">
        <v>2.9240714296746999E-2</v>
      </c>
      <c r="N358">
        <v>0.30792879978821042</v>
      </c>
      <c r="O358">
        <f t="shared" si="191"/>
        <v>6.743944748392489E-4</v>
      </c>
      <c r="P358">
        <f>AVERAGE(N$338:N$358)</f>
        <v>0.38255798916205253</v>
      </c>
      <c r="Q358">
        <v>3.7726773675384101E-2</v>
      </c>
      <c r="R358">
        <v>0.38380123475306321</v>
      </c>
      <c r="S358">
        <f t="shared" si="192"/>
        <v>7.4841090808571917E-4</v>
      </c>
      <c r="T358">
        <f>AVERAGE(R$338:R$358)</f>
        <v>0.47276160967189962</v>
      </c>
      <c r="U358">
        <v>3.4853147934917797E-2</v>
      </c>
      <c r="V358">
        <v>0.61619876524693695</v>
      </c>
      <c r="W358" s="23">
        <f t="shared" si="199"/>
        <v>7.4841090808571917E-4</v>
      </c>
      <c r="X358">
        <f>AVERAGE(V$338:V$358)</f>
        <v>0.52723839032810027</v>
      </c>
      <c r="Y358">
        <v>3.4792010122241E-2</v>
      </c>
      <c r="Z358">
        <v>0.53031539766367786</v>
      </c>
      <c r="AA358">
        <f t="shared" si="200"/>
        <v>1.3040888830601733E-3</v>
      </c>
      <c r="AB358">
        <f>AVERAGE(Z$338:Z$358)</f>
        <v>0.55026556539341598</v>
      </c>
      <c r="AC358">
        <v>2.6355639646195E-2</v>
      </c>
      <c r="AD358">
        <v>0.80231320773715353</v>
      </c>
      <c r="AE358">
        <f t="shared" si="187"/>
        <v>1.2790864873199407E-3</v>
      </c>
      <c r="AF358">
        <f>AVERAGE(AD$340:AD$342, AD$345:AD$354,AD$357:AD$358)</f>
        <v>0.78533882118211884</v>
      </c>
      <c r="AG358">
        <v>1.89347863938562E-2</v>
      </c>
    </row>
    <row r="359" spans="1:33" hidden="1" x14ac:dyDescent="0.3">
      <c r="A359">
        <v>2020</v>
      </c>
      <c r="B359" t="s">
        <v>11</v>
      </c>
      <c r="C359" t="s">
        <v>16</v>
      </c>
      <c r="D359">
        <f t="shared" si="189"/>
        <v>263</v>
      </c>
      <c r="E359">
        <v>77</v>
      </c>
      <c r="F359">
        <v>81</v>
      </c>
      <c r="G359">
        <v>106</v>
      </c>
      <c r="H359">
        <v>157</v>
      </c>
      <c r="I359">
        <f t="shared" si="201"/>
        <v>80</v>
      </c>
      <c r="J359">
        <v>0.26722008416806881</v>
      </c>
      <c r="K359">
        <f t="shared" si="190"/>
        <v>7.4737981215755361E-4</v>
      </c>
      <c r="N359">
        <v>0.3560718793171877</v>
      </c>
      <c r="O359">
        <f t="shared" si="191"/>
        <v>8.7513242777371688E-4</v>
      </c>
      <c r="R359">
        <v>0.4178705420131541</v>
      </c>
      <c r="S359">
        <f t="shared" si="192"/>
        <v>9.2845325240758364E-4</v>
      </c>
      <c r="V359">
        <v>0.58212945798684579</v>
      </c>
      <c r="W359" s="23">
        <f t="shared" si="199"/>
        <v>9.2845325240758364E-4</v>
      </c>
      <c r="Z359">
        <v>0.45903893112055344</v>
      </c>
      <c r="AA359">
        <f t="shared" si="200"/>
        <v>1.5918089156170081E-3</v>
      </c>
      <c r="AD359">
        <v>0.85211050676546374</v>
      </c>
      <c r="AE359">
        <f t="shared" si="187"/>
        <v>1.2001732478606507E-3</v>
      </c>
    </row>
    <row r="360" spans="1:33" hidden="1" x14ac:dyDescent="0.3">
      <c r="A360">
        <v>2021</v>
      </c>
      <c r="B360" t="s">
        <v>11</v>
      </c>
      <c r="C360" t="s">
        <v>16</v>
      </c>
      <c r="D360">
        <f t="shared" si="189"/>
        <v>248</v>
      </c>
      <c r="E360">
        <v>57</v>
      </c>
      <c r="F360">
        <v>90</v>
      </c>
      <c r="G360">
        <v>119</v>
      </c>
      <c r="H360">
        <v>129</v>
      </c>
      <c r="I360">
        <f t="shared" si="201"/>
        <v>72</v>
      </c>
      <c r="J360">
        <v>0.25673143036175855</v>
      </c>
      <c r="K360">
        <f t="shared" si="190"/>
        <v>7.7255223897232427E-4</v>
      </c>
      <c r="N360">
        <v>0.47254049763713746</v>
      </c>
      <c r="O360">
        <f t="shared" si="191"/>
        <v>1.0090930191497326E-3</v>
      </c>
      <c r="R360">
        <v>0.54624885536993317</v>
      </c>
      <c r="S360">
        <f t="shared" si="192"/>
        <v>1.0034860055747814E-3</v>
      </c>
      <c r="V360">
        <v>0.45375114463006683</v>
      </c>
      <c r="W360" s="23">
        <f t="shared" si="199"/>
        <v>1.0034860055747814E-3</v>
      </c>
      <c r="Z360">
        <v>0.56579786828100664</v>
      </c>
      <c r="AA360">
        <f t="shared" si="200"/>
        <v>1.9193018791380883E-3</v>
      </c>
      <c r="AD360">
        <v>0.8650645085876133</v>
      </c>
      <c r="AE360">
        <f t="shared" si="187"/>
        <v>9.8921953025156288E-4</v>
      </c>
    </row>
    <row r="361" spans="1:33" hidden="1" x14ac:dyDescent="0.3">
      <c r="A361">
        <v>2022</v>
      </c>
      <c r="B361" s="15" t="s">
        <v>11</v>
      </c>
      <c r="C361" s="15" t="s">
        <v>16</v>
      </c>
      <c r="D361">
        <v>378</v>
      </c>
      <c r="E361">
        <v>128</v>
      </c>
      <c r="F361">
        <v>31</v>
      </c>
      <c r="G361">
        <v>93</v>
      </c>
      <c r="H361">
        <v>285</v>
      </c>
      <c r="I361">
        <v>157</v>
      </c>
      <c r="J361">
        <f>'R2 unguide wt multiport'!AR86</f>
        <v>0.48237390227023919</v>
      </c>
      <c r="K361">
        <f t="shared" si="190"/>
        <v>6.6230589039475052E-4</v>
      </c>
      <c r="N361">
        <f>'R2 unguide wt multiport'!AS86</f>
        <v>3.3372019489131696E-2</v>
      </c>
      <c r="O361">
        <f t="shared" si="191"/>
        <v>8.5565856244956785E-5</v>
      </c>
      <c r="R361">
        <f>'R2 unguide wt multiport'!AP86</f>
        <v>0.12611799469201468</v>
      </c>
      <c r="S361">
        <f t="shared" si="192"/>
        <v>2.9234017534981332E-4</v>
      </c>
      <c r="V361">
        <f>'R2 unguide wt multiport'!AQ86</f>
        <v>0.87388200530798532</v>
      </c>
      <c r="W361" s="23">
        <f t="shared" si="199"/>
        <v>2.9234017534981332E-4</v>
      </c>
      <c r="Z361">
        <f>'R2 unguide wt multiport'!AT86</f>
        <v>0.55198974156726621</v>
      </c>
      <c r="AA361">
        <f t="shared" si="200"/>
        <v>8.7076431961890448E-4</v>
      </c>
      <c r="AD361">
        <f>'R2 unguide wt multiport'!AU86</f>
        <v>0.26460949978333809</v>
      </c>
      <c r="AE361">
        <f t="shared" si="187"/>
        <v>2.115122960953801E-3</v>
      </c>
    </row>
    <row r="362" spans="1:33" hidden="1" x14ac:dyDescent="0.3">
      <c r="A362" s="25">
        <v>1993</v>
      </c>
      <c r="B362" s="25" t="s">
        <v>9</v>
      </c>
      <c r="C362" s="25" t="s">
        <v>17</v>
      </c>
      <c r="D362" s="25">
        <f t="shared" si="189"/>
        <v>160</v>
      </c>
      <c r="E362" s="25">
        <v>90</v>
      </c>
      <c r="F362" s="25">
        <v>53</v>
      </c>
      <c r="G362" s="25">
        <v>59</v>
      </c>
      <c r="H362" s="25">
        <v>101</v>
      </c>
      <c r="I362" s="25">
        <f t="shared" si="201"/>
        <v>11</v>
      </c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6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</row>
    <row r="363" spans="1:33" hidden="1" x14ac:dyDescent="0.3">
      <c r="A363" s="25">
        <v>1994</v>
      </c>
      <c r="B363" s="25" t="s">
        <v>9</v>
      </c>
      <c r="C363" s="25" t="s">
        <v>17</v>
      </c>
      <c r="D363" s="25">
        <f t="shared" si="189"/>
        <v>177</v>
      </c>
      <c r="E363" s="25">
        <v>51</v>
      </c>
      <c r="F363" s="25">
        <v>113</v>
      </c>
      <c r="G363" s="25">
        <v>115</v>
      </c>
      <c r="H363" s="25">
        <v>62</v>
      </c>
      <c r="I363" s="25">
        <f t="shared" si="201"/>
        <v>11</v>
      </c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6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</row>
    <row r="364" spans="1:33" hidden="1" x14ac:dyDescent="0.3">
      <c r="A364" s="25">
        <v>1995</v>
      </c>
      <c r="B364" s="25" t="s">
        <v>9</v>
      </c>
      <c r="C364" s="25" t="s">
        <v>17</v>
      </c>
      <c r="D364" s="25">
        <f t="shared" si="189"/>
        <v>201</v>
      </c>
      <c r="E364" s="25">
        <v>93</v>
      </c>
      <c r="F364" s="25">
        <v>73</v>
      </c>
      <c r="G364" s="25">
        <v>84</v>
      </c>
      <c r="H364" s="25">
        <v>117</v>
      </c>
      <c r="I364" s="25">
        <f t="shared" si="201"/>
        <v>24</v>
      </c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6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</row>
    <row r="365" spans="1:33" hidden="1" x14ac:dyDescent="0.3">
      <c r="A365" s="25">
        <v>1996</v>
      </c>
      <c r="B365" s="25" t="s">
        <v>9</v>
      </c>
      <c r="C365" s="25" t="s">
        <v>17</v>
      </c>
      <c r="D365" s="25">
        <f t="shared" si="189"/>
        <v>106</v>
      </c>
      <c r="E365" s="25">
        <v>39</v>
      </c>
      <c r="F365" s="25">
        <v>64</v>
      </c>
      <c r="G365" s="25">
        <v>64</v>
      </c>
      <c r="H365" s="25">
        <v>42</v>
      </c>
      <c r="I365" s="25">
        <f t="shared" si="201"/>
        <v>3</v>
      </c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6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</row>
    <row r="366" spans="1:33" hidden="1" x14ac:dyDescent="0.3">
      <c r="A366" s="25">
        <v>1997</v>
      </c>
      <c r="B366" s="25" t="s">
        <v>9</v>
      </c>
      <c r="C366" s="25" t="s">
        <v>17</v>
      </c>
      <c r="D366" s="25">
        <f t="shared" si="189"/>
        <v>190</v>
      </c>
      <c r="E366" s="25">
        <v>77</v>
      </c>
      <c r="F366" s="25">
        <v>102</v>
      </c>
      <c r="G366" s="25">
        <v>107</v>
      </c>
      <c r="H366" s="25">
        <v>83</v>
      </c>
      <c r="I366" s="25">
        <f t="shared" si="201"/>
        <v>6</v>
      </c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6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</row>
    <row r="367" spans="1:33" hidden="1" x14ac:dyDescent="0.3">
      <c r="A367" s="25">
        <v>1998</v>
      </c>
      <c r="B367" s="25" t="s">
        <v>9</v>
      </c>
      <c r="C367" s="25" t="s">
        <v>17</v>
      </c>
      <c r="D367" s="25">
        <f t="shared" si="189"/>
        <v>195</v>
      </c>
      <c r="E367" s="25">
        <v>94</v>
      </c>
      <c r="F367" s="25">
        <v>80</v>
      </c>
      <c r="G367" s="25">
        <v>84</v>
      </c>
      <c r="H367" s="25">
        <v>111</v>
      </c>
      <c r="I367" s="25">
        <f t="shared" si="201"/>
        <v>17</v>
      </c>
      <c r="J367" s="25">
        <v>0.39403176619235686</v>
      </c>
      <c r="K367" s="25">
        <f t="shared" si="190"/>
        <v>1.2307769764107663E-3</v>
      </c>
      <c r="L367" s="25">
        <f t="shared" ref="L367:L386" si="202">AVERAGE(J$367:J$388)</f>
        <v>0.2649092665472898</v>
      </c>
      <c r="M367" s="25">
        <v>2.0822763489273501E-2</v>
      </c>
      <c r="N367" s="25">
        <v>0.47159184875005783</v>
      </c>
      <c r="O367" s="25">
        <f t="shared" si="191"/>
        <v>1.2844998811472185E-3</v>
      </c>
      <c r="P367" s="25">
        <f t="shared" ref="P367:P386" si="203">AVERAGE(N$367:N$388)</f>
        <v>0.5791630570055385</v>
      </c>
      <c r="Q367" s="25">
        <v>1.50936133029227E-2</v>
      </c>
      <c r="R367" s="25">
        <v>0.49640447319851561</v>
      </c>
      <c r="S367" s="25">
        <f t="shared" si="192"/>
        <v>1.288593155603195E-3</v>
      </c>
      <c r="T367" s="25">
        <f t="shared" ref="T367:T386" si="204">AVERAGE(R$367:R$388)</f>
        <v>0.66112248419547148</v>
      </c>
      <c r="U367" s="25">
        <v>2.0754413343947099E-2</v>
      </c>
      <c r="V367" s="25">
        <v>0.50359552680148445</v>
      </c>
      <c r="W367" s="26">
        <f t="shared" ref="W367:W391" si="205">(V367*(1-V367))/(D367-1)</f>
        <v>1.2885931556031948E-3</v>
      </c>
      <c r="X367" s="25">
        <f t="shared" ref="X367:X386" si="206">AVERAGE(V$367:V$388)</f>
        <v>0.33887751580452857</v>
      </c>
      <c r="Y367" s="25">
        <v>2.0829612322057E-2</v>
      </c>
      <c r="Z367" s="25">
        <v>0.78243698607688938</v>
      </c>
      <c r="AA367" s="25">
        <f t="shared" ref="AA367:AA391" si="207">(Z367*(1-Z367))/(H367-1)</f>
        <v>1.5475395354163908E-3</v>
      </c>
      <c r="AB367" s="25">
        <f t="shared" ref="AB367:AB386" si="208">AVERAGE(Z$367:Z$388)</f>
        <v>0.75663845347848924</v>
      </c>
      <c r="AC367" s="25">
        <v>1.46586111528499E-2</v>
      </c>
      <c r="AD367" s="25">
        <v>0.95001530850723215</v>
      </c>
      <c r="AE367" s="25">
        <f t="shared" ref="AE367:AE391" si="209">(AD367*(1-AD367))/(G367-1)</f>
        <v>5.7212315794145387E-4</v>
      </c>
      <c r="AF367" s="25">
        <f t="shared" ref="AF367:AF386" si="210">AVERAGE(AD$367:AD$388)</f>
        <v>0.88472371957137097</v>
      </c>
      <c r="AG367" s="25">
        <v>7.2151586007431099E-3</v>
      </c>
    </row>
    <row r="368" spans="1:33" hidden="1" x14ac:dyDescent="0.3">
      <c r="A368" s="25">
        <v>1999</v>
      </c>
      <c r="B368" s="25" t="s">
        <v>9</v>
      </c>
      <c r="C368" s="25" t="s">
        <v>17</v>
      </c>
      <c r="D368" s="25">
        <f t="shared" si="189"/>
        <v>333</v>
      </c>
      <c r="E368" s="25">
        <v>162</v>
      </c>
      <c r="F368" s="25">
        <v>149</v>
      </c>
      <c r="G368" s="25">
        <v>157</v>
      </c>
      <c r="H368" s="25">
        <v>176</v>
      </c>
      <c r="I368" s="25">
        <f t="shared" si="201"/>
        <v>14</v>
      </c>
      <c r="J368" s="25">
        <v>0.56395361481462847</v>
      </c>
      <c r="K368" s="25">
        <f t="shared" si="190"/>
        <v>7.4069257575946424E-4</v>
      </c>
      <c r="L368" s="25">
        <f t="shared" si="202"/>
        <v>0.2649092665472898</v>
      </c>
      <c r="M368" s="25">
        <v>2.0822763489273501E-2</v>
      </c>
      <c r="N368" s="25">
        <v>0.37607949824867426</v>
      </c>
      <c r="O368" s="25">
        <f t="shared" si="191"/>
        <v>7.0675816037861342E-4</v>
      </c>
      <c r="P368" s="25">
        <f t="shared" si="203"/>
        <v>0.5791630570055385</v>
      </c>
      <c r="Q368" s="25">
        <v>1.50936133029227E-2</v>
      </c>
      <c r="R368" s="25">
        <v>0.38114670028692443</v>
      </c>
      <c r="S368" s="25">
        <f t="shared" si="192"/>
        <v>7.1046353357624649E-4</v>
      </c>
      <c r="T368" s="25">
        <f t="shared" si="204"/>
        <v>0.66112248419547148</v>
      </c>
      <c r="U368" s="25">
        <v>2.0754413343947099E-2</v>
      </c>
      <c r="V368" s="25">
        <v>0.61885329971307546</v>
      </c>
      <c r="W368" s="26">
        <f t="shared" si="205"/>
        <v>7.104635335762466E-4</v>
      </c>
      <c r="X368" s="25">
        <f t="shared" si="206"/>
        <v>0.33887751580452857</v>
      </c>
      <c r="Y368" s="25">
        <v>2.0829612322057E-2</v>
      </c>
      <c r="Z368" s="25">
        <v>0.91128804690239085</v>
      </c>
      <c r="AA368" s="25">
        <f t="shared" si="207"/>
        <v>4.6195509985838139E-4</v>
      </c>
      <c r="AB368" s="25">
        <f t="shared" si="208"/>
        <v>0.75663845347848924</v>
      </c>
      <c r="AC368" s="25">
        <v>1.46586111528499E-2</v>
      </c>
      <c r="AD368" s="25">
        <v>0.98670537608108466</v>
      </c>
      <c r="AE368" s="25">
        <f t="shared" si="209"/>
        <v>8.4088954447243217E-5</v>
      </c>
      <c r="AF368" s="25">
        <f t="shared" si="210"/>
        <v>0.88472371957137097</v>
      </c>
      <c r="AG368" s="25">
        <v>7.2151586007431099E-3</v>
      </c>
    </row>
    <row r="369" spans="1:33" hidden="1" x14ac:dyDescent="0.3">
      <c r="A369" s="25">
        <v>2000</v>
      </c>
      <c r="B369" s="25" t="s">
        <v>9</v>
      </c>
      <c r="C369" s="25" t="s">
        <v>17</v>
      </c>
      <c r="D369" s="25">
        <f t="shared" si="189"/>
        <v>365</v>
      </c>
      <c r="E369" s="25">
        <v>271</v>
      </c>
      <c r="F369" s="25">
        <v>64</v>
      </c>
      <c r="G369" s="25">
        <v>74</v>
      </c>
      <c r="H369" s="25">
        <v>291</v>
      </c>
      <c r="I369" s="25">
        <f t="shared" si="201"/>
        <v>20</v>
      </c>
      <c r="J369" s="25">
        <v>0.7267010254260019</v>
      </c>
      <c r="K369" s="25">
        <f t="shared" si="190"/>
        <v>5.4562265129340446E-4</v>
      </c>
      <c r="L369" s="25">
        <f t="shared" si="202"/>
        <v>0.2649092665472898</v>
      </c>
      <c r="M369" s="25">
        <v>2.0822763489273501E-2</v>
      </c>
      <c r="N369" s="25">
        <v>0.16619778711790428</v>
      </c>
      <c r="O369" s="25">
        <f t="shared" si="191"/>
        <v>3.8070352383246165E-4</v>
      </c>
      <c r="P369" s="25">
        <f t="shared" si="203"/>
        <v>0.5791630570055385</v>
      </c>
      <c r="Q369" s="25">
        <v>1.50936133029227E-2</v>
      </c>
      <c r="R369" s="25">
        <v>0.16958987165124811</v>
      </c>
      <c r="S369" s="25">
        <f t="shared" si="192"/>
        <v>3.8689326122132232E-4</v>
      </c>
      <c r="T369" s="25">
        <f t="shared" si="204"/>
        <v>0.66112248419547148</v>
      </c>
      <c r="U369" s="25">
        <v>2.0754413343947099E-2</v>
      </c>
      <c r="V369" s="25">
        <v>0.83041012834875194</v>
      </c>
      <c r="W369" s="26">
        <f t="shared" si="205"/>
        <v>3.8689326122132216E-4</v>
      </c>
      <c r="X369" s="25">
        <f t="shared" si="206"/>
        <v>0.33887751580452857</v>
      </c>
      <c r="Y369" s="25">
        <v>2.0829612322057E-2</v>
      </c>
      <c r="Z369" s="25">
        <v>0.87511098506352192</v>
      </c>
      <c r="AA369" s="25">
        <f t="shared" si="207"/>
        <v>3.7686809960232491E-4</v>
      </c>
      <c r="AB369" s="25">
        <f t="shared" si="208"/>
        <v>0.75663845347848924</v>
      </c>
      <c r="AC369" s="25">
        <v>1.46586111528499E-2</v>
      </c>
      <c r="AD369" s="25">
        <v>0.97999830709041702</v>
      </c>
      <c r="AE369" s="25">
        <f t="shared" si="209"/>
        <v>2.6851541356621533E-4</v>
      </c>
      <c r="AF369" s="25">
        <f t="shared" si="210"/>
        <v>0.88472371957137097</v>
      </c>
      <c r="AG369" s="25">
        <v>7.2151586007431099E-3</v>
      </c>
    </row>
    <row r="370" spans="1:33" hidden="1" x14ac:dyDescent="0.3">
      <c r="A370" s="25">
        <v>2001</v>
      </c>
      <c r="B370" s="25" t="s">
        <v>9</v>
      </c>
      <c r="C370" s="25" t="s">
        <v>17</v>
      </c>
      <c r="D370" s="25">
        <f t="shared" si="189"/>
        <v>485</v>
      </c>
      <c r="E370" s="25">
        <v>239</v>
      </c>
      <c r="F370" s="25">
        <v>194</v>
      </c>
      <c r="G370" s="25">
        <v>209</v>
      </c>
      <c r="H370" s="25">
        <v>276</v>
      </c>
      <c r="I370" s="25">
        <f t="shared" si="201"/>
        <v>37</v>
      </c>
      <c r="J370" s="25">
        <v>0.29505858090387932</v>
      </c>
      <c r="K370" s="25">
        <f t="shared" si="190"/>
        <v>4.2975003045220706E-4</v>
      </c>
      <c r="L370" s="25">
        <f t="shared" si="202"/>
        <v>0.2649092665472898</v>
      </c>
      <c r="M370" s="25">
        <v>2.0822763489273501E-2</v>
      </c>
      <c r="N370" s="25">
        <v>0.58063368163562656</v>
      </c>
      <c r="O370" s="25">
        <f t="shared" si="191"/>
        <v>5.0309547393777776E-4</v>
      </c>
      <c r="P370" s="25">
        <f t="shared" si="203"/>
        <v>0.5791630570055385</v>
      </c>
      <c r="Q370" s="25">
        <v>1.50936133029227E-2</v>
      </c>
      <c r="R370" s="25">
        <v>0.63734297212274782</v>
      </c>
      <c r="S370" s="25">
        <f t="shared" si="192"/>
        <v>4.775555950588639E-4</v>
      </c>
      <c r="T370" s="25">
        <f t="shared" si="204"/>
        <v>0.66112248419547148</v>
      </c>
      <c r="U370" s="25">
        <v>2.0754413343947099E-2</v>
      </c>
      <c r="V370" s="25">
        <v>0.36265702787725224</v>
      </c>
      <c r="W370" s="26">
        <f t="shared" si="205"/>
        <v>4.7755559505886384E-4</v>
      </c>
      <c r="X370" s="25">
        <f t="shared" si="206"/>
        <v>0.33887751580452857</v>
      </c>
      <c r="Y370" s="25">
        <v>2.0829612322057E-2</v>
      </c>
      <c r="Z370" s="25">
        <v>0.81360226942505909</v>
      </c>
      <c r="AA370" s="25">
        <f t="shared" si="207"/>
        <v>5.5146769676891875E-4</v>
      </c>
      <c r="AB370" s="25">
        <f t="shared" si="208"/>
        <v>0.75663845347848924</v>
      </c>
      <c r="AC370" s="25">
        <v>1.46586111528499E-2</v>
      </c>
      <c r="AD370" s="25">
        <v>0.91102233339414707</v>
      </c>
      <c r="AE370" s="25">
        <f t="shared" si="209"/>
        <v>3.8971462236168561E-4</v>
      </c>
      <c r="AF370" s="25">
        <f t="shared" si="210"/>
        <v>0.88472371957137097</v>
      </c>
      <c r="AG370" s="25">
        <v>7.2151586007431099E-3</v>
      </c>
    </row>
    <row r="371" spans="1:33" hidden="1" x14ac:dyDescent="0.3">
      <c r="A371" s="25">
        <v>2002</v>
      </c>
      <c r="B371" s="25" t="s">
        <v>9</v>
      </c>
      <c r="C371" s="25" t="s">
        <v>17</v>
      </c>
      <c r="D371" s="25">
        <f t="shared" si="189"/>
        <v>480</v>
      </c>
      <c r="E371" s="25">
        <v>255</v>
      </c>
      <c r="F371" s="25">
        <v>178</v>
      </c>
      <c r="G371" s="25">
        <v>196</v>
      </c>
      <c r="H371" s="25">
        <v>284</v>
      </c>
      <c r="I371" s="25">
        <f t="shared" si="201"/>
        <v>29</v>
      </c>
      <c r="J371" s="25">
        <v>0.32620180248716507</v>
      </c>
      <c r="K371" s="25">
        <f t="shared" si="190"/>
        <v>4.5886051469997828E-4</v>
      </c>
      <c r="L371" s="25">
        <f t="shared" si="202"/>
        <v>0.2649092665472898</v>
      </c>
      <c r="M371" s="25">
        <v>2.0822763489273501E-2</v>
      </c>
      <c r="N371" s="25">
        <v>0.58426469187721863</v>
      </c>
      <c r="O371" s="25">
        <f t="shared" si="191"/>
        <v>5.0709699729193617E-4</v>
      </c>
      <c r="P371" s="25">
        <f t="shared" si="203"/>
        <v>0.5791630570055385</v>
      </c>
      <c r="Q371" s="25">
        <v>1.50936133029227E-2</v>
      </c>
      <c r="R371" s="25">
        <v>0.63110775418850706</v>
      </c>
      <c r="S371" s="25">
        <f t="shared" si="192"/>
        <v>4.8603498286356158E-4</v>
      </c>
      <c r="T371" s="25">
        <f t="shared" si="204"/>
        <v>0.66112248419547148</v>
      </c>
      <c r="U371" s="25">
        <v>2.0754413343947099E-2</v>
      </c>
      <c r="V371" s="25">
        <v>0.36889224581149282</v>
      </c>
      <c r="W371" s="26">
        <f t="shared" si="205"/>
        <v>4.8603498286356152E-4</v>
      </c>
      <c r="X371" s="25">
        <f t="shared" si="206"/>
        <v>0.33887751580452857</v>
      </c>
      <c r="Y371" s="25">
        <v>2.0829612322057E-2</v>
      </c>
      <c r="Z371" s="25">
        <v>0.88427394772037848</v>
      </c>
      <c r="AA371" s="25">
        <f t="shared" si="207"/>
        <v>3.6160259047136336E-4</v>
      </c>
      <c r="AB371" s="25">
        <f t="shared" si="208"/>
        <v>0.75663845347848924</v>
      </c>
      <c r="AC371" s="25">
        <v>1.46586111528499E-2</v>
      </c>
      <c r="AD371" s="25">
        <v>0.92577644308693297</v>
      </c>
      <c r="AE371" s="25">
        <f t="shared" si="209"/>
        <v>3.5238164365251147E-4</v>
      </c>
      <c r="AF371" s="25">
        <f t="shared" si="210"/>
        <v>0.88472371957137097</v>
      </c>
      <c r="AG371" s="25">
        <v>7.2151586007431099E-3</v>
      </c>
    </row>
    <row r="372" spans="1:33" hidden="1" x14ac:dyDescent="0.3">
      <c r="A372" s="25">
        <v>2003</v>
      </c>
      <c r="B372" s="25" t="s">
        <v>9</v>
      </c>
      <c r="C372" s="25" t="s">
        <v>17</v>
      </c>
      <c r="D372" s="25">
        <f t="shared" si="189"/>
        <v>600</v>
      </c>
      <c r="E372" s="25">
        <v>261</v>
      </c>
      <c r="F372" s="25">
        <v>295</v>
      </c>
      <c r="G372" s="25">
        <v>312</v>
      </c>
      <c r="H372" s="25">
        <v>288</v>
      </c>
      <c r="I372" s="25">
        <f t="shared" si="201"/>
        <v>27</v>
      </c>
      <c r="J372" s="25">
        <v>0.25544642395306921</v>
      </c>
      <c r="K372" s="25">
        <f t="shared" si="190"/>
        <v>3.1751844481245085E-4</v>
      </c>
      <c r="L372" s="25">
        <f t="shared" si="202"/>
        <v>0.2649092665472898</v>
      </c>
      <c r="M372" s="25">
        <v>2.0822763489273501E-2</v>
      </c>
      <c r="N372" s="25">
        <v>0.67097675785018429</v>
      </c>
      <c r="O372" s="25">
        <f t="shared" si="191"/>
        <v>3.6855917909021609E-4</v>
      </c>
      <c r="P372" s="25">
        <f t="shared" si="203"/>
        <v>0.5791630570055385</v>
      </c>
      <c r="Q372" s="25">
        <v>1.50936133029227E-2</v>
      </c>
      <c r="R372" s="25">
        <v>0.69860519493581497</v>
      </c>
      <c r="S372" s="25">
        <f t="shared" si="192"/>
        <v>3.515124817103622E-4</v>
      </c>
      <c r="T372" s="25">
        <f t="shared" si="204"/>
        <v>0.66112248419547148</v>
      </c>
      <c r="U372" s="25">
        <v>2.0754413343947099E-2</v>
      </c>
      <c r="V372" s="25">
        <v>0.30139480506418492</v>
      </c>
      <c r="W372" s="26">
        <f t="shared" si="205"/>
        <v>3.5151248171036209E-4</v>
      </c>
      <c r="X372" s="25">
        <f t="shared" si="206"/>
        <v>0.33887751580452857</v>
      </c>
      <c r="Y372" s="25">
        <v>2.0829612322057E-2</v>
      </c>
      <c r="Z372" s="25">
        <v>0.84754753453255272</v>
      </c>
      <c r="AA372" s="25">
        <f t="shared" si="207"/>
        <v>4.5021153742280168E-4</v>
      </c>
      <c r="AB372" s="25">
        <f t="shared" si="208"/>
        <v>0.75663845347848924</v>
      </c>
      <c r="AC372" s="25">
        <v>1.46586111528499E-2</v>
      </c>
      <c r="AD372" s="25">
        <v>0.96045200166573497</v>
      </c>
      <c r="AE372" s="25">
        <f t="shared" si="209"/>
        <v>1.2213490084250162E-4</v>
      </c>
      <c r="AF372" s="25">
        <f t="shared" si="210"/>
        <v>0.88472371957137097</v>
      </c>
      <c r="AG372" s="25">
        <v>7.2151586007431099E-3</v>
      </c>
    </row>
    <row r="373" spans="1:33" hidden="1" x14ac:dyDescent="0.3">
      <c r="A373" s="25">
        <v>2004</v>
      </c>
      <c r="B373" s="25" t="s">
        <v>9</v>
      </c>
      <c r="C373" s="25" t="s">
        <v>17</v>
      </c>
      <c r="D373" s="25">
        <f t="shared" si="189"/>
        <v>684</v>
      </c>
      <c r="E373" s="25">
        <v>275</v>
      </c>
      <c r="F373" s="25">
        <v>349</v>
      </c>
      <c r="G373" s="25">
        <v>376</v>
      </c>
      <c r="H373" s="25">
        <v>308</v>
      </c>
      <c r="I373" s="25">
        <f t="shared" si="201"/>
        <v>33</v>
      </c>
      <c r="J373" s="25">
        <v>0.33256597500109236</v>
      </c>
      <c r="K373" s="25">
        <f t="shared" si="190"/>
        <v>3.2498659922791391E-4</v>
      </c>
      <c r="L373" s="25">
        <f t="shared" si="202"/>
        <v>0.2649092665472898</v>
      </c>
      <c r="M373" s="25">
        <v>2.0822763489273501E-2</v>
      </c>
      <c r="N373" s="25">
        <v>0.57075611561695194</v>
      </c>
      <c r="O373" s="25">
        <f t="shared" si="191"/>
        <v>3.587021553481706E-4</v>
      </c>
      <c r="P373" s="25">
        <f t="shared" si="203"/>
        <v>0.5791630570055385</v>
      </c>
      <c r="Q373" s="25">
        <v>1.50936133029227E-2</v>
      </c>
      <c r="R373" s="25">
        <v>0.61814602978864464</v>
      </c>
      <c r="S373" s="25">
        <f t="shared" si="192"/>
        <v>3.4559519128137732E-4</v>
      </c>
      <c r="T373" s="25">
        <f t="shared" si="204"/>
        <v>0.66112248419547148</v>
      </c>
      <c r="U373" s="25">
        <v>2.0754413343947099E-2</v>
      </c>
      <c r="V373" s="25">
        <v>0.38185397021135525</v>
      </c>
      <c r="W373" s="26">
        <f t="shared" si="205"/>
        <v>3.4559519128137727E-4</v>
      </c>
      <c r="X373" s="25">
        <f t="shared" si="206"/>
        <v>0.33887751580452857</v>
      </c>
      <c r="Y373" s="25">
        <v>2.0829612322057E-2</v>
      </c>
      <c r="Z373" s="25">
        <v>0.87092449193868005</v>
      </c>
      <c r="AA373" s="25">
        <f t="shared" si="207"/>
        <v>3.6617270775254749E-4</v>
      </c>
      <c r="AB373" s="25">
        <f t="shared" si="208"/>
        <v>0.75663845347848924</v>
      </c>
      <c r="AC373" s="25">
        <v>1.46586111528499E-2</v>
      </c>
      <c r="AD373" s="25">
        <v>0.92333540637978995</v>
      </c>
      <c r="AE373" s="25">
        <f t="shared" si="209"/>
        <v>1.8876568988068827E-4</v>
      </c>
      <c r="AF373" s="25">
        <f t="shared" si="210"/>
        <v>0.88472371957137097</v>
      </c>
      <c r="AG373" s="25">
        <v>7.2151586007431099E-3</v>
      </c>
    </row>
    <row r="374" spans="1:33" hidden="1" x14ac:dyDescent="0.3">
      <c r="A374" s="25">
        <v>2005</v>
      </c>
      <c r="B374" s="25" t="s">
        <v>9</v>
      </c>
      <c r="C374" s="25" t="s">
        <v>17</v>
      </c>
      <c r="D374" s="25">
        <f t="shared" si="189"/>
        <v>339</v>
      </c>
      <c r="E374" s="25">
        <v>81</v>
      </c>
      <c r="F374" s="25">
        <v>223</v>
      </c>
      <c r="G374" s="25">
        <v>235</v>
      </c>
      <c r="H374" s="25">
        <v>104</v>
      </c>
      <c r="I374" s="25">
        <f t="shared" si="201"/>
        <v>23</v>
      </c>
      <c r="J374" s="25">
        <v>0.17625339682525523</v>
      </c>
      <c r="K374" s="25">
        <f t="shared" si="190"/>
        <v>4.2955070098465786E-4</v>
      </c>
      <c r="L374" s="25">
        <f t="shared" si="202"/>
        <v>0.2649092665472898</v>
      </c>
      <c r="M374" s="25">
        <v>2.0822763489273501E-2</v>
      </c>
      <c r="N374" s="25">
        <v>0.7031729855896065</v>
      </c>
      <c r="O374" s="25">
        <f t="shared" si="191"/>
        <v>6.1751697611421759E-4</v>
      </c>
      <c r="P374" s="25">
        <f t="shared" si="203"/>
        <v>0.5791630570055385</v>
      </c>
      <c r="Q374" s="25">
        <v>1.50936133029227E-2</v>
      </c>
      <c r="R374" s="25">
        <v>0.75458627880400031</v>
      </c>
      <c r="S374" s="25">
        <f t="shared" si="192"/>
        <v>5.4788706107908823E-4</v>
      </c>
      <c r="T374" s="25">
        <f t="shared" si="204"/>
        <v>0.66112248419547148</v>
      </c>
      <c r="U374" s="25">
        <v>2.0754413343947099E-2</v>
      </c>
      <c r="V374" s="25">
        <v>0.24541372119599961</v>
      </c>
      <c r="W374" s="26">
        <f t="shared" si="205"/>
        <v>5.4788706107908812E-4</v>
      </c>
      <c r="X374" s="25">
        <f t="shared" si="206"/>
        <v>0.33887751580452857</v>
      </c>
      <c r="Y374" s="25">
        <v>2.0829612322057E-2</v>
      </c>
      <c r="Z374" s="25">
        <v>0.71818884439835584</v>
      </c>
      <c r="AA374" s="25">
        <f t="shared" si="207"/>
        <v>1.9649866813602917E-3</v>
      </c>
      <c r="AB374" s="25">
        <f t="shared" si="208"/>
        <v>0.75663845347848924</v>
      </c>
      <c r="AC374" s="25">
        <v>1.46586111528499E-2</v>
      </c>
      <c r="AD374" s="25">
        <v>0.93186558693343524</v>
      </c>
      <c r="AE374" s="25">
        <f t="shared" si="209"/>
        <v>2.7133382402837387E-4</v>
      </c>
      <c r="AF374" s="25">
        <f t="shared" si="210"/>
        <v>0.88472371957137097</v>
      </c>
      <c r="AG374" s="25">
        <v>7.2151586007431099E-3</v>
      </c>
    </row>
    <row r="375" spans="1:33" hidden="1" x14ac:dyDescent="0.3">
      <c r="A375" s="25">
        <v>2006</v>
      </c>
      <c r="B375" s="25" t="s">
        <v>9</v>
      </c>
      <c r="C375" s="25" t="s">
        <v>17</v>
      </c>
      <c r="D375" s="25">
        <f t="shared" si="189"/>
        <v>483</v>
      </c>
      <c r="E375" s="25">
        <v>147</v>
      </c>
      <c r="F375" s="25">
        <v>307</v>
      </c>
      <c r="G375" s="25">
        <v>317</v>
      </c>
      <c r="H375" s="25">
        <v>166</v>
      </c>
      <c r="I375" s="25">
        <f t="shared" si="201"/>
        <v>19</v>
      </c>
      <c r="J375" s="25">
        <v>0.24688238492762982</v>
      </c>
      <c r="K375" s="25">
        <f t="shared" si="190"/>
        <v>3.8574994385907771E-4</v>
      </c>
      <c r="L375" s="25">
        <f t="shared" si="202"/>
        <v>0.2649092665472898</v>
      </c>
      <c r="M375" s="25">
        <v>2.0822763489273501E-2</v>
      </c>
      <c r="N375" s="25">
        <v>0.67559070973522983</v>
      </c>
      <c r="O375" s="25">
        <f t="shared" si="191"/>
        <v>4.5470519222962292E-4</v>
      </c>
      <c r="P375" s="25">
        <f t="shared" si="203"/>
        <v>0.5791630570055385</v>
      </c>
      <c r="Q375" s="25">
        <v>1.50936133029227E-2</v>
      </c>
      <c r="R375" s="25">
        <v>0.70341932904199544</v>
      </c>
      <c r="S375" s="25">
        <f t="shared" si="192"/>
        <v>4.3282277297117093E-4</v>
      </c>
      <c r="T375" s="25">
        <f t="shared" si="204"/>
        <v>0.66112248419547148</v>
      </c>
      <c r="U375" s="25">
        <v>2.0754413343947099E-2</v>
      </c>
      <c r="V375" s="25">
        <v>0.29658067095800456</v>
      </c>
      <c r="W375" s="26">
        <f t="shared" si="205"/>
        <v>4.3282277297117093E-4</v>
      </c>
      <c r="X375" s="25">
        <f t="shared" si="206"/>
        <v>0.33887751580452857</v>
      </c>
      <c r="Y375" s="25">
        <v>2.0829612322057E-2</v>
      </c>
      <c r="Z375" s="25">
        <v>0.83242911323303315</v>
      </c>
      <c r="AA375" s="25">
        <f t="shared" si="207"/>
        <v>8.4539930106120747E-4</v>
      </c>
      <c r="AB375" s="25">
        <f t="shared" si="208"/>
        <v>0.75663845347848924</v>
      </c>
      <c r="AC375" s="25">
        <v>1.46586111528499E-2</v>
      </c>
      <c r="AD375" s="25">
        <v>0.96043807987951357</v>
      </c>
      <c r="AE375" s="25">
        <f t="shared" si="209"/>
        <v>1.2024295758502113E-4</v>
      </c>
      <c r="AF375" s="25">
        <f t="shared" si="210"/>
        <v>0.88472371957137097</v>
      </c>
      <c r="AG375" s="25">
        <v>7.2151586007431099E-3</v>
      </c>
    </row>
    <row r="376" spans="1:33" hidden="1" x14ac:dyDescent="0.3">
      <c r="A376" s="25">
        <v>2007</v>
      </c>
      <c r="B376" s="25" t="s">
        <v>9</v>
      </c>
      <c r="C376" s="25" t="s">
        <v>17</v>
      </c>
      <c r="D376" s="25">
        <f t="shared" si="189"/>
        <v>618</v>
      </c>
      <c r="E376" s="25">
        <v>167</v>
      </c>
      <c r="F376" s="25">
        <v>431</v>
      </c>
      <c r="G376" s="25">
        <v>439</v>
      </c>
      <c r="H376" s="25">
        <v>179</v>
      </c>
      <c r="I376" s="25">
        <f t="shared" si="201"/>
        <v>12</v>
      </c>
      <c r="J376" s="25">
        <v>0.25881950286585453</v>
      </c>
      <c r="K376" s="25">
        <f t="shared" si="190"/>
        <v>3.1091080681057767E-4</v>
      </c>
      <c r="L376" s="25">
        <f t="shared" si="202"/>
        <v>0.2649092665472898</v>
      </c>
      <c r="M376" s="25">
        <v>2.0822763489273501E-2</v>
      </c>
      <c r="N376" s="25">
        <v>0.70053873846151304</v>
      </c>
      <c r="O376" s="25">
        <f t="shared" si="191"/>
        <v>3.4000683043154759E-4</v>
      </c>
      <c r="P376" s="25">
        <f t="shared" si="203"/>
        <v>0.5791630570055385</v>
      </c>
      <c r="Q376" s="25">
        <v>1.50936133029227E-2</v>
      </c>
      <c r="R376" s="25">
        <v>0.7167954419305661</v>
      </c>
      <c r="S376" s="25">
        <f t="shared" si="192"/>
        <v>3.2901091792241578E-4</v>
      </c>
      <c r="T376" s="25">
        <f t="shared" si="204"/>
        <v>0.66112248419547148</v>
      </c>
      <c r="U376" s="25">
        <v>2.0754413343947099E-2</v>
      </c>
      <c r="V376" s="25">
        <v>0.28320455806943401</v>
      </c>
      <c r="W376" s="26">
        <f t="shared" si="205"/>
        <v>3.2901091792241589E-4</v>
      </c>
      <c r="X376" s="25">
        <f t="shared" si="206"/>
        <v>0.33887751580452857</v>
      </c>
      <c r="Y376" s="25">
        <v>2.0829612322057E-2</v>
      </c>
      <c r="Z376" s="25">
        <v>0.91389596491734093</v>
      </c>
      <c r="AA376" s="25">
        <f t="shared" si="207"/>
        <v>4.4207938328732186E-4</v>
      </c>
      <c r="AB376" s="25">
        <f t="shared" si="208"/>
        <v>0.75663845347848924</v>
      </c>
      <c r="AC376" s="25">
        <v>1.46586111528499E-2</v>
      </c>
      <c r="AD376" s="25">
        <v>0.97732030295105066</v>
      </c>
      <c r="AE376" s="25">
        <f t="shared" si="209"/>
        <v>5.0605772581546163E-5</v>
      </c>
      <c r="AF376" s="25">
        <f t="shared" si="210"/>
        <v>0.88472371957137097</v>
      </c>
      <c r="AG376" s="25">
        <v>7.2151586007431099E-3</v>
      </c>
    </row>
    <row r="377" spans="1:33" hidden="1" x14ac:dyDescent="0.3">
      <c r="A377" s="25">
        <v>2008</v>
      </c>
      <c r="B377" s="25" t="s">
        <v>9</v>
      </c>
      <c r="C377" s="25" t="s">
        <v>17</v>
      </c>
      <c r="D377" s="25">
        <f t="shared" si="189"/>
        <v>568</v>
      </c>
      <c r="E377" s="25">
        <v>181</v>
      </c>
      <c r="F377" s="25">
        <v>342</v>
      </c>
      <c r="G377" s="25">
        <v>360</v>
      </c>
      <c r="H377" s="25">
        <v>208</v>
      </c>
      <c r="I377" s="25">
        <f t="shared" si="201"/>
        <v>27</v>
      </c>
      <c r="J377" s="25">
        <v>0.21655648618549947</v>
      </c>
      <c r="K377" s="25">
        <f t="shared" si="190"/>
        <v>2.9922358814195597E-4</v>
      </c>
      <c r="L377" s="25">
        <f t="shared" si="202"/>
        <v>0.2649092665472898</v>
      </c>
      <c r="M377" s="25">
        <v>2.0822763489273501E-2</v>
      </c>
      <c r="N377" s="25">
        <v>0.66857283829788905</v>
      </c>
      <c r="O377" s="25">
        <f t="shared" si="191"/>
        <v>3.9079929133720235E-4</v>
      </c>
      <c r="P377" s="25">
        <f t="shared" si="203"/>
        <v>0.5791630570055385</v>
      </c>
      <c r="Q377" s="25">
        <v>1.50936133029227E-2</v>
      </c>
      <c r="R377" s="25">
        <v>0.72154971905419885</v>
      </c>
      <c r="S377" s="25">
        <f t="shared" si="192"/>
        <v>3.5434871602646483E-4</v>
      </c>
      <c r="T377" s="25">
        <f t="shared" si="204"/>
        <v>0.66112248419547148</v>
      </c>
      <c r="U377" s="25">
        <v>2.0754413343947099E-2</v>
      </c>
      <c r="V377" s="25">
        <v>0.2784502809458011</v>
      </c>
      <c r="W377" s="26">
        <f t="shared" si="205"/>
        <v>3.5434871602646478E-4</v>
      </c>
      <c r="X377" s="25">
        <f t="shared" si="206"/>
        <v>0.33887751580452857</v>
      </c>
      <c r="Y377" s="25">
        <v>2.0829612322057E-2</v>
      </c>
      <c r="Z377" s="25">
        <v>0.77772048011562622</v>
      </c>
      <c r="AA377" s="25">
        <f t="shared" si="207"/>
        <v>8.351272218567442E-4</v>
      </c>
      <c r="AB377" s="25">
        <f t="shared" si="208"/>
        <v>0.75663845347848924</v>
      </c>
      <c r="AC377" s="25">
        <v>1.46586111528499E-2</v>
      </c>
      <c r="AD377" s="25">
        <v>0.92657902933459457</v>
      </c>
      <c r="AE377" s="25">
        <f t="shared" si="209"/>
        <v>1.8949953128678302E-4</v>
      </c>
      <c r="AF377" s="25">
        <f t="shared" si="210"/>
        <v>0.88472371957137097</v>
      </c>
      <c r="AG377" s="25">
        <v>7.2151586007431099E-3</v>
      </c>
    </row>
    <row r="378" spans="1:33" hidden="1" x14ac:dyDescent="0.3">
      <c r="A378" s="25">
        <v>2009</v>
      </c>
      <c r="B378" s="25" t="s">
        <v>9</v>
      </c>
      <c r="C378" s="25" t="s">
        <v>17</v>
      </c>
      <c r="D378" s="25">
        <f t="shared" si="189"/>
        <v>1111</v>
      </c>
      <c r="E378" s="25">
        <v>269</v>
      </c>
      <c r="F378" s="25">
        <v>654</v>
      </c>
      <c r="G378" s="25">
        <v>783</v>
      </c>
      <c r="H378" s="25">
        <v>328</v>
      </c>
      <c r="I378" s="25">
        <f t="shared" si="201"/>
        <v>59</v>
      </c>
      <c r="J378" s="25">
        <v>0.20767242640685613</v>
      </c>
      <c r="K378" s="25">
        <f t="shared" si="190"/>
        <v>1.4823836911454511E-4</v>
      </c>
      <c r="L378" s="25">
        <f t="shared" si="202"/>
        <v>0.2649092665472898</v>
      </c>
      <c r="M378" s="25">
        <v>2.0822763489273501E-2</v>
      </c>
      <c r="N378" s="25">
        <v>0.6062285220955036</v>
      </c>
      <c r="O378" s="25">
        <f t="shared" si="191"/>
        <v>2.1505900999405867E-4</v>
      </c>
      <c r="P378" s="25">
        <f t="shared" si="203"/>
        <v>0.5791630570055385</v>
      </c>
      <c r="Q378" s="25">
        <v>1.50936133029227E-2</v>
      </c>
      <c r="R378" s="25">
        <v>0.73924642070133617</v>
      </c>
      <c r="S378" s="25">
        <f t="shared" si="192"/>
        <v>1.7365869385729663E-4</v>
      </c>
      <c r="T378" s="25">
        <f t="shared" si="204"/>
        <v>0.66112248419547148</v>
      </c>
      <c r="U378" s="25">
        <v>2.0754413343947099E-2</v>
      </c>
      <c r="V378" s="25">
        <v>0.26075357929866377</v>
      </c>
      <c r="W378" s="26">
        <f t="shared" si="205"/>
        <v>1.7365869385729663E-4</v>
      </c>
      <c r="X378" s="25">
        <f t="shared" si="206"/>
        <v>0.33887751580452857</v>
      </c>
      <c r="Y378" s="25">
        <v>2.0829612322057E-2</v>
      </c>
      <c r="Z378" s="25">
        <v>0.79643173821591462</v>
      </c>
      <c r="AA378" s="25">
        <f t="shared" si="207"/>
        <v>4.9580496812933166E-4</v>
      </c>
      <c r="AB378" s="25">
        <f t="shared" si="208"/>
        <v>0.75663845347848924</v>
      </c>
      <c r="AC378" s="25">
        <v>1.46586111528499E-2</v>
      </c>
      <c r="AD378" s="25">
        <v>0.82006284388954342</v>
      </c>
      <c r="AE378" s="25">
        <f t="shared" si="209"/>
        <v>1.8869536567946006E-4</v>
      </c>
      <c r="AF378" s="25">
        <f t="shared" si="210"/>
        <v>0.88472371957137097</v>
      </c>
      <c r="AG378" s="25">
        <v>7.2151586007431099E-3</v>
      </c>
    </row>
    <row r="379" spans="1:33" hidden="1" x14ac:dyDescent="0.3">
      <c r="A379" s="25">
        <v>2010</v>
      </c>
      <c r="B379" s="25" t="s">
        <v>9</v>
      </c>
      <c r="C379" s="25" t="s">
        <v>17</v>
      </c>
      <c r="D379" s="25">
        <f t="shared" si="189"/>
        <v>766</v>
      </c>
      <c r="E379" s="25">
        <v>262</v>
      </c>
      <c r="F379" s="25">
        <v>425</v>
      </c>
      <c r="G379" s="25">
        <v>466</v>
      </c>
      <c r="H379" s="25">
        <v>300</v>
      </c>
      <c r="I379" s="25">
        <f t="shared" si="201"/>
        <v>38</v>
      </c>
      <c r="J379" s="25">
        <v>0.30785173833951557</v>
      </c>
      <c r="K379" s="25">
        <f t="shared" si="190"/>
        <v>2.785347000534039E-4</v>
      </c>
      <c r="L379" s="25">
        <f t="shared" si="202"/>
        <v>0.2649092665472898</v>
      </c>
      <c r="M379" s="25">
        <v>2.0822763489273501E-2</v>
      </c>
      <c r="N379" s="25">
        <v>0.57351914014594296</v>
      </c>
      <c r="O379" s="25">
        <f t="shared" si="191"/>
        <v>3.1973194252575321E-4</v>
      </c>
      <c r="P379" s="25">
        <f t="shared" si="203"/>
        <v>0.5791630570055385</v>
      </c>
      <c r="Q379" s="25">
        <v>1.50936133029227E-2</v>
      </c>
      <c r="R379" s="25">
        <v>0.64027176060614455</v>
      </c>
      <c r="S379" s="25">
        <f t="shared" si="192"/>
        <v>3.0107690611300977E-4</v>
      </c>
      <c r="T379" s="25">
        <f t="shared" si="204"/>
        <v>0.66112248419547148</v>
      </c>
      <c r="U379" s="25">
        <v>2.0754413343947099E-2</v>
      </c>
      <c r="V379" s="25">
        <v>0.35972823939385545</v>
      </c>
      <c r="W379" s="26">
        <f t="shared" si="205"/>
        <v>3.0107690611300977E-4</v>
      </c>
      <c r="X379" s="25">
        <f t="shared" si="206"/>
        <v>0.33887751580452857</v>
      </c>
      <c r="Y379" s="25">
        <v>2.0829612322057E-2</v>
      </c>
      <c r="Z379" s="25">
        <v>0.85578974522058027</v>
      </c>
      <c r="AA379" s="25">
        <f t="shared" si="207"/>
        <v>4.1275470634071767E-4</v>
      </c>
      <c r="AB379" s="25">
        <f t="shared" si="208"/>
        <v>0.75663845347848924</v>
      </c>
      <c r="AC379" s="25">
        <v>1.46586111528499E-2</v>
      </c>
      <c r="AD379" s="25">
        <v>0.89574330063064633</v>
      </c>
      <c r="AE379" s="25">
        <f t="shared" si="209"/>
        <v>2.0083277420636963E-4</v>
      </c>
      <c r="AF379" s="25">
        <f t="shared" si="210"/>
        <v>0.88472371957137097</v>
      </c>
      <c r="AG379" s="25">
        <v>7.2151586007431099E-3</v>
      </c>
    </row>
    <row r="380" spans="1:33" hidden="1" x14ac:dyDescent="0.3">
      <c r="A380" s="25">
        <v>2011</v>
      </c>
      <c r="B380" s="25" t="s">
        <v>9</v>
      </c>
      <c r="C380" s="25" t="s">
        <v>17</v>
      </c>
      <c r="D380" s="25">
        <f t="shared" si="189"/>
        <v>749</v>
      </c>
      <c r="E380" s="25">
        <v>158</v>
      </c>
      <c r="F380" s="25">
        <v>515</v>
      </c>
      <c r="G380" s="25">
        <v>552</v>
      </c>
      <c r="H380" s="25">
        <v>197</v>
      </c>
      <c r="I380" s="25">
        <f t="shared" si="201"/>
        <v>39</v>
      </c>
      <c r="J380" s="25">
        <v>0.20302477408593703</v>
      </c>
      <c r="K380" s="25">
        <f t="shared" si="190"/>
        <v>2.1631780106054981E-4</v>
      </c>
      <c r="L380" s="25">
        <f t="shared" si="202"/>
        <v>0.2649092665472898</v>
      </c>
      <c r="M380" s="25">
        <v>2.0822763489273501E-2</v>
      </c>
      <c r="N380" s="25">
        <v>0.69439546284412557</v>
      </c>
      <c r="O380" s="25">
        <f t="shared" si="191"/>
        <v>2.8370374869735054E-4</v>
      </c>
      <c r="P380" s="25">
        <f t="shared" si="203"/>
        <v>0.5791630570055385</v>
      </c>
      <c r="Q380" s="25">
        <v>1.50936133029227E-2</v>
      </c>
      <c r="R380" s="25">
        <v>0.75061009467217443</v>
      </c>
      <c r="S380" s="25">
        <f t="shared" si="192"/>
        <v>2.5026013428930985E-4</v>
      </c>
      <c r="T380" s="25">
        <f t="shared" si="204"/>
        <v>0.66112248419547148</v>
      </c>
      <c r="U380" s="25">
        <v>2.0754413343947099E-2</v>
      </c>
      <c r="V380" s="25">
        <v>0.24938990532782557</v>
      </c>
      <c r="W380" s="26">
        <f t="shared" si="205"/>
        <v>2.5026013428930985E-4</v>
      </c>
      <c r="X380" s="25">
        <f t="shared" si="206"/>
        <v>0.33887751580452857</v>
      </c>
      <c r="Y380" s="25">
        <v>2.0829612322057E-2</v>
      </c>
      <c r="Z380" s="25">
        <v>0.81408577391718751</v>
      </c>
      <c r="AA380" s="25">
        <f t="shared" si="207"/>
        <v>7.7219452358592529E-4</v>
      </c>
      <c r="AB380" s="25">
        <f t="shared" si="208"/>
        <v>0.75663845347848924</v>
      </c>
      <c r="AC380" s="25">
        <v>1.46586111528499E-2</v>
      </c>
      <c r="AD380" s="25">
        <v>0.92510807911183202</v>
      </c>
      <c r="AE380" s="25">
        <f t="shared" si="209"/>
        <v>1.2574069160408054E-4</v>
      </c>
      <c r="AF380" s="25">
        <f t="shared" si="210"/>
        <v>0.88472371957137097</v>
      </c>
      <c r="AG380" s="25">
        <v>7.2151586007431099E-3</v>
      </c>
    </row>
    <row r="381" spans="1:33" hidden="1" x14ac:dyDescent="0.3">
      <c r="A381" s="25">
        <v>2012</v>
      </c>
      <c r="B381" s="25" t="s">
        <v>9</v>
      </c>
      <c r="C381" s="25" t="s">
        <v>17</v>
      </c>
      <c r="D381" s="25">
        <f t="shared" si="189"/>
        <v>889</v>
      </c>
      <c r="E381" s="25">
        <v>243</v>
      </c>
      <c r="F381" s="25">
        <v>490</v>
      </c>
      <c r="G381" s="25">
        <v>564</v>
      </c>
      <c r="H381" s="25">
        <v>325</v>
      </c>
      <c r="I381" s="25">
        <f t="shared" si="201"/>
        <v>82</v>
      </c>
      <c r="J381" s="25">
        <v>0.23933120207139066</v>
      </c>
      <c r="K381" s="25">
        <f t="shared" si="190"/>
        <v>2.0501326327303357E-4</v>
      </c>
      <c r="L381" s="25">
        <f t="shared" si="202"/>
        <v>0.2649092665472898</v>
      </c>
      <c r="M381" s="25">
        <v>2.0822763489273501E-2</v>
      </c>
      <c r="N381" s="25">
        <v>0.55393417114243337</v>
      </c>
      <c r="O381" s="25">
        <f t="shared" si="191"/>
        <v>2.7825574908015618E-4</v>
      </c>
      <c r="P381" s="25">
        <f t="shared" si="203"/>
        <v>0.5791630570055385</v>
      </c>
      <c r="Q381" s="25">
        <v>1.50936133029227E-2</v>
      </c>
      <c r="R381" s="25">
        <v>0.66322725387170833</v>
      </c>
      <c r="S381" s="25">
        <f t="shared" si="192"/>
        <v>2.515279995422307E-4</v>
      </c>
      <c r="T381" s="25">
        <f t="shared" si="204"/>
        <v>0.66112248419547148</v>
      </c>
      <c r="U381" s="25">
        <v>2.0754413343947099E-2</v>
      </c>
      <c r="V381" s="25">
        <v>0.33677274612829167</v>
      </c>
      <c r="W381" s="26">
        <f t="shared" si="205"/>
        <v>2.515279995422307E-4</v>
      </c>
      <c r="X381" s="25">
        <f t="shared" si="206"/>
        <v>0.33887751580452857</v>
      </c>
      <c r="Y381" s="25">
        <v>2.0829612322057E-2</v>
      </c>
      <c r="Z381" s="25">
        <v>0.71066083827406501</v>
      </c>
      <c r="AA381" s="25">
        <f t="shared" si="207"/>
        <v>6.3463583709156863E-4</v>
      </c>
      <c r="AB381" s="25">
        <f t="shared" si="208"/>
        <v>0.75663845347848924</v>
      </c>
      <c r="AC381" s="25">
        <v>1.46586111528499E-2</v>
      </c>
      <c r="AD381" s="25">
        <v>0.83521020571567739</v>
      </c>
      <c r="AE381" s="25">
        <f t="shared" si="209"/>
        <v>2.4446557368393117E-4</v>
      </c>
      <c r="AF381" s="25">
        <f t="shared" si="210"/>
        <v>0.88472371957137097</v>
      </c>
      <c r="AG381" s="25">
        <v>7.2151586007431099E-3</v>
      </c>
    </row>
    <row r="382" spans="1:33" hidden="1" x14ac:dyDescent="0.3">
      <c r="A382" s="25">
        <v>2013</v>
      </c>
      <c r="B382" s="25" t="s">
        <v>9</v>
      </c>
      <c r="C382" s="25" t="s">
        <v>17</v>
      </c>
      <c r="D382" s="25">
        <f t="shared" ref="D382:D457" si="211">G382+H382</f>
        <v>892</v>
      </c>
      <c r="E382" s="25">
        <v>223</v>
      </c>
      <c r="F382" s="25">
        <v>492</v>
      </c>
      <c r="G382" s="25">
        <v>596</v>
      </c>
      <c r="H382" s="25">
        <v>296</v>
      </c>
      <c r="I382" s="25">
        <f t="shared" si="201"/>
        <v>73</v>
      </c>
      <c r="J382" s="25">
        <v>0.18220069612606102</v>
      </c>
      <c r="K382" s="25">
        <f t="shared" si="190"/>
        <v>1.6723187705638585E-4</v>
      </c>
      <c r="L382" s="25">
        <f t="shared" si="202"/>
        <v>0.2649092665472898</v>
      </c>
      <c r="M382" s="25">
        <v>2.0822763489273501E-2</v>
      </c>
      <c r="N382" s="25">
        <v>0.51736452221997598</v>
      </c>
      <c r="O382" s="25">
        <f t="shared" si="191"/>
        <v>2.8024520018863296E-4</v>
      </c>
      <c r="P382" s="25">
        <f t="shared" si="203"/>
        <v>0.5791630570055385</v>
      </c>
      <c r="Q382" s="25">
        <v>1.50936133029227E-2</v>
      </c>
      <c r="R382" s="25">
        <v>0.72886117956878382</v>
      </c>
      <c r="S382" s="25">
        <f t="shared" si="192"/>
        <v>2.2179860885116148E-4</v>
      </c>
      <c r="T382" s="25">
        <f t="shared" si="204"/>
        <v>0.66112248419547148</v>
      </c>
      <c r="U382" s="25">
        <v>2.0754413343947099E-2</v>
      </c>
      <c r="V382" s="25">
        <v>0.2711388204312164</v>
      </c>
      <c r="W382" s="26">
        <f t="shared" si="205"/>
        <v>2.2179860885116159E-4</v>
      </c>
      <c r="X382" s="25">
        <f t="shared" si="206"/>
        <v>0.33887751580452857</v>
      </c>
      <c r="Y382" s="25">
        <v>2.0829612322057E-2</v>
      </c>
      <c r="Z382" s="25">
        <v>0.67198306696286025</v>
      </c>
      <c r="AA382" s="25">
        <f t="shared" si="207"/>
        <v>7.4719262602728246E-4</v>
      </c>
      <c r="AB382" s="25">
        <f t="shared" si="208"/>
        <v>0.75663845347848924</v>
      </c>
      <c r="AC382" s="25">
        <v>1.46586111528499E-2</v>
      </c>
      <c r="AD382" s="25">
        <v>0.70982587181562395</v>
      </c>
      <c r="AE382" s="25">
        <f t="shared" si="209"/>
        <v>3.46173283221535E-4</v>
      </c>
      <c r="AF382" s="25">
        <f t="shared" si="210"/>
        <v>0.88472371957137097</v>
      </c>
      <c r="AG382" s="25">
        <v>7.2151586007431099E-3</v>
      </c>
    </row>
    <row r="383" spans="1:33" hidden="1" x14ac:dyDescent="0.3">
      <c r="A383" s="25">
        <v>2014</v>
      </c>
      <c r="B383" s="25" t="s">
        <v>9</v>
      </c>
      <c r="C383" s="25" t="s">
        <v>17</v>
      </c>
      <c r="D383" s="25">
        <f t="shared" si="211"/>
        <v>1235</v>
      </c>
      <c r="E383" s="25">
        <v>164</v>
      </c>
      <c r="F383" s="25">
        <v>789</v>
      </c>
      <c r="G383" s="25">
        <v>976</v>
      </c>
      <c r="H383" s="25">
        <v>259</v>
      </c>
      <c r="I383" s="25">
        <f t="shared" si="201"/>
        <v>95</v>
      </c>
      <c r="J383" s="25">
        <v>0.12728360931710264</v>
      </c>
      <c r="K383" s="25">
        <f t="shared" si="190"/>
        <v>9.0018226998633572E-5</v>
      </c>
      <c r="L383" s="25">
        <f t="shared" si="202"/>
        <v>0.2649092665472898</v>
      </c>
      <c r="M383" s="25">
        <v>2.0822763489273501E-2</v>
      </c>
      <c r="N383" s="25">
        <v>0.59862884504606129</v>
      </c>
      <c r="O383" s="25">
        <f t="shared" si="191"/>
        <v>1.9471017092777959E-4</v>
      </c>
      <c r="P383" s="25">
        <f t="shared" si="203"/>
        <v>0.5791630570055385</v>
      </c>
      <c r="Q383" s="25">
        <v>1.50936133029227E-2</v>
      </c>
      <c r="R383" s="25">
        <v>0.79021992545434083</v>
      </c>
      <c r="S383" s="25">
        <f t="shared" si="192"/>
        <v>1.343374350642438E-4</v>
      </c>
      <c r="T383" s="25">
        <f t="shared" si="204"/>
        <v>0.66112248419547148</v>
      </c>
      <c r="U383" s="25">
        <v>2.0754413343947099E-2</v>
      </c>
      <c r="V383" s="25">
        <v>0.20978007454565911</v>
      </c>
      <c r="W383" s="26">
        <f t="shared" si="205"/>
        <v>1.343374350642438E-4</v>
      </c>
      <c r="X383" s="25">
        <f t="shared" si="206"/>
        <v>0.33887751580452857</v>
      </c>
      <c r="Y383" s="25">
        <v>2.0829612322057E-2</v>
      </c>
      <c r="Z383" s="25">
        <v>0.60674785054192115</v>
      </c>
      <c r="AA383" s="25">
        <f t="shared" si="207"/>
        <v>9.2482517986309945E-4</v>
      </c>
      <c r="AB383" s="25">
        <f t="shared" si="208"/>
        <v>0.75663845347848924</v>
      </c>
      <c r="AC383" s="25">
        <v>1.46586111528499E-2</v>
      </c>
      <c r="AD383" s="25">
        <v>0.75754714069235429</v>
      </c>
      <c r="AE383" s="25">
        <f t="shared" si="209"/>
        <v>1.8837894391917197E-4</v>
      </c>
      <c r="AF383" s="25">
        <f t="shared" si="210"/>
        <v>0.88472371957137097</v>
      </c>
      <c r="AG383" s="25">
        <v>7.2151586007431099E-3</v>
      </c>
    </row>
    <row r="384" spans="1:33" hidden="1" x14ac:dyDescent="0.3">
      <c r="A384" s="25">
        <v>2015</v>
      </c>
      <c r="B384" s="25" t="s">
        <v>9</v>
      </c>
      <c r="C384" s="25" t="s">
        <v>17</v>
      </c>
      <c r="D384" s="25">
        <f t="shared" si="211"/>
        <v>1205</v>
      </c>
      <c r="E384" s="25">
        <v>210</v>
      </c>
      <c r="F384" s="25">
        <v>810</v>
      </c>
      <c r="G384" s="25">
        <v>902</v>
      </c>
      <c r="H384" s="25">
        <v>303</v>
      </c>
      <c r="I384" s="25">
        <f t="shared" si="201"/>
        <v>93</v>
      </c>
      <c r="J384" s="25">
        <v>0.1430474182138152</v>
      </c>
      <c r="K384" s="25">
        <f t="shared" si="190"/>
        <v>1.0181466308652579E-4</v>
      </c>
      <c r="L384" s="25">
        <f t="shared" si="202"/>
        <v>0.2649092665472898</v>
      </c>
      <c r="M384" s="25">
        <v>2.0822763489273501E-2</v>
      </c>
      <c r="N384" s="25">
        <v>0.50562153321352832</v>
      </c>
      <c r="O384" s="25">
        <f t="shared" si="191"/>
        <v>2.0761494880758237E-4</v>
      </c>
      <c r="P384" s="25">
        <f t="shared" si="203"/>
        <v>0.5791630570055385</v>
      </c>
      <c r="Q384" s="25">
        <v>1.50936133029227E-2</v>
      </c>
      <c r="R384" s="25">
        <v>0.72395933257395695</v>
      </c>
      <c r="S384" s="25">
        <f t="shared" si="192"/>
        <v>1.6598190810052137E-4</v>
      </c>
      <c r="T384" s="25">
        <f t="shared" si="204"/>
        <v>0.66112248419547148</v>
      </c>
      <c r="U384" s="25">
        <v>2.0754413343947099E-2</v>
      </c>
      <c r="V384" s="25">
        <v>0.276040667426043</v>
      </c>
      <c r="W384" s="26">
        <f t="shared" si="205"/>
        <v>1.6598190810052137E-4</v>
      </c>
      <c r="X384" s="25">
        <f t="shared" si="206"/>
        <v>0.33887751580452857</v>
      </c>
      <c r="Y384" s="25">
        <v>2.0829612322057E-2</v>
      </c>
      <c r="Z384" s="25">
        <v>0.51821139090724933</v>
      </c>
      <c r="AA384" s="25">
        <f t="shared" si="207"/>
        <v>8.2671637497093832E-4</v>
      </c>
      <c r="AB384" s="25">
        <f t="shared" si="208"/>
        <v>0.75663845347848924</v>
      </c>
      <c r="AC384" s="25">
        <v>1.46586111528499E-2</v>
      </c>
      <c r="AD384" s="25">
        <v>0.69841151355262887</v>
      </c>
      <c r="AE384" s="25">
        <f t="shared" si="209"/>
        <v>2.3377677168674247E-4</v>
      </c>
      <c r="AF384" s="25">
        <f t="shared" si="210"/>
        <v>0.88472371957137097</v>
      </c>
      <c r="AG384" s="25">
        <v>7.2151586007431099E-3</v>
      </c>
    </row>
    <row r="385" spans="1:33" hidden="1" x14ac:dyDescent="0.3">
      <c r="A385" s="25">
        <v>2016</v>
      </c>
      <c r="B385" s="25" t="s">
        <v>9</v>
      </c>
      <c r="C385" s="25" t="s">
        <v>17</v>
      </c>
      <c r="D385" s="25">
        <f t="shared" si="211"/>
        <v>1103</v>
      </c>
      <c r="E385" s="25">
        <v>209</v>
      </c>
      <c r="F385" s="25">
        <v>742</v>
      </c>
      <c r="G385" s="25">
        <v>829</v>
      </c>
      <c r="H385" s="25">
        <v>274</v>
      </c>
      <c r="I385" s="25">
        <f t="shared" si="201"/>
        <v>65</v>
      </c>
      <c r="J385" s="25">
        <v>0.18610743301434057</v>
      </c>
      <c r="K385" s="25">
        <f t="shared" si="190"/>
        <v>1.3745141233316996E-4</v>
      </c>
      <c r="L385" s="25">
        <f t="shared" si="202"/>
        <v>0.2649092665472898</v>
      </c>
      <c r="M385" s="25">
        <v>2.0822763489273501E-2</v>
      </c>
      <c r="N385" s="25">
        <v>0.62327207573779841</v>
      </c>
      <c r="O385" s="25">
        <f t="shared" si="191"/>
        <v>2.1307077617358847E-4</v>
      </c>
      <c r="P385" s="25">
        <f t="shared" si="203"/>
        <v>0.5791630570055385</v>
      </c>
      <c r="Q385" s="25">
        <v>1.50936133029227E-2</v>
      </c>
      <c r="R385" s="25">
        <v>0.72743225612945817</v>
      </c>
      <c r="S385" s="25">
        <f t="shared" si="192"/>
        <v>1.7992247629025821E-4</v>
      </c>
      <c r="T385" s="25">
        <f t="shared" si="204"/>
        <v>0.66112248419547148</v>
      </c>
      <c r="U385" s="25">
        <v>2.0754413343947099E-2</v>
      </c>
      <c r="V385" s="25">
        <v>0.27256774387054183</v>
      </c>
      <c r="W385" s="26">
        <f t="shared" si="205"/>
        <v>1.7992247629025821E-4</v>
      </c>
      <c r="X385" s="25">
        <f t="shared" si="206"/>
        <v>0.33887751580452857</v>
      </c>
      <c r="Y385" s="25">
        <v>2.0829612322057E-2</v>
      </c>
      <c r="Z385" s="25">
        <v>0.6827933135871489</v>
      </c>
      <c r="AA385" s="25">
        <f t="shared" si="207"/>
        <v>7.9335752566970781E-4</v>
      </c>
      <c r="AB385" s="25">
        <f t="shared" si="208"/>
        <v>0.75663845347848924</v>
      </c>
      <c r="AC385" s="25">
        <v>1.46586111528499E-2</v>
      </c>
      <c r="AD385" s="25">
        <v>0.85681116074522434</v>
      </c>
      <c r="AE385" s="25">
        <f t="shared" si="209"/>
        <v>1.4817125068556242E-4</v>
      </c>
      <c r="AF385" s="25">
        <f t="shared" si="210"/>
        <v>0.88472371957137097</v>
      </c>
      <c r="AG385" s="25">
        <v>7.2151586007431099E-3</v>
      </c>
    </row>
    <row r="386" spans="1:33" hidden="1" x14ac:dyDescent="0.3">
      <c r="A386" s="25">
        <v>2017</v>
      </c>
      <c r="B386" s="25" t="s">
        <v>9</v>
      </c>
      <c r="C386" s="25" t="s">
        <v>17</v>
      </c>
      <c r="D386" s="25">
        <f t="shared" si="211"/>
        <v>835</v>
      </c>
      <c r="E386" s="25">
        <v>106</v>
      </c>
      <c r="F386" s="25">
        <v>579</v>
      </c>
      <c r="G386" s="25">
        <v>638</v>
      </c>
      <c r="H386" s="25">
        <v>197</v>
      </c>
      <c r="I386" s="25">
        <f t="shared" si="201"/>
        <v>91</v>
      </c>
      <c r="J386" s="25">
        <v>0.14430339955178659</v>
      </c>
      <c r="K386" s="25">
        <f t="shared" si="190"/>
        <v>1.4805746814098805E-4</v>
      </c>
      <c r="L386" s="25">
        <f t="shared" si="202"/>
        <v>0.2649092665472898</v>
      </c>
      <c r="M386" s="25">
        <v>2.0822763489273501E-2</v>
      </c>
      <c r="N386" s="25">
        <v>0.6476297990304577</v>
      </c>
      <c r="O386" s="25">
        <f t="shared" si="191"/>
        <v>2.7362762882281373E-4</v>
      </c>
      <c r="P386" s="25">
        <f t="shared" si="203"/>
        <v>0.5791630570055385</v>
      </c>
      <c r="Q386" s="25">
        <v>1.50936133029227E-2</v>
      </c>
      <c r="R386" s="25">
        <v>0.74526035873111296</v>
      </c>
      <c r="S386" s="25">
        <f t="shared" si="192"/>
        <v>2.2763471994614604E-4</v>
      </c>
      <c r="T386" s="25">
        <f t="shared" si="204"/>
        <v>0.66112248419547148</v>
      </c>
      <c r="U386" s="25">
        <v>2.0754413343947099E-2</v>
      </c>
      <c r="V386" s="25">
        <v>0.25473964126888715</v>
      </c>
      <c r="W386" s="26">
        <f t="shared" si="205"/>
        <v>2.276347199461461E-4</v>
      </c>
      <c r="X386" s="25">
        <f t="shared" si="206"/>
        <v>0.33887751580452857</v>
      </c>
      <c r="Y386" s="25">
        <v>2.0829612322057E-2</v>
      </c>
      <c r="Z386" s="25">
        <v>0.56647406282349666</v>
      </c>
      <c r="AA386" s="25">
        <f t="shared" si="207"/>
        <v>1.2529653008762135E-3</v>
      </c>
      <c r="AB386" s="25">
        <f t="shared" si="208"/>
        <v>0.75663845347848924</v>
      </c>
      <c r="AC386" s="25">
        <v>1.46586111528499E-2</v>
      </c>
      <c r="AD386" s="25">
        <v>0.86899805073909753</v>
      </c>
      <c r="AE386" s="25">
        <f t="shared" si="209"/>
        <v>1.7871340431828322E-4</v>
      </c>
      <c r="AF386" s="25">
        <f t="shared" si="210"/>
        <v>0.88472371957137097</v>
      </c>
      <c r="AG386" s="25">
        <v>7.2151586007431099E-3</v>
      </c>
    </row>
    <row r="387" spans="1:33" hidden="1" x14ac:dyDescent="0.3">
      <c r="A387" s="25">
        <v>2018</v>
      </c>
      <c r="B387" s="25" t="s">
        <v>9</v>
      </c>
      <c r="C387" s="25" t="s">
        <v>17</v>
      </c>
      <c r="D387" s="25">
        <f t="shared" si="211"/>
        <v>841</v>
      </c>
      <c r="E387" s="25">
        <v>130</v>
      </c>
      <c r="F387" s="25">
        <v>580</v>
      </c>
      <c r="G387" s="25">
        <v>639</v>
      </c>
      <c r="H387" s="25">
        <v>202</v>
      </c>
      <c r="I387" s="25">
        <f t="shared" si="201"/>
        <v>72</v>
      </c>
      <c r="J387" s="25">
        <v>0.14706009128903105</v>
      </c>
      <c r="K387" s="25">
        <f t="shared" si="190"/>
        <v>1.4932550099892012E-4</v>
      </c>
      <c r="L387" s="25">
        <f>AVERAGE(J$367:J$388)</f>
        <v>0.2649092665472898</v>
      </c>
      <c r="M387" s="25">
        <v>2.0822763489273501E-2</v>
      </c>
      <c r="N387" s="25">
        <v>0.65588041286879883</v>
      </c>
      <c r="O387" s="25">
        <f t="shared" si="191"/>
        <v>2.6869202009982481E-4</v>
      </c>
      <c r="P387" s="25">
        <f>AVERAGE(N$367:N$388)</f>
        <v>0.5791630570055385</v>
      </c>
      <c r="Q387" s="25">
        <v>1.50936133029227E-2</v>
      </c>
      <c r="R387" s="25">
        <v>0.7516310267281282</v>
      </c>
      <c r="S387" s="25">
        <f t="shared" si="192"/>
        <v>2.2224026950922384E-4</v>
      </c>
      <c r="T387" s="25">
        <f>AVERAGE(R$367:R$388)</f>
        <v>0.66112248419547148</v>
      </c>
      <c r="U387" s="25">
        <v>2.0754413343947099E-2</v>
      </c>
      <c r="V387" s="25">
        <v>0.24836897327187185</v>
      </c>
      <c r="W387" s="26">
        <f t="shared" si="205"/>
        <v>2.2224026950922387E-4</v>
      </c>
      <c r="X387" s="25">
        <f>AVERAGE(V$367:V$388)</f>
        <v>0.33887751580452857</v>
      </c>
      <c r="Y387" s="25">
        <v>2.0829612322057E-2</v>
      </c>
      <c r="Z387" s="25">
        <v>0.59210331045679698</v>
      </c>
      <c r="AA387" s="25">
        <f t="shared" si="207"/>
        <v>1.2015770159348204E-3</v>
      </c>
      <c r="AB387" s="25">
        <f>AVERAGE(Z$367:Z$388)</f>
        <v>0.75663845347848924</v>
      </c>
      <c r="AC387" s="25">
        <v>1.46586111528499E-2</v>
      </c>
      <c r="AD387" s="25">
        <v>0.87260955115685612</v>
      </c>
      <c r="AE387" s="25">
        <f t="shared" si="209"/>
        <v>1.7423530154653014E-4</v>
      </c>
      <c r="AF387" s="25">
        <f>AVERAGE(AD$367:AD$388)</f>
        <v>0.88472371957137097</v>
      </c>
      <c r="AG387" s="25">
        <v>7.2151586007431099E-3</v>
      </c>
    </row>
    <row r="388" spans="1:33" hidden="1" x14ac:dyDescent="0.3">
      <c r="A388" s="25">
        <v>2019</v>
      </c>
      <c r="B388" s="25" t="s">
        <v>9</v>
      </c>
      <c r="C388" s="25" t="s">
        <v>17</v>
      </c>
      <c r="D388" s="25">
        <f t="shared" si="211"/>
        <v>1257</v>
      </c>
      <c r="E388" s="25">
        <v>214</v>
      </c>
      <c r="F388" s="25">
        <v>801</v>
      </c>
      <c r="G388" s="25">
        <v>948</v>
      </c>
      <c r="H388" s="25">
        <v>309</v>
      </c>
      <c r="I388" s="25">
        <f t="shared" si="201"/>
        <v>95</v>
      </c>
      <c r="J388" s="25">
        <v>0.14765011604210815</v>
      </c>
      <c r="K388" s="25">
        <f t="shared" si="190"/>
        <v>1.0019869369017527E-4</v>
      </c>
      <c r="L388" s="25">
        <f>AVERAGE(J$367:J$388)</f>
        <v>0.2649092665472898</v>
      </c>
      <c r="M388" s="25">
        <v>2.0822763489273501E-2</v>
      </c>
      <c r="N388" s="25">
        <v>0.59673711659636397</v>
      </c>
      <c r="O388" s="25">
        <f t="shared" si="191"/>
        <v>1.9159389352915723E-4</v>
      </c>
      <c r="P388" s="25">
        <f>AVERAGE(N$367:N$388)</f>
        <v>0.5791630570055385</v>
      </c>
      <c r="Q388" s="25">
        <v>1.50936133029227E-2</v>
      </c>
      <c r="R388" s="25">
        <v>0.7552812782600633</v>
      </c>
      <c r="S388" s="25">
        <f t="shared" si="192"/>
        <v>1.4715881287413068E-4</v>
      </c>
      <c r="T388" s="25">
        <f>AVERAGE(R$367:R$388)</f>
        <v>0.66112248419547148</v>
      </c>
      <c r="U388" s="25">
        <v>2.0754413343947099E-2</v>
      </c>
      <c r="V388" s="25">
        <v>0.24471872173993658</v>
      </c>
      <c r="W388" s="26">
        <f t="shared" si="205"/>
        <v>1.4715881287413063E-4</v>
      </c>
      <c r="X388" s="25">
        <f>AVERAGE(V$367:V$388)</f>
        <v>0.33887751580452857</v>
      </c>
      <c r="Y388" s="25">
        <v>2.0829612322057E-2</v>
      </c>
      <c r="Z388" s="25">
        <v>0.60334622129571436</v>
      </c>
      <c r="AA388" s="25">
        <f t="shared" si="207"/>
        <v>7.7701155371395205E-4</v>
      </c>
      <c r="AB388" s="25">
        <f>AVERAGE(Z$367:Z$388)</f>
        <v>0.75663845347848924</v>
      </c>
      <c r="AC388" s="25">
        <v>1.46586111528499E-2</v>
      </c>
      <c r="AD388" s="25">
        <v>0.79008593721674591</v>
      </c>
      <c r="AE388" s="25">
        <f t="shared" si="209"/>
        <v>1.751321531458101E-4</v>
      </c>
      <c r="AF388" s="25">
        <f>AVERAGE(AD$367:AD$388)</f>
        <v>0.88472371957137097</v>
      </c>
      <c r="AG388" s="25">
        <v>7.2151586007431099E-3</v>
      </c>
    </row>
    <row r="389" spans="1:33" hidden="1" x14ac:dyDescent="0.3">
      <c r="A389" s="25">
        <v>2020</v>
      </c>
      <c r="B389" s="25" t="s">
        <v>9</v>
      </c>
      <c r="C389" s="25" t="s">
        <v>17</v>
      </c>
      <c r="D389" s="25">
        <f t="shared" si="211"/>
        <v>1255</v>
      </c>
      <c r="E389" s="25">
        <v>131</v>
      </c>
      <c r="F389" s="25">
        <v>935</v>
      </c>
      <c r="G389" s="25">
        <v>1034</v>
      </c>
      <c r="H389" s="25">
        <v>221</v>
      </c>
      <c r="I389" s="25">
        <f t="shared" si="201"/>
        <v>90</v>
      </c>
      <c r="J389" s="25">
        <v>0.11248977556884859</v>
      </c>
      <c r="K389" s="25">
        <f t="shared" si="190"/>
        <v>7.9613896300892092E-5</v>
      </c>
      <c r="L389" s="25"/>
      <c r="M389" s="25"/>
      <c r="N389" s="25">
        <v>0.69542667484828846</v>
      </c>
      <c r="O389" s="25">
        <f t="shared" si="191"/>
        <v>1.6890623186422755E-4</v>
      </c>
      <c r="P389" s="25"/>
      <c r="Q389" s="25"/>
      <c r="R389" s="25">
        <v>0.77141269158345105</v>
      </c>
      <c r="S389" s="25">
        <f t="shared" si="192"/>
        <v>1.4061814262155222E-4</v>
      </c>
      <c r="T389" s="25"/>
      <c r="U389" s="25"/>
      <c r="V389" s="25">
        <v>0.22858730841654892</v>
      </c>
      <c r="W389" s="26">
        <f t="shared" si="205"/>
        <v>1.406181426215522E-4</v>
      </c>
      <c r="X389" s="25"/>
      <c r="Y389" s="25"/>
      <c r="Z389" s="25">
        <v>0.49210857920362433</v>
      </c>
      <c r="AA389" s="25">
        <f t="shared" si="207"/>
        <v>1.1360805703537022E-3</v>
      </c>
      <c r="AB389" s="25"/>
      <c r="AC389" s="25"/>
      <c r="AD389" s="25">
        <v>0.90149758026512539</v>
      </c>
      <c r="AE389" s="25">
        <f t="shared" si="209"/>
        <v>8.5962916787269311E-5</v>
      </c>
      <c r="AF389" s="25"/>
      <c r="AG389" s="25"/>
    </row>
    <row r="390" spans="1:33" hidden="1" x14ac:dyDescent="0.3">
      <c r="A390" s="25">
        <v>2021</v>
      </c>
      <c r="B390" s="25" t="s">
        <v>9</v>
      </c>
      <c r="C390" s="25" t="s">
        <v>17</v>
      </c>
      <c r="D390" s="25">
        <f t="shared" si="211"/>
        <v>900</v>
      </c>
      <c r="E390" s="25">
        <v>84</v>
      </c>
      <c r="F390" s="25">
        <v>678</v>
      </c>
      <c r="G390" s="25">
        <v>777</v>
      </c>
      <c r="H390" s="25">
        <v>123</v>
      </c>
      <c r="I390" s="25">
        <f t="shared" si="201"/>
        <v>39</v>
      </c>
      <c r="J390" s="25">
        <v>8.6006765406273014E-2</v>
      </c>
      <c r="K390" s="25">
        <f t="shared" si="190"/>
        <v>8.744115874374118E-5</v>
      </c>
      <c r="L390" s="25"/>
      <c r="M390" s="25"/>
      <c r="N390" s="25">
        <v>0.72813376561689636</v>
      </c>
      <c r="O390" s="25">
        <f t="shared" si="191"/>
        <v>2.2019464403276418E-4</v>
      </c>
      <c r="P390" s="25"/>
      <c r="Q390" s="25"/>
      <c r="R390" s="25">
        <v>0.86175210087204213</v>
      </c>
      <c r="S390" s="25">
        <f t="shared" si="192"/>
        <v>1.3251993049462053E-4</v>
      </c>
      <c r="T390" s="25"/>
      <c r="U390" s="25"/>
      <c r="V390" s="25">
        <v>0.13824789912795779</v>
      </c>
      <c r="W390" s="26">
        <f t="shared" si="205"/>
        <v>1.3251993049462048E-4</v>
      </c>
      <c r="X390" s="25"/>
      <c r="Y390" s="25"/>
      <c r="Z390" s="25">
        <v>0.62211987269815894</v>
      </c>
      <c r="AA390" s="25">
        <f t="shared" si="207"/>
        <v>1.9269404646900447E-3</v>
      </c>
      <c r="AB390" s="25"/>
      <c r="AC390" s="25"/>
      <c r="AD390" s="25">
        <v>0.84494573889645064</v>
      </c>
      <c r="AE390" s="25">
        <f t="shared" si="209"/>
        <v>1.6883046033141971E-4</v>
      </c>
      <c r="AF390" s="25"/>
      <c r="AG390" s="25"/>
    </row>
    <row r="391" spans="1:33" hidden="1" x14ac:dyDescent="0.3">
      <c r="A391" s="25">
        <v>2022</v>
      </c>
      <c r="B391" s="15" t="s">
        <v>9</v>
      </c>
      <c r="C391" s="15" t="s">
        <v>17</v>
      </c>
      <c r="D391">
        <v>834</v>
      </c>
      <c r="E391">
        <v>134</v>
      </c>
      <c r="F391">
        <v>519</v>
      </c>
      <c r="G391">
        <v>609</v>
      </c>
      <c r="H391">
        <v>225</v>
      </c>
      <c r="I391">
        <v>91</v>
      </c>
      <c r="J391" s="15">
        <f>'R2 guide wt multiport'!AV87</f>
        <v>0.14943234885575699</v>
      </c>
      <c r="K391" s="25">
        <f t="shared" si="190"/>
        <v>1.5258381989340734E-4</v>
      </c>
      <c r="L391" s="25"/>
      <c r="M391" s="25"/>
      <c r="N391" s="15">
        <f>'R2 guide wt multiport'!AW87</f>
        <v>0.66441955716571766</v>
      </c>
      <c r="O391" s="25">
        <f t="shared" ref="O391" si="212">(N391*(1-N391))/($D391-1)</f>
        <v>2.6766651767278426E-4</v>
      </c>
      <c r="P391" s="25"/>
      <c r="Q391" s="25"/>
      <c r="R391" s="15">
        <f>'R2 guide wt multiport'!AT87</f>
        <v>0.75322046690700584</v>
      </c>
      <c r="S391" s="25">
        <f t="shared" si="192"/>
        <v>2.2314453198006958E-4</v>
      </c>
      <c r="T391" s="25"/>
      <c r="U391" s="25"/>
      <c r="V391" s="15">
        <f>'R2 guide wt multiport'!AU87</f>
        <v>0.24677953309299414</v>
      </c>
      <c r="W391" s="26">
        <f t="shared" si="205"/>
        <v>2.2314453198006955E-4</v>
      </c>
      <c r="X391" s="25"/>
      <c r="Y391" s="25"/>
      <c r="Z391" s="15">
        <f>'R2 guide wt multiport'!AX87</f>
        <v>0.60552974950092919</v>
      </c>
      <c r="AA391" s="25">
        <f t="shared" si="207"/>
        <v>1.0663547855815675E-3</v>
      </c>
      <c r="AB391" s="25"/>
      <c r="AC391" s="25"/>
      <c r="AD391" s="15">
        <f>'R2 guide wt multiport'!AY87</f>
        <v>0.88210502284153725</v>
      </c>
      <c r="AE391" s="25">
        <f t="shared" si="209"/>
        <v>1.7104564394616499E-4</v>
      </c>
      <c r="AF391" s="25"/>
      <c r="AG391" s="25"/>
    </row>
    <row r="392" spans="1:33" x14ac:dyDescent="0.3">
      <c r="A392">
        <v>1993</v>
      </c>
      <c r="B392" t="s">
        <v>11</v>
      </c>
      <c r="C392" t="s">
        <v>17</v>
      </c>
      <c r="D392">
        <f t="shared" si="211"/>
        <v>20</v>
      </c>
      <c r="E392">
        <v>3</v>
      </c>
      <c r="F392">
        <v>12</v>
      </c>
      <c r="G392">
        <v>15</v>
      </c>
      <c r="H392">
        <v>5</v>
      </c>
      <c r="I392">
        <f t="shared" si="201"/>
        <v>2</v>
      </c>
    </row>
    <row r="393" spans="1:33" x14ac:dyDescent="0.3">
      <c r="A393">
        <v>1994</v>
      </c>
      <c r="B393" t="s">
        <v>11</v>
      </c>
      <c r="C393" t="s">
        <v>17</v>
      </c>
      <c r="D393">
        <f t="shared" si="211"/>
        <v>3</v>
      </c>
      <c r="E393">
        <v>2</v>
      </c>
      <c r="F393">
        <v>1</v>
      </c>
      <c r="G393">
        <v>1</v>
      </c>
      <c r="H393">
        <v>2</v>
      </c>
      <c r="I393">
        <f t="shared" si="201"/>
        <v>0</v>
      </c>
    </row>
    <row r="394" spans="1:33" x14ac:dyDescent="0.3">
      <c r="A394">
        <v>1995</v>
      </c>
      <c r="B394" t="s">
        <v>11</v>
      </c>
      <c r="C394" t="s">
        <v>17</v>
      </c>
      <c r="D394">
        <f t="shared" si="211"/>
        <v>7</v>
      </c>
      <c r="E394">
        <v>1</v>
      </c>
      <c r="F394">
        <v>6</v>
      </c>
      <c r="G394">
        <v>6</v>
      </c>
      <c r="H394">
        <v>1</v>
      </c>
      <c r="I394">
        <f t="shared" si="201"/>
        <v>0</v>
      </c>
    </row>
    <row r="395" spans="1:33" x14ac:dyDescent="0.3">
      <c r="A395">
        <v>1996</v>
      </c>
      <c r="B395" t="s">
        <v>11</v>
      </c>
      <c r="C395" t="s">
        <v>17</v>
      </c>
      <c r="D395">
        <f t="shared" si="211"/>
        <v>3</v>
      </c>
      <c r="E395">
        <v>3</v>
      </c>
      <c r="F395">
        <v>0</v>
      </c>
      <c r="G395">
        <v>0</v>
      </c>
      <c r="H395">
        <v>3</v>
      </c>
      <c r="I395">
        <f t="shared" si="201"/>
        <v>0</v>
      </c>
    </row>
    <row r="396" spans="1:33" x14ac:dyDescent="0.3">
      <c r="A396">
        <v>1997</v>
      </c>
      <c r="B396" t="s">
        <v>11</v>
      </c>
      <c r="C396" t="s">
        <v>17</v>
      </c>
      <c r="D396">
        <f t="shared" si="211"/>
        <v>18</v>
      </c>
      <c r="E396">
        <v>12</v>
      </c>
      <c r="F396">
        <v>5</v>
      </c>
      <c r="G396">
        <v>5</v>
      </c>
      <c r="H396">
        <v>13</v>
      </c>
      <c r="I396">
        <f t="shared" si="201"/>
        <v>1</v>
      </c>
    </row>
    <row r="397" spans="1:33" x14ac:dyDescent="0.3">
      <c r="A397">
        <v>1998</v>
      </c>
      <c r="B397" t="s">
        <v>11</v>
      </c>
      <c r="C397" t="s">
        <v>17</v>
      </c>
      <c r="D397">
        <f t="shared" si="211"/>
        <v>14</v>
      </c>
      <c r="E397">
        <v>7</v>
      </c>
      <c r="F397">
        <v>5</v>
      </c>
      <c r="G397">
        <v>5</v>
      </c>
      <c r="H397">
        <v>9</v>
      </c>
      <c r="I397">
        <f t="shared" si="201"/>
        <v>2</v>
      </c>
      <c r="L397">
        <f t="shared" ref="L397:L416" si="213">AVERAGE(J$400,J$402:J$404,J$408:J$418)</f>
        <v>0.15749269762230508</v>
      </c>
      <c r="M397">
        <v>5.5839721408691596E-3</v>
      </c>
      <c r="P397">
        <f t="shared" ref="P397:P416" si="214">AVERAGE(N$400,N$402:N$404,N$408:N$418)</f>
        <v>0.70017962996264038</v>
      </c>
      <c r="Q397">
        <v>1.0854057079358499E-2</v>
      </c>
      <c r="T397">
        <f t="shared" ref="T397:T416" si="215">AVERAGE(R$400,R$402:R$404,R$408:R$418)</f>
        <v>0.75234434404033468</v>
      </c>
      <c r="U397">
        <v>7.8571070886501206E-3</v>
      </c>
      <c r="X397">
        <f t="shared" ref="X397:X416" si="216">AVERAGE(V$400,V$402:V$404,V$408:V$418)</f>
        <v>0.24765565595966552</v>
      </c>
      <c r="Y397">
        <v>7.8480835098173503E-3</v>
      </c>
      <c r="AB397">
        <f t="shared" ref="AB397:AB415" si="217">AVERAGE(Z$411:Z$413,Z$415,Z398)</f>
        <v>0.63599073200806167</v>
      </c>
      <c r="AC397">
        <v>2.7057200281463401E-2</v>
      </c>
      <c r="AF397">
        <f t="shared" ref="AF397:AF416" si="218">AVERAGE(AD$402,AD$408:AD$418)</f>
        <v>0.91325550761407237</v>
      </c>
      <c r="AG397">
        <v>6.6453318815578701E-3</v>
      </c>
    </row>
    <row r="398" spans="1:33" x14ac:dyDescent="0.3">
      <c r="A398">
        <v>1999</v>
      </c>
      <c r="B398" t="s">
        <v>11</v>
      </c>
      <c r="C398" t="s">
        <v>17</v>
      </c>
      <c r="D398">
        <f t="shared" si="211"/>
        <v>32</v>
      </c>
      <c r="E398">
        <v>11</v>
      </c>
      <c r="F398">
        <v>17</v>
      </c>
      <c r="G398">
        <v>17</v>
      </c>
      <c r="H398">
        <v>15</v>
      </c>
      <c r="I398">
        <f t="shared" si="201"/>
        <v>4</v>
      </c>
      <c r="L398">
        <f t="shared" si="213"/>
        <v>0.15749269762230508</v>
      </c>
      <c r="M398">
        <v>5.5839721408691596E-3</v>
      </c>
      <c r="P398">
        <f t="shared" si="214"/>
        <v>0.70017962996264038</v>
      </c>
      <c r="Q398">
        <v>1.0854057079358499E-2</v>
      </c>
      <c r="T398">
        <f t="shared" si="215"/>
        <v>0.75234434404033468</v>
      </c>
      <c r="U398">
        <v>7.8571070886501206E-3</v>
      </c>
      <c r="X398">
        <f t="shared" si="216"/>
        <v>0.24765565595966552</v>
      </c>
      <c r="Y398">
        <v>7.8480835098173503E-3</v>
      </c>
      <c r="AB398">
        <f t="shared" si="217"/>
        <v>0.63599073200806167</v>
      </c>
      <c r="AC398">
        <v>2.7057200281463401E-2</v>
      </c>
      <c r="AF398">
        <f t="shared" si="218"/>
        <v>0.91325550761407237</v>
      </c>
      <c r="AG398">
        <v>6.6453318815578701E-3</v>
      </c>
    </row>
    <row r="399" spans="1:33" x14ac:dyDescent="0.3">
      <c r="A399">
        <v>2000</v>
      </c>
      <c r="B399" t="s">
        <v>11</v>
      </c>
      <c r="C399" t="s">
        <v>17</v>
      </c>
      <c r="D399">
        <f t="shared" si="211"/>
        <v>38</v>
      </c>
      <c r="E399">
        <v>16</v>
      </c>
      <c r="F399">
        <v>18</v>
      </c>
      <c r="G399">
        <v>18</v>
      </c>
      <c r="H399">
        <v>20</v>
      </c>
      <c r="I399">
        <f t="shared" si="201"/>
        <v>4</v>
      </c>
      <c r="L399">
        <f t="shared" si="213"/>
        <v>0.15749269762230508</v>
      </c>
      <c r="M399">
        <v>5.5839721408691596E-3</v>
      </c>
      <c r="P399">
        <f t="shared" si="214"/>
        <v>0.70017962996264038</v>
      </c>
      <c r="Q399">
        <v>1.0854057079358499E-2</v>
      </c>
      <c r="T399">
        <f t="shared" si="215"/>
        <v>0.75234434404033468</v>
      </c>
      <c r="U399">
        <v>7.8571070886501206E-3</v>
      </c>
      <c r="X399">
        <f t="shared" si="216"/>
        <v>0.24765565595966552</v>
      </c>
      <c r="Y399">
        <v>7.8480835098173503E-3</v>
      </c>
      <c r="AB399">
        <f t="shared" si="217"/>
        <v>0.63599073200806167</v>
      </c>
      <c r="AC399">
        <v>2.7057200281463401E-2</v>
      </c>
      <c r="AF399">
        <f t="shared" si="218"/>
        <v>0.91325550761407237</v>
      </c>
      <c r="AG399">
        <v>6.6453318815578701E-3</v>
      </c>
    </row>
    <row r="400" spans="1:33" x14ac:dyDescent="0.3">
      <c r="A400">
        <v>2001</v>
      </c>
      <c r="B400" t="s">
        <v>11</v>
      </c>
      <c r="C400" t="s">
        <v>17</v>
      </c>
      <c r="D400">
        <f t="shared" si="211"/>
        <v>52</v>
      </c>
      <c r="E400">
        <v>18</v>
      </c>
      <c r="F400">
        <v>34</v>
      </c>
      <c r="G400">
        <v>34</v>
      </c>
      <c r="H400">
        <v>18</v>
      </c>
      <c r="I400">
        <f t="shared" si="201"/>
        <v>0</v>
      </c>
      <c r="J400">
        <v>0.34889079553245939</v>
      </c>
      <c r="K400">
        <f t="shared" ref="K400:K421" si="219">(J400*(1-J400))/(D400-1)</f>
        <v>4.4542354573566074E-3</v>
      </c>
      <c r="L400">
        <f t="shared" si="213"/>
        <v>0.15749269762230508</v>
      </c>
      <c r="M400">
        <v>5.5839721408691596E-3</v>
      </c>
      <c r="N400">
        <v>0.65110920446754061</v>
      </c>
      <c r="O400">
        <f t="shared" ref="O400:O421" si="220">(N400*(1-N400))/($D400-1)</f>
        <v>4.4542354573566074E-3</v>
      </c>
      <c r="P400">
        <f t="shared" si="214"/>
        <v>0.70017962996264038</v>
      </c>
      <c r="Q400">
        <v>1.0854057079358499E-2</v>
      </c>
      <c r="R400">
        <v>0.65110920446754061</v>
      </c>
      <c r="S400">
        <f t="shared" ref="S400:S421" si="221">(R400*(1-R400))/($D400-1)</f>
        <v>4.4542354573566074E-3</v>
      </c>
      <c r="T400">
        <f t="shared" si="215"/>
        <v>0.75234434404033468</v>
      </c>
      <c r="U400">
        <v>7.8571070886501206E-3</v>
      </c>
      <c r="V400">
        <v>0.34889079553245939</v>
      </c>
      <c r="W400" s="23">
        <f t="shared" ref="W400:W421" si="222">(V400*(1-V400))/(D400-1)</f>
        <v>4.4542354573566074E-3</v>
      </c>
      <c r="X400">
        <f t="shared" si="216"/>
        <v>0.24765565595966552</v>
      </c>
      <c r="Y400">
        <v>7.8480835098173503E-3</v>
      </c>
      <c r="AB400">
        <f t="shared" si="217"/>
        <v>0.63599073200806167</v>
      </c>
      <c r="AC400">
        <v>2.7057200281463401E-2</v>
      </c>
      <c r="AF400">
        <f t="shared" si="218"/>
        <v>0.91325550761407237</v>
      </c>
      <c r="AG400">
        <v>6.6453318815578701E-3</v>
      </c>
    </row>
    <row r="401" spans="1:33" x14ac:dyDescent="0.3">
      <c r="A401">
        <v>2002</v>
      </c>
      <c r="B401" t="s">
        <v>11</v>
      </c>
      <c r="C401" t="s">
        <v>17</v>
      </c>
      <c r="D401">
        <f t="shared" si="211"/>
        <v>32</v>
      </c>
      <c r="E401">
        <v>15</v>
      </c>
      <c r="F401">
        <v>11</v>
      </c>
      <c r="G401">
        <v>14</v>
      </c>
      <c r="H401">
        <v>18</v>
      </c>
      <c r="I401">
        <f t="shared" si="201"/>
        <v>3</v>
      </c>
      <c r="L401">
        <f t="shared" si="213"/>
        <v>0.15749269762230508</v>
      </c>
      <c r="M401">
        <v>5.5839721408691596E-3</v>
      </c>
      <c r="P401">
        <f t="shared" si="214"/>
        <v>0.70017962996264038</v>
      </c>
      <c r="Q401">
        <v>1.0854057079358499E-2</v>
      </c>
      <c r="T401">
        <f t="shared" si="215"/>
        <v>0.75234434404033468</v>
      </c>
      <c r="U401">
        <v>7.8571070886501206E-3</v>
      </c>
      <c r="X401">
        <f t="shared" si="216"/>
        <v>0.24765565595966552</v>
      </c>
      <c r="Y401">
        <v>7.8480835098173503E-3</v>
      </c>
      <c r="AB401">
        <f t="shared" si="217"/>
        <v>0.63599073200806167</v>
      </c>
      <c r="AC401">
        <v>2.7057200281463401E-2</v>
      </c>
      <c r="AF401">
        <f t="shared" si="218"/>
        <v>0.91325550761407237</v>
      </c>
      <c r="AG401">
        <v>6.6453318815578701E-3</v>
      </c>
    </row>
    <row r="402" spans="1:33" x14ac:dyDescent="0.3">
      <c r="A402">
        <v>2003</v>
      </c>
      <c r="B402" t="s">
        <v>11</v>
      </c>
      <c r="C402" t="s">
        <v>17</v>
      </c>
      <c r="D402">
        <f t="shared" si="211"/>
        <v>61</v>
      </c>
      <c r="E402">
        <v>4</v>
      </c>
      <c r="F402">
        <v>54</v>
      </c>
      <c r="G402">
        <v>56</v>
      </c>
      <c r="H402">
        <v>5</v>
      </c>
      <c r="I402">
        <f t="shared" si="201"/>
        <v>1</v>
      </c>
      <c r="J402">
        <v>7.076080714042049E-2</v>
      </c>
      <c r="K402">
        <f t="shared" si="219"/>
        <v>1.0958952552209452E-3</v>
      </c>
      <c r="L402">
        <f t="shared" si="213"/>
        <v>0.15749269762230508</v>
      </c>
      <c r="M402">
        <v>5.5839721408691596E-3</v>
      </c>
      <c r="N402">
        <v>0.89012781848510147</v>
      </c>
      <c r="O402">
        <f t="shared" si="220"/>
        <v>1.6300047540675953E-3</v>
      </c>
      <c r="P402">
        <f t="shared" si="214"/>
        <v>0.70017962996264038</v>
      </c>
      <c r="Q402">
        <v>1.0854057079358499E-2</v>
      </c>
      <c r="R402">
        <v>0.91620206806808679</v>
      </c>
      <c r="S402">
        <f t="shared" si="221"/>
        <v>1.2795973089307941E-3</v>
      </c>
      <c r="T402">
        <f t="shared" si="215"/>
        <v>0.75234434404033468</v>
      </c>
      <c r="U402">
        <v>7.8571070886501206E-3</v>
      </c>
      <c r="V402">
        <v>8.3797931931913108E-2</v>
      </c>
      <c r="W402" s="23">
        <f t="shared" si="222"/>
        <v>1.279597308930793E-3</v>
      </c>
      <c r="X402">
        <f t="shared" si="216"/>
        <v>0.24765565595966552</v>
      </c>
      <c r="Y402">
        <v>7.8480835098173503E-3</v>
      </c>
      <c r="AB402">
        <f t="shared" si="217"/>
        <v>0.63599073200806167</v>
      </c>
      <c r="AC402">
        <v>2.7057200281463401E-2</v>
      </c>
      <c r="AD402">
        <v>0.97154094004833924</v>
      </c>
      <c r="AE402">
        <f t="shared" ref="AE402:AE421" si="223">(AD402*(1-AD402))/(G402-1)</f>
        <v>5.0271167015142793E-4</v>
      </c>
      <c r="AF402">
        <f t="shared" si="218"/>
        <v>0.91325550761407237</v>
      </c>
      <c r="AG402">
        <v>6.6453318815578701E-3</v>
      </c>
    </row>
    <row r="403" spans="1:33" x14ac:dyDescent="0.3">
      <c r="A403">
        <v>2004</v>
      </c>
      <c r="B403" t="s">
        <v>11</v>
      </c>
      <c r="C403" t="s">
        <v>17</v>
      </c>
      <c r="D403">
        <f t="shared" si="211"/>
        <v>55</v>
      </c>
      <c r="E403">
        <v>2</v>
      </c>
      <c r="F403">
        <v>47</v>
      </c>
      <c r="G403">
        <v>47</v>
      </c>
      <c r="H403">
        <v>8</v>
      </c>
      <c r="I403">
        <f t="shared" si="201"/>
        <v>6</v>
      </c>
      <c r="J403">
        <v>7.6303002932742794E-2</v>
      </c>
      <c r="K403">
        <f t="shared" si="219"/>
        <v>1.3052010125220118E-3</v>
      </c>
      <c r="L403">
        <f t="shared" si="213"/>
        <v>0.15749269762230508</v>
      </c>
      <c r="M403">
        <v>5.5839721408691596E-3</v>
      </c>
      <c r="N403">
        <v>0.7036032200318848</v>
      </c>
      <c r="O403">
        <f t="shared" si="220"/>
        <v>3.8619579406045908E-3</v>
      </c>
      <c r="P403">
        <f t="shared" si="214"/>
        <v>0.70017962996264038</v>
      </c>
      <c r="Q403">
        <v>1.0854057079358499E-2</v>
      </c>
      <c r="R403">
        <v>0.7036032200318848</v>
      </c>
      <c r="S403">
        <f t="shared" si="221"/>
        <v>3.8619579406045908E-3</v>
      </c>
      <c r="T403">
        <f t="shared" si="215"/>
        <v>0.75234434404033468</v>
      </c>
      <c r="U403">
        <v>7.8571070886501206E-3</v>
      </c>
      <c r="V403">
        <v>0.29639677996811525</v>
      </c>
      <c r="W403" s="23">
        <f t="shared" si="222"/>
        <v>3.8619579406045908E-3</v>
      </c>
      <c r="X403">
        <f t="shared" si="216"/>
        <v>0.24765565595966552</v>
      </c>
      <c r="Y403">
        <v>7.8480835098173503E-3</v>
      </c>
      <c r="AB403">
        <f t="shared" si="217"/>
        <v>0.63599073200806167</v>
      </c>
      <c r="AC403">
        <v>2.7057200281463401E-2</v>
      </c>
      <c r="AF403">
        <f t="shared" si="218"/>
        <v>0.91325550761407237</v>
      </c>
      <c r="AG403">
        <v>6.6453318815578701E-3</v>
      </c>
    </row>
    <row r="404" spans="1:33" x14ac:dyDescent="0.3">
      <c r="A404">
        <v>2005</v>
      </c>
      <c r="B404" t="s">
        <v>11</v>
      </c>
      <c r="C404" t="s">
        <v>17</v>
      </c>
      <c r="D404">
        <f t="shared" si="211"/>
        <v>59</v>
      </c>
      <c r="E404">
        <v>12</v>
      </c>
      <c r="F404">
        <v>38</v>
      </c>
      <c r="G404">
        <v>38</v>
      </c>
      <c r="H404">
        <v>21</v>
      </c>
      <c r="I404">
        <f t="shared" si="201"/>
        <v>9</v>
      </c>
      <c r="J404">
        <v>7.7582278216393644E-2</v>
      </c>
      <c r="K404">
        <f t="shared" si="219"/>
        <v>1.2338494538473746E-3</v>
      </c>
      <c r="L404">
        <f t="shared" si="213"/>
        <v>0.15749269762230508</v>
      </c>
      <c r="M404">
        <v>5.5839721408691596E-3</v>
      </c>
      <c r="N404">
        <v>0.86423101312131112</v>
      </c>
      <c r="O404">
        <f t="shared" si="220"/>
        <v>2.023030501390057E-3</v>
      </c>
      <c r="P404">
        <f t="shared" si="214"/>
        <v>0.70017962996264038</v>
      </c>
      <c r="Q404">
        <v>1.0854057079358499E-2</v>
      </c>
      <c r="R404">
        <v>0.86423101312131112</v>
      </c>
      <c r="S404">
        <f t="shared" si="221"/>
        <v>2.023030501390057E-3</v>
      </c>
      <c r="T404">
        <f t="shared" si="215"/>
        <v>0.75234434404033468</v>
      </c>
      <c r="U404">
        <v>7.8571070886501206E-3</v>
      </c>
      <c r="V404">
        <v>0.13576898687868885</v>
      </c>
      <c r="W404" s="23">
        <f t="shared" si="222"/>
        <v>2.0230305013900561E-3</v>
      </c>
      <c r="X404">
        <f t="shared" si="216"/>
        <v>0.24765565595966552</v>
      </c>
      <c r="Y404">
        <v>7.8480835098173503E-3</v>
      </c>
      <c r="AB404">
        <f t="shared" si="217"/>
        <v>0.63599073200806167</v>
      </c>
      <c r="AC404">
        <v>2.7057200281463401E-2</v>
      </c>
      <c r="AF404">
        <f t="shared" si="218"/>
        <v>0.91325550761407237</v>
      </c>
      <c r="AG404">
        <v>6.6453318815578701E-3</v>
      </c>
    </row>
    <row r="405" spans="1:33" x14ac:dyDescent="0.3">
      <c r="A405">
        <v>2006</v>
      </c>
      <c r="B405" t="s">
        <v>11</v>
      </c>
      <c r="C405" t="s">
        <v>17</v>
      </c>
      <c r="D405">
        <f t="shared" si="211"/>
        <v>43</v>
      </c>
      <c r="E405">
        <v>1</v>
      </c>
      <c r="F405">
        <v>38</v>
      </c>
      <c r="G405">
        <v>40</v>
      </c>
      <c r="H405">
        <v>3</v>
      </c>
      <c r="I405">
        <f t="shared" si="201"/>
        <v>2</v>
      </c>
      <c r="L405">
        <f t="shared" si="213"/>
        <v>0.15749269762230508</v>
      </c>
      <c r="M405">
        <v>5.5839721408691596E-3</v>
      </c>
      <c r="P405">
        <f t="shared" si="214"/>
        <v>0.70017962996264038</v>
      </c>
      <c r="Q405">
        <v>1.0854057079358499E-2</v>
      </c>
      <c r="T405">
        <f t="shared" si="215"/>
        <v>0.75234434404033468</v>
      </c>
      <c r="U405">
        <v>7.8571070886501206E-3</v>
      </c>
      <c r="X405">
        <f t="shared" si="216"/>
        <v>0.24765565595966552</v>
      </c>
      <c r="Y405">
        <v>7.8480835098173503E-3</v>
      </c>
      <c r="AB405">
        <f t="shared" si="217"/>
        <v>0.63599073200806167</v>
      </c>
      <c r="AC405">
        <v>2.7057200281463401E-2</v>
      </c>
      <c r="AF405">
        <f t="shared" si="218"/>
        <v>0.91325550761407237</v>
      </c>
      <c r="AG405">
        <v>6.6453318815578701E-3</v>
      </c>
    </row>
    <row r="406" spans="1:33" x14ac:dyDescent="0.3">
      <c r="A406">
        <v>2007</v>
      </c>
      <c r="B406" t="s">
        <v>11</v>
      </c>
      <c r="C406" t="s">
        <v>17</v>
      </c>
      <c r="D406">
        <f t="shared" si="211"/>
        <v>28</v>
      </c>
      <c r="E406">
        <v>2</v>
      </c>
      <c r="F406">
        <v>25</v>
      </c>
      <c r="G406">
        <v>25</v>
      </c>
      <c r="H406">
        <v>3</v>
      </c>
      <c r="I406">
        <f t="shared" si="201"/>
        <v>1</v>
      </c>
      <c r="L406">
        <f t="shared" si="213"/>
        <v>0.15749269762230508</v>
      </c>
      <c r="M406">
        <v>5.5839721408691596E-3</v>
      </c>
      <c r="P406">
        <f t="shared" si="214"/>
        <v>0.70017962996264038</v>
      </c>
      <c r="Q406">
        <v>1.0854057079358499E-2</v>
      </c>
      <c r="T406">
        <f t="shared" si="215"/>
        <v>0.75234434404033468</v>
      </c>
      <c r="U406">
        <v>7.8571070886501206E-3</v>
      </c>
      <c r="X406">
        <f t="shared" si="216"/>
        <v>0.24765565595966552</v>
      </c>
      <c r="Y406">
        <v>7.8480835098173503E-3</v>
      </c>
      <c r="AB406">
        <f t="shared" si="217"/>
        <v>0.63599073200806167</v>
      </c>
      <c r="AC406">
        <v>2.7057200281463401E-2</v>
      </c>
      <c r="AF406">
        <f t="shared" si="218"/>
        <v>0.91325550761407237</v>
      </c>
      <c r="AG406">
        <v>6.6453318815578701E-3</v>
      </c>
    </row>
    <row r="407" spans="1:33" x14ac:dyDescent="0.3">
      <c r="A407">
        <v>2008</v>
      </c>
      <c r="B407" t="s">
        <v>11</v>
      </c>
      <c r="C407" t="s">
        <v>17</v>
      </c>
      <c r="D407">
        <f t="shared" si="211"/>
        <v>33</v>
      </c>
      <c r="E407">
        <v>9</v>
      </c>
      <c r="F407">
        <v>22</v>
      </c>
      <c r="G407">
        <v>23</v>
      </c>
      <c r="H407">
        <v>10</v>
      </c>
      <c r="I407">
        <f t="shared" si="201"/>
        <v>1</v>
      </c>
      <c r="L407">
        <f t="shared" si="213"/>
        <v>0.15749269762230508</v>
      </c>
      <c r="M407">
        <v>5.5839721408691596E-3</v>
      </c>
      <c r="P407">
        <f t="shared" si="214"/>
        <v>0.70017962996264038</v>
      </c>
      <c r="Q407">
        <v>1.0854057079358499E-2</v>
      </c>
      <c r="T407">
        <f t="shared" si="215"/>
        <v>0.75234434404033468</v>
      </c>
      <c r="U407">
        <v>7.8571070886501206E-3</v>
      </c>
      <c r="X407">
        <f t="shared" si="216"/>
        <v>0.24765565595966552</v>
      </c>
      <c r="Y407">
        <v>7.8480835098173503E-3</v>
      </c>
      <c r="AB407">
        <f t="shared" si="217"/>
        <v>0.63599073200806167</v>
      </c>
      <c r="AC407">
        <v>2.7057200281463401E-2</v>
      </c>
      <c r="AF407">
        <f t="shared" si="218"/>
        <v>0.91325550761407237</v>
      </c>
      <c r="AG407">
        <v>6.6453318815578701E-3</v>
      </c>
    </row>
    <row r="408" spans="1:33" x14ac:dyDescent="0.3">
      <c r="A408">
        <v>2009</v>
      </c>
      <c r="B408" t="s">
        <v>11</v>
      </c>
      <c r="C408" t="s">
        <v>17</v>
      </c>
      <c r="D408">
        <f t="shared" si="211"/>
        <v>100</v>
      </c>
      <c r="E408">
        <v>24</v>
      </c>
      <c r="F408">
        <v>59</v>
      </c>
      <c r="G408">
        <v>65</v>
      </c>
      <c r="H408">
        <v>35</v>
      </c>
      <c r="I408">
        <f t="shared" si="201"/>
        <v>11</v>
      </c>
      <c r="J408">
        <v>0.19363633922323537</v>
      </c>
      <c r="K408">
        <f t="shared" si="219"/>
        <v>1.577184922782419E-3</v>
      </c>
      <c r="L408">
        <f t="shared" si="213"/>
        <v>0.15749269762230508</v>
      </c>
      <c r="M408">
        <v>5.5839721408691596E-3</v>
      </c>
      <c r="N408">
        <v>0.65525882791452195</v>
      </c>
      <c r="O408">
        <f t="shared" si="220"/>
        <v>2.2817646096425135E-3</v>
      </c>
      <c r="P408">
        <f t="shared" si="214"/>
        <v>0.70017962996264038</v>
      </c>
      <c r="Q408">
        <v>1.0854057079358499E-2</v>
      </c>
      <c r="R408">
        <v>0.74305748382694892</v>
      </c>
      <c r="S408">
        <f t="shared" si="221"/>
        <v>1.9285157530880045E-3</v>
      </c>
      <c r="T408">
        <f t="shared" si="215"/>
        <v>0.75234434404033468</v>
      </c>
      <c r="U408">
        <v>7.8571070886501206E-3</v>
      </c>
      <c r="V408">
        <v>0.25694251617305114</v>
      </c>
      <c r="W408" s="23">
        <f t="shared" si="222"/>
        <v>1.9285157530880049E-3</v>
      </c>
      <c r="X408">
        <f t="shared" si="216"/>
        <v>0.24765565595966552</v>
      </c>
      <c r="Y408">
        <v>7.8480835098173503E-3</v>
      </c>
      <c r="AB408">
        <f t="shared" si="217"/>
        <v>0.63599073200806167</v>
      </c>
      <c r="AC408">
        <v>2.7057200281463401E-2</v>
      </c>
      <c r="AD408">
        <v>0.88184136783033273</v>
      </c>
      <c r="AE408">
        <f t="shared" si="223"/>
        <v>1.628080778335321E-3</v>
      </c>
      <c r="AF408">
        <f t="shared" si="218"/>
        <v>0.91325550761407237</v>
      </c>
      <c r="AG408">
        <v>6.6453318815578701E-3</v>
      </c>
    </row>
    <row r="409" spans="1:33" x14ac:dyDescent="0.3">
      <c r="A409">
        <v>2010</v>
      </c>
      <c r="B409" t="s">
        <v>11</v>
      </c>
      <c r="C409" t="s">
        <v>17</v>
      </c>
      <c r="D409">
        <f t="shared" si="211"/>
        <v>103</v>
      </c>
      <c r="E409">
        <v>15</v>
      </c>
      <c r="F409">
        <v>77</v>
      </c>
      <c r="G409">
        <v>78</v>
      </c>
      <c r="H409">
        <v>25</v>
      </c>
      <c r="I409">
        <f t="shared" si="201"/>
        <v>10</v>
      </c>
      <c r="J409">
        <v>0.11916523580382676</v>
      </c>
      <c r="K409">
        <f t="shared" si="219"/>
        <v>1.0290674743102463E-3</v>
      </c>
      <c r="L409">
        <f t="shared" si="213"/>
        <v>0.15749269762230508</v>
      </c>
      <c r="M409">
        <v>5.5839721408691596E-3</v>
      </c>
      <c r="N409">
        <v>0.71079927362845252</v>
      </c>
      <c r="O409">
        <f t="shared" si="220"/>
        <v>2.0153300611540862E-3</v>
      </c>
      <c r="P409">
        <f t="shared" si="214"/>
        <v>0.70017962996264038</v>
      </c>
      <c r="Q409">
        <v>1.0854057079358499E-2</v>
      </c>
      <c r="R409">
        <v>0.7186276418423464</v>
      </c>
      <c r="S409">
        <f t="shared" si="221"/>
        <v>1.9823721002201443E-3</v>
      </c>
      <c r="T409">
        <f t="shared" si="215"/>
        <v>0.75234434404033468</v>
      </c>
      <c r="U409">
        <v>7.8571070886501206E-3</v>
      </c>
      <c r="V409">
        <v>0.2813723581576536</v>
      </c>
      <c r="W409" s="23">
        <f t="shared" si="222"/>
        <v>1.9823721002201443E-3</v>
      </c>
      <c r="X409">
        <f t="shared" si="216"/>
        <v>0.24765565595966552</v>
      </c>
      <c r="Y409">
        <v>7.8480835098173503E-3</v>
      </c>
      <c r="AB409">
        <f t="shared" si="217"/>
        <v>0.63599073200806167</v>
      </c>
      <c r="AC409">
        <v>2.7057200281463401E-2</v>
      </c>
      <c r="AD409">
        <v>0.98910650278658319</v>
      </c>
      <c r="AE409">
        <f t="shared" si="223"/>
        <v>1.3993284327114408E-4</v>
      </c>
      <c r="AF409">
        <f t="shared" si="218"/>
        <v>0.91325550761407237</v>
      </c>
      <c r="AG409">
        <v>6.6453318815578701E-3</v>
      </c>
    </row>
    <row r="410" spans="1:33" x14ac:dyDescent="0.3">
      <c r="A410">
        <v>2011</v>
      </c>
      <c r="B410" t="s">
        <v>11</v>
      </c>
      <c r="C410" t="s">
        <v>17</v>
      </c>
      <c r="D410">
        <f t="shared" si="211"/>
        <v>139</v>
      </c>
      <c r="E410">
        <v>17</v>
      </c>
      <c r="F410">
        <v>114</v>
      </c>
      <c r="G410">
        <v>120</v>
      </c>
      <c r="H410">
        <v>19</v>
      </c>
      <c r="I410">
        <f t="shared" ref="I410:I478" si="224">H410-E410</f>
        <v>2</v>
      </c>
      <c r="J410">
        <v>0.11979473844874666</v>
      </c>
      <c r="K410">
        <f t="shared" si="219"/>
        <v>7.640866600633554E-4</v>
      </c>
      <c r="L410">
        <f t="shared" si="213"/>
        <v>0.15749269762230508</v>
      </c>
      <c r="M410">
        <v>5.5839721408691596E-3</v>
      </c>
      <c r="N410">
        <v>0.82038738760471497</v>
      </c>
      <c r="O410">
        <f t="shared" si="220"/>
        <v>1.0677675497378705E-3</v>
      </c>
      <c r="P410">
        <f t="shared" si="214"/>
        <v>0.70017962996264038</v>
      </c>
      <c r="Q410">
        <v>1.0854057079358499E-2</v>
      </c>
      <c r="R410">
        <v>0.86525079306461872</v>
      </c>
      <c r="S410">
        <f t="shared" si="221"/>
        <v>8.4486853743237012E-4</v>
      </c>
      <c r="T410">
        <f t="shared" si="215"/>
        <v>0.75234434404033468</v>
      </c>
      <c r="U410">
        <v>7.8571070886501206E-3</v>
      </c>
      <c r="V410">
        <v>0.13474920693538128</v>
      </c>
      <c r="W410" s="23">
        <f t="shared" si="222"/>
        <v>8.4486853743237012E-4</v>
      </c>
      <c r="X410">
        <f t="shared" si="216"/>
        <v>0.24765565595966552</v>
      </c>
      <c r="Y410">
        <v>7.8480835098173503E-3</v>
      </c>
      <c r="AB410">
        <f t="shared" si="217"/>
        <v>0.66770874382971734</v>
      </c>
      <c r="AC410">
        <v>2.7057200281463401E-2</v>
      </c>
      <c r="AD410">
        <v>0.94814982451388141</v>
      </c>
      <c r="AE410">
        <f t="shared" si="223"/>
        <v>4.1312382174938902E-4</v>
      </c>
      <c r="AF410">
        <f t="shared" si="218"/>
        <v>0.91325550761407237</v>
      </c>
      <c r="AG410">
        <v>6.6453318815578701E-3</v>
      </c>
    </row>
    <row r="411" spans="1:33" x14ac:dyDescent="0.3">
      <c r="A411">
        <v>2012</v>
      </c>
      <c r="B411" t="s">
        <v>11</v>
      </c>
      <c r="C411" t="s">
        <v>17</v>
      </c>
      <c r="D411">
        <f t="shared" si="211"/>
        <v>281</v>
      </c>
      <c r="E411">
        <v>48</v>
      </c>
      <c r="F411">
        <v>203</v>
      </c>
      <c r="G411">
        <v>211</v>
      </c>
      <c r="H411">
        <v>70</v>
      </c>
      <c r="I411">
        <f t="shared" si="224"/>
        <v>22</v>
      </c>
      <c r="J411">
        <v>0.20699562005713959</v>
      </c>
      <c r="K411">
        <f t="shared" si="219"/>
        <v>5.8624440476535684E-4</v>
      </c>
      <c r="L411">
        <f t="shared" si="213"/>
        <v>0.15749269762230508</v>
      </c>
      <c r="M411">
        <v>5.5839721408691596E-3</v>
      </c>
      <c r="N411">
        <v>0.72013129793648845</v>
      </c>
      <c r="O411">
        <f t="shared" si="220"/>
        <v>7.1979361310284631E-4</v>
      </c>
      <c r="P411">
        <f t="shared" si="214"/>
        <v>0.70017962996264038</v>
      </c>
      <c r="Q411">
        <v>1.0854057079358499E-2</v>
      </c>
      <c r="R411">
        <v>0.73949078259704404</v>
      </c>
      <c r="S411">
        <f t="shared" si="221"/>
        <v>6.8801487518234069E-4</v>
      </c>
      <c r="T411">
        <f t="shared" si="215"/>
        <v>0.75234434404033468</v>
      </c>
      <c r="U411">
        <v>7.8571070886501206E-3</v>
      </c>
      <c r="V411">
        <v>0.26050921740295607</v>
      </c>
      <c r="W411" s="23">
        <f t="shared" si="222"/>
        <v>6.8801487518234091E-4</v>
      </c>
      <c r="X411">
        <f t="shared" si="216"/>
        <v>0.24765565595966552</v>
      </c>
      <c r="Y411">
        <v>7.8480835098173503E-3</v>
      </c>
      <c r="Z411">
        <v>0.79458079111634039</v>
      </c>
      <c r="AA411">
        <f t="shared" ref="AA411:AA415" si="225">(Z411*(1-Z411))/(H411-1)</f>
        <v>2.3655385145691455E-3</v>
      </c>
      <c r="AB411">
        <f t="shared" si="217"/>
        <v>0.59076277164319646</v>
      </c>
      <c r="AC411">
        <v>2.7057200281463401E-2</v>
      </c>
      <c r="AD411">
        <v>0.97382051931389002</v>
      </c>
      <c r="AE411">
        <f t="shared" si="223"/>
        <v>1.2140054989102655E-4</v>
      </c>
      <c r="AF411">
        <f t="shared" si="218"/>
        <v>0.91325550761407237</v>
      </c>
      <c r="AG411">
        <v>6.6453318815578701E-3</v>
      </c>
    </row>
    <row r="412" spans="1:33" x14ac:dyDescent="0.3">
      <c r="A412">
        <v>2013</v>
      </c>
      <c r="B412" t="s">
        <v>11</v>
      </c>
      <c r="C412" t="s">
        <v>17</v>
      </c>
      <c r="D412">
        <f t="shared" si="211"/>
        <v>327</v>
      </c>
      <c r="E412">
        <v>43</v>
      </c>
      <c r="F412">
        <v>209</v>
      </c>
      <c r="G412">
        <v>242</v>
      </c>
      <c r="H412">
        <v>85</v>
      </c>
      <c r="I412">
        <f t="shared" si="224"/>
        <v>42</v>
      </c>
      <c r="J412">
        <v>8.3464935934659423E-2</v>
      </c>
      <c r="K412">
        <f t="shared" si="219"/>
        <v>2.3465809939902645E-4</v>
      </c>
      <c r="L412">
        <f t="shared" si="213"/>
        <v>0.15749269762230508</v>
      </c>
      <c r="M412">
        <v>5.5839721408691596E-3</v>
      </c>
      <c r="N412">
        <v>0.59766794040720073</v>
      </c>
      <c r="O412">
        <f t="shared" si="220"/>
        <v>7.3761034790372848E-4</v>
      </c>
      <c r="P412">
        <f t="shared" si="214"/>
        <v>0.70017962996264038</v>
      </c>
      <c r="Q412">
        <v>1.0854057079358499E-2</v>
      </c>
      <c r="R412">
        <v>0.79635294252658584</v>
      </c>
      <c r="S412">
        <f t="shared" si="221"/>
        <v>4.9746912103016598E-4</v>
      </c>
      <c r="T412">
        <f t="shared" si="215"/>
        <v>0.75234434404033468</v>
      </c>
      <c r="U412">
        <v>7.8571070886501206E-3</v>
      </c>
      <c r="V412">
        <v>0.20364705747341408</v>
      </c>
      <c r="W412" s="23">
        <f t="shared" si="222"/>
        <v>4.9746912103016587E-4</v>
      </c>
      <c r="X412">
        <f t="shared" si="216"/>
        <v>0.24765565595966552</v>
      </c>
      <c r="Y412">
        <v>7.8480835098173503E-3</v>
      </c>
      <c r="Z412">
        <v>0.40985093018373564</v>
      </c>
      <c r="AA412">
        <f t="shared" si="225"/>
        <v>2.8794422048959798E-3</v>
      </c>
      <c r="AB412">
        <f t="shared" si="217"/>
        <v>0.66534745632012626</v>
      </c>
      <c r="AC412">
        <v>2.7057200281463401E-2</v>
      </c>
      <c r="AD412">
        <v>0.75050635025091017</v>
      </c>
      <c r="AE412">
        <f t="shared" si="223"/>
        <v>7.7695671570111337E-4</v>
      </c>
      <c r="AF412">
        <f t="shared" si="218"/>
        <v>0.91325550761407237</v>
      </c>
      <c r="AG412">
        <v>6.6453318815578701E-3</v>
      </c>
    </row>
    <row r="413" spans="1:33" x14ac:dyDescent="0.3">
      <c r="A413">
        <v>2014</v>
      </c>
      <c r="B413" t="s">
        <v>11</v>
      </c>
      <c r="C413" t="s">
        <v>17</v>
      </c>
      <c r="D413">
        <f t="shared" si="211"/>
        <v>268</v>
      </c>
      <c r="E413">
        <v>48</v>
      </c>
      <c r="F413">
        <v>198</v>
      </c>
      <c r="G413">
        <v>206</v>
      </c>
      <c r="H413">
        <v>62</v>
      </c>
      <c r="I413">
        <f t="shared" si="224"/>
        <v>14</v>
      </c>
      <c r="J413">
        <v>0.17359009807673784</v>
      </c>
      <c r="K413">
        <f t="shared" si="219"/>
        <v>5.3729054654099763E-4</v>
      </c>
      <c r="L413">
        <f t="shared" si="213"/>
        <v>0.15749269762230508</v>
      </c>
      <c r="M413">
        <v>5.5839721408691596E-3</v>
      </c>
      <c r="N413">
        <v>0.74516604234426664</v>
      </c>
      <c r="O413">
        <f t="shared" si="220"/>
        <v>7.1121202876872375E-4</v>
      </c>
      <c r="P413">
        <f t="shared" si="214"/>
        <v>0.70017962996264038</v>
      </c>
      <c r="Q413">
        <v>1.0854057079358499E-2</v>
      </c>
      <c r="R413">
        <v>0.77823737161877693</v>
      </c>
      <c r="S413">
        <f t="shared" si="221"/>
        <v>6.4638189151563531E-4</v>
      </c>
      <c r="T413">
        <f t="shared" si="215"/>
        <v>0.75234434404033468</v>
      </c>
      <c r="U413">
        <v>7.8571070886501206E-3</v>
      </c>
      <c r="V413">
        <v>0.22176262838122307</v>
      </c>
      <c r="W413" s="23">
        <f t="shared" si="222"/>
        <v>6.4638189151563531E-4</v>
      </c>
      <c r="X413">
        <f t="shared" si="216"/>
        <v>0.24765565595966552</v>
      </c>
      <c r="Y413">
        <v>7.8480835098173503E-3</v>
      </c>
      <c r="Z413">
        <v>0.78277435356838476</v>
      </c>
      <c r="AA413">
        <f t="shared" si="225"/>
        <v>2.7875190977701986E-3</v>
      </c>
      <c r="AB413">
        <f t="shared" si="217"/>
        <v>0.63599073200806167</v>
      </c>
      <c r="AC413">
        <v>2.7057200281463401E-2</v>
      </c>
      <c r="AD413">
        <v>0.95750483017062005</v>
      </c>
      <c r="AE413">
        <f t="shared" si="223"/>
        <v>1.984845383929371E-4</v>
      </c>
      <c r="AF413">
        <f t="shared" si="218"/>
        <v>0.91325550761407237</v>
      </c>
      <c r="AG413">
        <v>6.6453318815578701E-3</v>
      </c>
    </row>
    <row r="414" spans="1:33" x14ac:dyDescent="0.3">
      <c r="A414">
        <v>2015</v>
      </c>
      <c r="B414" t="s">
        <v>11</v>
      </c>
      <c r="C414" t="s">
        <v>17</v>
      </c>
      <c r="D414">
        <f t="shared" si="211"/>
        <v>201</v>
      </c>
      <c r="E414">
        <v>35</v>
      </c>
      <c r="F414">
        <v>151</v>
      </c>
      <c r="G414">
        <v>154</v>
      </c>
      <c r="H414">
        <v>47</v>
      </c>
      <c r="I414">
        <f t="shared" si="224"/>
        <v>12</v>
      </c>
      <c r="J414">
        <v>0.14770879778779494</v>
      </c>
      <c r="K414">
        <f t="shared" si="219"/>
        <v>6.2945454421939632E-4</v>
      </c>
      <c r="L414">
        <f t="shared" si="213"/>
        <v>0.15749269762230508</v>
      </c>
      <c r="M414">
        <v>5.5839721408691596E-3</v>
      </c>
      <c r="N414">
        <v>0.7309416431758794</v>
      </c>
      <c r="O414">
        <f t="shared" si="220"/>
        <v>9.8332978723612396E-4</v>
      </c>
      <c r="P414">
        <f t="shared" si="214"/>
        <v>0.70017962996264038</v>
      </c>
      <c r="Q414">
        <v>1.0854057079358499E-2</v>
      </c>
      <c r="R414">
        <v>0.76915605132515197</v>
      </c>
      <c r="S414">
        <f>(R414*(1-R414))/($D414-1)</f>
        <v>8.8777510017526082E-4</v>
      </c>
      <c r="T414">
        <f t="shared" si="215"/>
        <v>0.75234434404033468</v>
      </c>
      <c r="U414">
        <v>7.8571070886501206E-3</v>
      </c>
      <c r="V414">
        <v>0.23084394867484781</v>
      </c>
      <c r="W414" s="23">
        <f t="shared" si="222"/>
        <v>8.8777510017526028E-4</v>
      </c>
      <c r="X414">
        <f t="shared" si="216"/>
        <v>0.24765565595966552</v>
      </c>
      <c r="Y414">
        <v>7.8480835098173503E-3</v>
      </c>
      <c r="AB414">
        <f t="shared" si="217"/>
        <v>0.62014395623920648</v>
      </c>
      <c r="AC414">
        <v>2.7057200281463401E-2</v>
      </c>
      <c r="AD414">
        <v>0.95031644347927247</v>
      </c>
      <c r="AE414">
        <f t="shared" si="223"/>
        <v>3.0859542962208633E-4</v>
      </c>
      <c r="AF414">
        <f t="shared" si="218"/>
        <v>0.91325550761407237</v>
      </c>
      <c r="AG414">
        <v>6.6453318815578701E-3</v>
      </c>
    </row>
    <row r="415" spans="1:33" x14ac:dyDescent="0.3">
      <c r="A415">
        <v>2016</v>
      </c>
      <c r="B415" t="s">
        <v>11</v>
      </c>
      <c r="C415" t="s">
        <v>17</v>
      </c>
      <c r="D415">
        <f t="shared" si="211"/>
        <v>223</v>
      </c>
      <c r="E415">
        <v>48</v>
      </c>
      <c r="F415">
        <v>147</v>
      </c>
      <c r="G415">
        <v>168</v>
      </c>
      <c r="H415">
        <v>55</v>
      </c>
      <c r="I415">
        <f t="shared" si="224"/>
        <v>7</v>
      </c>
      <c r="J415">
        <v>0.22273826681389011</v>
      </c>
      <c r="K415">
        <f t="shared" si="219"/>
        <v>7.7984653743529012E-4</v>
      </c>
      <c r="L415">
        <f t="shared" si="213"/>
        <v>0.15749269762230508</v>
      </c>
      <c r="M415">
        <v>5.5839721408691596E-3</v>
      </c>
      <c r="N415">
        <v>0.520537168072714</v>
      </c>
      <c r="O415">
        <f t="shared" si="220"/>
        <v>1.1242262375115004E-3</v>
      </c>
      <c r="P415">
        <f t="shared" si="214"/>
        <v>0.70017962996264038</v>
      </c>
      <c r="Q415">
        <v>1.0854057079358499E-2</v>
      </c>
      <c r="R415">
        <v>0.59993619198726722</v>
      </c>
      <c r="S415">
        <f t="shared" si="221"/>
        <v>1.0811385474373157E-3</v>
      </c>
      <c r="T415">
        <f t="shared" si="215"/>
        <v>0.75234434404033468</v>
      </c>
      <c r="U415">
        <v>7.8571070886501206E-3</v>
      </c>
      <c r="V415">
        <v>0.40006380801273289</v>
      </c>
      <c r="W415" s="23">
        <f t="shared" si="222"/>
        <v>1.0811385474373157E-3</v>
      </c>
      <c r="X415">
        <f t="shared" si="216"/>
        <v>0.24765565595966552</v>
      </c>
      <c r="Y415">
        <v>7.8480835098173503E-3</v>
      </c>
      <c r="Z415">
        <v>0.55675685316378598</v>
      </c>
      <c r="AA415">
        <f t="shared" si="225"/>
        <v>4.5699751781286008E-3</v>
      </c>
      <c r="AB415">
        <f t="shared" si="217"/>
        <v>0.63599073200806167</v>
      </c>
      <c r="AC415">
        <v>2.7057200281463401E-2</v>
      </c>
      <c r="AD415">
        <v>0.86765421894027306</v>
      </c>
      <c r="AE415">
        <f t="shared" si="223"/>
        <v>6.8760703769711238E-4</v>
      </c>
      <c r="AF415">
        <f t="shared" si="218"/>
        <v>0.91325550761407237</v>
      </c>
      <c r="AG415">
        <v>6.6453318815578701E-3</v>
      </c>
    </row>
    <row r="416" spans="1:33" x14ac:dyDescent="0.3">
      <c r="A416">
        <v>2017</v>
      </c>
      <c r="B416" t="s">
        <v>11</v>
      </c>
      <c r="C416" t="s">
        <v>17</v>
      </c>
      <c r="D416">
        <f t="shared" si="211"/>
        <v>140</v>
      </c>
      <c r="E416">
        <v>18</v>
      </c>
      <c r="F416">
        <v>99</v>
      </c>
      <c r="G416">
        <v>113</v>
      </c>
      <c r="H416">
        <v>27</v>
      </c>
      <c r="I416">
        <f t="shared" si="224"/>
        <v>9</v>
      </c>
      <c r="J416">
        <v>0.16015768578762918</v>
      </c>
      <c r="K416">
        <f t="shared" si="219"/>
        <v>9.6767770842287918E-4</v>
      </c>
      <c r="L416">
        <f t="shared" si="213"/>
        <v>0.15749269762230508</v>
      </c>
      <c r="M416">
        <v>5.5839721408691596E-3</v>
      </c>
      <c r="N416">
        <v>0.68874964028830121</v>
      </c>
      <c r="O416">
        <f t="shared" si="220"/>
        <v>1.5422559229571E-3</v>
      </c>
      <c r="P416">
        <f t="shared" si="214"/>
        <v>0.70017962996264038</v>
      </c>
      <c r="Q416">
        <v>1.0854057079358499E-2</v>
      </c>
      <c r="R416">
        <v>0.77661589513817542</v>
      </c>
      <c r="S416">
        <f t="shared" si="221"/>
        <v>1.2480837881791793E-3</v>
      </c>
      <c r="T416">
        <f t="shared" si="215"/>
        <v>0.75234434404033468</v>
      </c>
      <c r="U416">
        <v>7.8571070886501206E-3</v>
      </c>
      <c r="V416">
        <v>0.22338410486182456</v>
      </c>
      <c r="W416" s="23">
        <f t="shared" si="222"/>
        <v>1.2480837881791793E-3</v>
      </c>
      <c r="X416">
        <f t="shared" si="216"/>
        <v>0.24765565595966552</v>
      </c>
      <c r="Y416">
        <v>7.8480835098173503E-3</v>
      </c>
      <c r="AB416">
        <f>AVERAGE(Z$411:Z$413,Z$415)</f>
        <v>0.63599073200806167</v>
      </c>
      <c r="AC416">
        <v>2.7057200281463401E-2</v>
      </c>
      <c r="AD416">
        <v>0.88686008694910756</v>
      </c>
      <c r="AE416">
        <f t="shared" si="223"/>
        <v>8.9588636719400831E-4</v>
      </c>
      <c r="AF416">
        <f t="shared" si="218"/>
        <v>0.91325550761407237</v>
      </c>
      <c r="AG416">
        <v>6.6453318815578701E-3</v>
      </c>
    </row>
    <row r="417" spans="1:33" x14ac:dyDescent="0.3">
      <c r="A417">
        <v>2018</v>
      </c>
      <c r="B417" t="s">
        <v>11</v>
      </c>
      <c r="C417" t="s">
        <v>17</v>
      </c>
      <c r="D417">
        <f t="shared" si="211"/>
        <v>113</v>
      </c>
      <c r="E417">
        <v>17</v>
      </c>
      <c r="F417">
        <v>86</v>
      </c>
      <c r="G417">
        <v>86</v>
      </c>
      <c r="H417">
        <v>27</v>
      </c>
      <c r="I417">
        <f t="shared" si="224"/>
        <v>10</v>
      </c>
      <c r="J417">
        <v>0.20813755869646852</v>
      </c>
      <c r="K417">
        <f t="shared" si="219"/>
        <v>1.4715742442530592E-3</v>
      </c>
      <c r="L417">
        <f>AVERAGE(J$400,J$402:J$404,J$408:J$418)</f>
        <v>0.15749269762230508</v>
      </c>
      <c r="M417">
        <v>5.5839721408691596E-3</v>
      </c>
      <c r="N417">
        <v>0.63329915560220362</v>
      </c>
      <c r="O417">
        <f t="shared" si="220"/>
        <v>2.0734940635333886E-3</v>
      </c>
      <c r="P417">
        <f>AVERAGE(N$400,N$402:N$404,N$408:N$418)</f>
        <v>0.70017962996264038</v>
      </c>
      <c r="Q417">
        <v>1.0854057079358499E-2</v>
      </c>
      <c r="R417">
        <v>0.63329915560220362</v>
      </c>
      <c r="S417">
        <f t="shared" si="221"/>
        <v>2.0734940635333886E-3</v>
      </c>
      <c r="T417">
        <f>AVERAGE(R$400,R$402:R$404,R$408:R$418)</f>
        <v>0.75234434404033468</v>
      </c>
      <c r="U417">
        <v>7.8571070886501206E-3</v>
      </c>
      <c r="V417">
        <v>0.36670084439779643</v>
      </c>
      <c r="W417" s="23">
        <f t="shared" si="222"/>
        <v>2.0734940635333886E-3</v>
      </c>
      <c r="X417">
        <f>AVERAGE(V$400,V$402:V$404,V$408:V$418)</f>
        <v>0.24765565595966552</v>
      </c>
      <c r="Y417">
        <v>7.8480835098173503E-3</v>
      </c>
      <c r="AB417">
        <f>AVERAGE(Z$411:Z$413,Z$415)</f>
        <v>0.63599073200806167</v>
      </c>
      <c r="AC417">
        <v>2.7057200281463401E-2</v>
      </c>
      <c r="AD417">
        <v>1</v>
      </c>
      <c r="AE417">
        <f t="shared" si="223"/>
        <v>0</v>
      </c>
      <c r="AF417">
        <f>AVERAGE(AD$402,AD$408:AD$418)</f>
        <v>0.91325550761407237</v>
      </c>
      <c r="AG417">
        <v>6.6453318815578701E-3</v>
      </c>
    </row>
    <row r="418" spans="1:33" x14ac:dyDescent="0.3">
      <c r="A418">
        <v>2019</v>
      </c>
      <c r="B418" t="s">
        <v>11</v>
      </c>
      <c r="C418" t="s">
        <v>17</v>
      </c>
      <c r="D418">
        <f t="shared" si="211"/>
        <v>246</v>
      </c>
      <c r="E418">
        <v>38</v>
      </c>
      <c r="F418">
        <v>139</v>
      </c>
      <c r="G418">
        <v>182</v>
      </c>
      <c r="H418">
        <v>64</v>
      </c>
      <c r="I418">
        <f t="shared" si="224"/>
        <v>26</v>
      </c>
      <c r="J418">
        <v>0.15346430388243176</v>
      </c>
      <c r="K418">
        <f t="shared" si="219"/>
        <v>5.3025718904617315E-4</v>
      </c>
      <c r="L418">
        <f>AVERAGE(J$400,J$402:J$404,J$408:J$418)</f>
        <v>0.15749269762230508</v>
      </c>
      <c r="M418">
        <v>5.5839721408691596E-3</v>
      </c>
      <c r="N418">
        <v>0.57068481635902357</v>
      </c>
      <c r="O418">
        <f t="shared" si="220"/>
        <v>1.0000149254542495E-3</v>
      </c>
      <c r="P418">
        <f>AVERAGE(N$400,N$402:N$404,N$408:N$418)</f>
        <v>0.70017962996264038</v>
      </c>
      <c r="Q418">
        <v>1.0854057079358499E-2</v>
      </c>
      <c r="R418">
        <v>0.72999534538707533</v>
      </c>
      <c r="S418">
        <f t="shared" si="221"/>
        <v>8.044985351031834E-4</v>
      </c>
      <c r="T418">
        <f>AVERAGE(R$400,R$402:R$404,R$408:R$418)</f>
        <v>0.75234434404033468</v>
      </c>
      <c r="U418">
        <v>7.8571070886501206E-3</v>
      </c>
      <c r="V418">
        <v>0.27000465461292467</v>
      </c>
      <c r="W418" s="23">
        <f t="shared" si="222"/>
        <v>8.044985351031834E-4</v>
      </c>
      <c r="X418">
        <f>AVERAGE(V$400,V$402:V$404,V$408:V$418)</f>
        <v>0.24765565595966552</v>
      </c>
      <c r="Y418">
        <v>7.8480835098173503E-3</v>
      </c>
      <c r="Z418">
        <v>0.56837651225841379</v>
      </c>
      <c r="AA418">
        <f t="shared" ref="AA418" si="226">(Z418*(1-Z418))/(H418-1)</f>
        <v>3.8940421043075395E-3</v>
      </c>
      <c r="AB418">
        <f>AVERAGE(Z$411:Z$413,Z$415,Z$418)</f>
        <v>0.62246788805813202</v>
      </c>
      <c r="AC418">
        <v>2.7057200281463401E-2</v>
      </c>
      <c r="AD418">
        <v>0.78176500708565688</v>
      </c>
      <c r="AE418">
        <f t="shared" si="223"/>
        <v>9.4258829161336872E-4</v>
      </c>
      <c r="AF418">
        <f>AVERAGE(AD$402,AD$408:AD$418)</f>
        <v>0.91325550761407237</v>
      </c>
      <c r="AG418">
        <v>6.6453318815578701E-3</v>
      </c>
    </row>
    <row r="419" spans="1:33" x14ac:dyDescent="0.3">
      <c r="A419">
        <v>2020</v>
      </c>
      <c r="B419" t="s">
        <v>11</v>
      </c>
      <c r="C419" t="s">
        <v>17</v>
      </c>
      <c r="D419">
        <f t="shared" si="211"/>
        <v>176</v>
      </c>
      <c r="E419">
        <v>35</v>
      </c>
      <c r="F419">
        <v>117</v>
      </c>
      <c r="G419">
        <v>130</v>
      </c>
      <c r="H419">
        <v>46</v>
      </c>
      <c r="I419">
        <f t="shared" si="224"/>
        <v>11</v>
      </c>
      <c r="J419">
        <v>0.13973998479323602</v>
      </c>
      <c r="K419">
        <f t="shared" si="219"/>
        <v>6.8692983681841249E-4</v>
      </c>
      <c r="N419">
        <v>0.54515706006409503</v>
      </c>
      <c r="O419">
        <f t="shared" si="220"/>
        <v>1.4169190852935298E-3</v>
      </c>
      <c r="R419">
        <v>0.74277256183616303</v>
      </c>
      <c r="S419">
        <f t="shared" si="221"/>
        <v>1.0917799041114651E-3</v>
      </c>
      <c r="V419">
        <v>0.25722743816383703</v>
      </c>
      <c r="W419" s="23">
        <f t="shared" si="222"/>
        <v>1.0917799041114651E-3</v>
      </c>
      <c r="AB419">
        <f t="shared" ref="AB419:AB420" si="227">AVERAGE(Z$411:Z$413,Z$415,Z$418)</f>
        <v>0.62246788805813202</v>
      </c>
      <c r="AD419">
        <v>0.73394883989312298</v>
      </c>
      <c r="AE419">
        <f t="shared" si="223"/>
        <v>1.5137049636640457E-3</v>
      </c>
    </row>
    <row r="420" spans="1:33" x14ac:dyDescent="0.3">
      <c r="A420">
        <v>2021</v>
      </c>
      <c r="B420" t="s">
        <v>11</v>
      </c>
      <c r="C420" t="s">
        <v>17</v>
      </c>
      <c r="D420">
        <f t="shared" si="211"/>
        <v>82</v>
      </c>
      <c r="E420">
        <v>23</v>
      </c>
      <c r="F420">
        <v>51</v>
      </c>
      <c r="G420">
        <v>55</v>
      </c>
      <c r="H420">
        <v>27</v>
      </c>
      <c r="I420">
        <f t="shared" si="224"/>
        <v>4</v>
      </c>
      <c r="J420">
        <v>0.26300720732145494</v>
      </c>
      <c r="K420">
        <f t="shared" si="219"/>
        <v>2.3930174841780764E-3</v>
      </c>
      <c r="N420">
        <v>0.64592902584913237</v>
      </c>
      <c r="O420">
        <f t="shared" si="220"/>
        <v>2.8235150545027564E-3</v>
      </c>
      <c r="R420">
        <v>0.72472047851541854</v>
      </c>
      <c r="S420">
        <f t="shared" si="221"/>
        <v>2.462971685627177E-3</v>
      </c>
      <c r="V420">
        <v>0.27527952148458135</v>
      </c>
      <c r="W420" s="23">
        <f t="shared" si="222"/>
        <v>2.4629716856271761E-3</v>
      </c>
      <c r="AB420">
        <f t="shared" si="227"/>
        <v>0.62246788805813202</v>
      </c>
      <c r="AD420">
        <v>0.89128021768104371</v>
      </c>
      <c r="AE420">
        <f t="shared" si="223"/>
        <v>1.7944405787310195E-3</v>
      </c>
    </row>
    <row r="421" spans="1:33" x14ac:dyDescent="0.3">
      <c r="A421">
        <v>2022</v>
      </c>
      <c r="B421" s="15" t="s">
        <v>11</v>
      </c>
      <c r="C421" s="15" t="s">
        <v>17</v>
      </c>
      <c r="D421">
        <v>113</v>
      </c>
      <c r="E421">
        <v>23</v>
      </c>
      <c r="F421">
        <v>70</v>
      </c>
      <c r="G421">
        <v>82</v>
      </c>
      <c r="H421">
        <v>31</v>
      </c>
      <c r="I421">
        <v>8</v>
      </c>
      <c r="J421">
        <f>'R2 unguide wt multiport'!AR115</f>
        <v>0.15870998748713316</v>
      </c>
      <c r="K421">
        <f t="shared" si="219"/>
        <v>1.1921529228479215E-3</v>
      </c>
      <c r="N421">
        <f>'R2 unguide wt multiport'!AS115</f>
        <v>0.68179343203008302</v>
      </c>
      <c r="O421">
        <f t="shared" si="220"/>
        <v>1.937063822060032E-3</v>
      </c>
      <c r="R421">
        <f>'R2 unguide wt multiport'!AP115</f>
        <v>0.75513373644864412</v>
      </c>
      <c r="S421">
        <f t="shared" si="221"/>
        <v>1.6509533618370876E-3</v>
      </c>
      <c r="V421">
        <f>'R2 unguide wt multiport'!AQ115</f>
        <v>0.24486626355135585</v>
      </c>
      <c r="W421" s="23">
        <f t="shared" si="222"/>
        <v>1.6509533618370871E-3</v>
      </c>
      <c r="AB421">
        <f>'R2 unguide wt multiport'!AT115</f>
        <v>0.64814966825287834</v>
      </c>
      <c r="AD421">
        <f>'R2 unguide wt multiport'!AU115</f>
        <v>0.90287772764136209</v>
      </c>
      <c r="AE421">
        <f t="shared" si="223"/>
        <v>1.0825868712411415E-3</v>
      </c>
    </row>
    <row r="422" spans="1:33" hidden="1" x14ac:dyDescent="0.3">
      <c r="A422" s="25">
        <v>1993</v>
      </c>
      <c r="B422" s="25" t="s">
        <v>9</v>
      </c>
      <c r="C422" s="25" t="s">
        <v>18</v>
      </c>
      <c r="D422" s="25">
        <f t="shared" si="211"/>
        <v>0</v>
      </c>
      <c r="E422" s="25">
        <v>0</v>
      </c>
      <c r="F422" s="25">
        <v>0</v>
      </c>
      <c r="G422" s="25">
        <v>0</v>
      </c>
      <c r="H422" s="25">
        <v>0</v>
      </c>
      <c r="I422" s="25">
        <f t="shared" si="224"/>
        <v>0</v>
      </c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6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</row>
    <row r="423" spans="1:33" hidden="1" x14ac:dyDescent="0.3">
      <c r="A423" s="25">
        <v>1994</v>
      </c>
      <c r="B423" s="25" t="s">
        <v>9</v>
      </c>
      <c r="C423" s="25" t="s">
        <v>18</v>
      </c>
      <c r="D423" s="25">
        <f t="shared" si="211"/>
        <v>0</v>
      </c>
      <c r="E423" s="25">
        <v>0</v>
      </c>
      <c r="F423" s="25">
        <v>0</v>
      </c>
      <c r="G423" s="25">
        <v>0</v>
      </c>
      <c r="H423" s="25">
        <v>0</v>
      </c>
      <c r="I423" s="25">
        <f t="shared" si="224"/>
        <v>0</v>
      </c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6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</row>
    <row r="424" spans="1:33" hidden="1" x14ac:dyDescent="0.3">
      <c r="A424" s="25">
        <v>1995</v>
      </c>
      <c r="B424" s="25" t="s">
        <v>9</v>
      </c>
      <c r="C424" s="25" t="s">
        <v>18</v>
      </c>
      <c r="D424" s="25">
        <f t="shared" si="211"/>
        <v>0</v>
      </c>
      <c r="E424" s="25">
        <v>0</v>
      </c>
      <c r="F424" s="25">
        <v>0</v>
      </c>
      <c r="G424" s="25">
        <v>0</v>
      </c>
      <c r="H424" s="25">
        <v>0</v>
      </c>
      <c r="I424" s="25">
        <f t="shared" si="224"/>
        <v>0</v>
      </c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6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</row>
    <row r="425" spans="1:33" hidden="1" x14ac:dyDescent="0.3">
      <c r="A425" s="25">
        <v>1996</v>
      </c>
      <c r="B425" s="25" t="s">
        <v>9</v>
      </c>
      <c r="C425" s="25" t="s">
        <v>18</v>
      </c>
      <c r="D425" s="25">
        <f t="shared" si="211"/>
        <v>0</v>
      </c>
      <c r="E425" s="25">
        <v>0</v>
      </c>
      <c r="F425" s="25">
        <v>0</v>
      </c>
      <c r="G425" s="25">
        <v>0</v>
      </c>
      <c r="H425" s="25">
        <v>0</v>
      </c>
      <c r="I425" s="25">
        <f t="shared" si="224"/>
        <v>0</v>
      </c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6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</row>
    <row r="426" spans="1:33" hidden="1" x14ac:dyDescent="0.3">
      <c r="A426" s="25">
        <v>1997</v>
      </c>
      <c r="B426" s="25" t="s">
        <v>9</v>
      </c>
      <c r="C426" s="25" t="s">
        <v>18</v>
      </c>
      <c r="D426" s="25">
        <f t="shared" si="211"/>
        <v>0</v>
      </c>
      <c r="E426" s="25">
        <v>0</v>
      </c>
      <c r="F426" s="25">
        <v>0</v>
      </c>
      <c r="G426" s="25">
        <v>0</v>
      </c>
      <c r="H426" s="25">
        <v>0</v>
      </c>
      <c r="I426" s="25">
        <f t="shared" si="224"/>
        <v>0</v>
      </c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6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</row>
    <row r="427" spans="1:33" hidden="1" x14ac:dyDescent="0.3">
      <c r="A427" s="25">
        <v>1998</v>
      </c>
      <c r="B427" s="25" t="s">
        <v>9</v>
      </c>
      <c r="C427" s="25" t="s">
        <v>18</v>
      </c>
      <c r="D427" s="25">
        <f t="shared" si="211"/>
        <v>0</v>
      </c>
      <c r="E427" s="25">
        <v>0</v>
      </c>
      <c r="F427" s="25">
        <v>0</v>
      </c>
      <c r="G427" s="25">
        <v>0</v>
      </c>
      <c r="H427" s="25">
        <v>0</v>
      </c>
      <c r="I427" s="25">
        <f t="shared" si="224"/>
        <v>0</v>
      </c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6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</row>
    <row r="428" spans="1:33" hidden="1" x14ac:dyDescent="0.3">
      <c r="A428" s="25">
        <v>1999</v>
      </c>
      <c r="B428" s="25" t="s">
        <v>9</v>
      </c>
      <c r="C428" s="25" t="s">
        <v>18</v>
      </c>
      <c r="D428" s="25">
        <f t="shared" si="211"/>
        <v>0</v>
      </c>
      <c r="E428" s="25">
        <v>0</v>
      </c>
      <c r="F428" s="25">
        <v>0</v>
      </c>
      <c r="G428" s="25">
        <v>0</v>
      </c>
      <c r="H428" s="25">
        <v>0</v>
      </c>
      <c r="I428" s="25">
        <f t="shared" si="224"/>
        <v>0</v>
      </c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6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</row>
    <row r="429" spans="1:33" hidden="1" x14ac:dyDescent="0.3">
      <c r="A429" s="25">
        <v>2000</v>
      </c>
      <c r="B429" s="25" t="s">
        <v>9</v>
      </c>
      <c r="C429" s="25" t="s">
        <v>18</v>
      </c>
      <c r="D429" s="25">
        <f t="shared" si="211"/>
        <v>0</v>
      </c>
      <c r="E429" s="25">
        <v>0</v>
      </c>
      <c r="F429" s="25">
        <v>0</v>
      </c>
      <c r="G429" s="25">
        <v>0</v>
      </c>
      <c r="H429" s="25">
        <v>0</v>
      </c>
      <c r="I429" s="25">
        <f t="shared" si="224"/>
        <v>0</v>
      </c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6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</row>
    <row r="430" spans="1:33" hidden="1" x14ac:dyDescent="0.3">
      <c r="A430" s="25">
        <v>2001</v>
      </c>
      <c r="B430" s="25" t="s">
        <v>9</v>
      </c>
      <c r="C430" s="25" t="s">
        <v>18</v>
      </c>
      <c r="D430" s="25">
        <f t="shared" si="211"/>
        <v>0</v>
      </c>
      <c r="E430" s="25">
        <v>0</v>
      </c>
      <c r="F430" s="25">
        <v>0</v>
      </c>
      <c r="G430" s="25">
        <v>0</v>
      </c>
      <c r="H430" s="25">
        <v>0</v>
      </c>
      <c r="I430" s="25">
        <f t="shared" si="224"/>
        <v>0</v>
      </c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6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</row>
    <row r="431" spans="1:33" hidden="1" x14ac:dyDescent="0.3">
      <c r="A431" s="25">
        <v>2002</v>
      </c>
      <c r="B431" s="25" t="s">
        <v>9</v>
      </c>
      <c r="C431" s="25" t="s">
        <v>18</v>
      </c>
      <c r="D431" s="25">
        <f t="shared" si="211"/>
        <v>0</v>
      </c>
      <c r="E431" s="25">
        <v>0</v>
      </c>
      <c r="F431" s="25">
        <v>0</v>
      </c>
      <c r="G431" s="25">
        <v>0</v>
      </c>
      <c r="H431" s="25">
        <v>0</v>
      </c>
      <c r="I431" s="25">
        <f t="shared" si="224"/>
        <v>0</v>
      </c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6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</row>
    <row r="432" spans="1:33" hidden="1" x14ac:dyDescent="0.3">
      <c r="A432" s="25">
        <v>2003</v>
      </c>
      <c r="B432" s="25" t="s">
        <v>9</v>
      </c>
      <c r="C432" s="25" t="s">
        <v>18</v>
      </c>
      <c r="D432" s="25">
        <f t="shared" si="211"/>
        <v>0</v>
      </c>
      <c r="E432" s="25">
        <v>0</v>
      </c>
      <c r="F432" s="25">
        <v>0</v>
      </c>
      <c r="G432" s="25">
        <v>0</v>
      </c>
      <c r="H432" s="25">
        <v>0</v>
      </c>
      <c r="I432" s="25">
        <f t="shared" si="224"/>
        <v>0</v>
      </c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6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</row>
    <row r="433" spans="1:33" hidden="1" x14ac:dyDescent="0.3">
      <c r="A433" s="25">
        <v>2004</v>
      </c>
      <c r="B433" s="25" t="s">
        <v>9</v>
      </c>
      <c r="C433" s="25" t="s">
        <v>18</v>
      </c>
      <c r="D433" s="25">
        <f t="shared" si="211"/>
        <v>0</v>
      </c>
      <c r="E433" s="25">
        <v>0</v>
      </c>
      <c r="F433" s="25">
        <v>0</v>
      </c>
      <c r="G433" s="25">
        <v>0</v>
      </c>
      <c r="H433" s="25">
        <v>0</v>
      </c>
      <c r="I433" s="25">
        <f t="shared" si="224"/>
        <v>0</v>
      </c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6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</row>
    <row r="434" spans="1:33" hidden="1" x14ac:dyDescent="0.3">
      <c r="A434" s="25">
        <v>2005</v>
      </c>
      <c r="B434" s="25" t="s">
        <v>9</v>
      </c>
      <c r="C434" s="25" t="s">
        <v>18</v>
      </c>
      <c r="D434" s="25">
        <f t="shared" si="211"/>
        <v>0</v>
      </c>
      <c r="E434" s="25">
        <v>0</v>
      </c>
      <c r="F434" s="25">
        <v>0</v>
      </c>
      <c r="G434" s="25">
        <v>0</v>
      </c>
      <c r="H434" s="25">
        <v>0</v>
      </c>
      <c r="I434" s="25">
        <f t="shared" si="224"/>
        <v>0</v>
      </c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6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</row>
    <row r="435" spans="1:33" hidden="1" x14ac:dyDescent="0.3">
      <c r="A435" s="25">
        <v>2006</v>
      </c>
      <c r="B435" s="25" t="s">
        <v>9</v>
      </c>
      <c r="C435" s="25" t="s">
        <v>18</v>
      </c>
      <c r="D435" s="25">
        <f t="shared" si="211"/>
        <v>0</v>
      </c>
      <c r="E435" s="25">
        <v>0</v>
      </c>
      <c r="F435" s="25">
        <v>0</v>
      </c>
      <c r="G435" s="25">
        <v>0</v>
      </c>
      <c r="H435" s="25">
        <v>0</v>
      </c>
      <c r="I435" s="25">
        <f t="shared" si="224"/>
        <v>0</v>
      </c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6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</row>
    <row r="436" spans="1:33" hidden="1" x14ac:dyDescent="0.3">
      <c r="A436" s="25">
        <v>2007</v>
      </c>
      <c r="B436" s="25" t="s">
        <v>9</v>
      </c>
      <c r="C436" s="25" t="s">
        <v>18</v>
      </c>
      <c r="D436" s="25">
        <f t="shared" si="211"/>
        <v>0</v>
      </c>
      <c r="E436" s="25">
        <v>0</v>
      </c>
      <c r="F436" s="25">
        <v>0</v>
      </c>
      <c r="G436" s="25">
        <v>0</v>
      </c>
      <c r="H436" s="25">
        <v>0</v>
      </c>
      <c r="I436" s="25">
        <f t="shared" si="224"/>
        <v>0</v>
      </c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6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</row>
    <row r="437" spans="1:33" hidden="1" x14ac:dyDescent="0.3">
      <c r="A437" s="25">
        <v>2008</v>
      </c>
      <c r="B437" s="25" t="s">
        <v>9</v>
      </c>
      <c r="C437" s="25" t="s">
        <v>18</v>
      </c>
      <c r="D437" s="25">
        <f t="shared" si="211"/>
        <v>0</v>
      </c>
      <c r="E437" s="25">
        <v>0</v>
      </c>
      <c r="F437" s="25">
        <v>0</v>
      </c>
      <c r="G437" s="25">
        <v>0</v>
      </c>
      <c r="H437" s="25">
        <v>0</v>
      </c>
      <c r="I437" s="25">
        <f t="shared" si="224"/>
        <v>0</v>
      </c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6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</row>
    <row r="438" spans="1:33" hidden="1" x14ac:dyDescent="0.3">
      <c r="A438" s="25">
        <v>2009</v>
      </c>
      <c r="B438" s="25" t="s">
        <v>9</v>
      </c>
      <c r="C438" s="25" t="s">
        <v>18</v>
      </c>
      <c r="D438" s="25">
        <f t="shared" si="211"/>
        <v>9</v>
      </c>
      <c r="E438" s="25">
        <v>4</v>
      </c>
      <c r="F438" s="25">
        <v>4</v>
      </c>
      <c r="G438" s="25">
        <v>5</v>
      </c>
      <c r="H438" s="25">
        <v>4</v>
      </c>
      <c r="I438" s="25">
        <f t="shared" si="224"/>
        <v>0</v>
      </c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6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</row>
    <row r="439" spans="1:33" hidden="1" x14ac:dyDescent="0.3">
      <c r="A439" s="25">
        <v>2010</v>
      </c>
      <c r="B439" s="25" t="s">
        <v>9</v>
      </c>
      <c r="C439" s="25" t="s">
        <v>18</v>
      </c>
      <c r="D439" s="25">
        <f t="shared" si="211"/>
        <v>0</v>
      </c>
      <c r="E439" s="25">
        <v>0</v>
      </c>
      <c r="F439" s="25">
        <v>0</v>
      </c>
      <c r="G439" s="25">
        <v>0</v>
      </c>
      <c r="H439" s="25">
        <v>0</v>
      </c>
      <c r="I439" s="25">
        <f t="shared" si="224"/>
        <v>0</v>
      </c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6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</row>
    <row r="440" spans="1:33" hidden="1" x14ac:dyDescent="0.3">
      <c r="A440" s="25">
        <v>2011</v>
      </c>
      <c r="B440" s="25" t="s">
        <v>9</v>
      </c>
      <c r="C440" s="25" t="s">
        <v>18</v>
      </c>
      <c r="D440" s="25">
        <f t="shared" si="211"/>
        <v>0</v>
      </c>
      <c r="E440" s="25">
        <v>0</v>
      </c>
      <c r="F440" s="25">
        <v>0</v>
      </c>
      <c r="G440" s="25">
        <v>0</v>
      </c>
      <c r="H440" s="25">
        <v>0</v>
      </c>
      <c r="I440" s="25">
        <f t="shared" si="224"/>
        <v>0</v>
      </c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6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</row>
    <row r="441" spans="1:33" hidden="1" x14ac:dyDescent="0.3">
      <c r="A441" s="25">
        <v>2012</v>
      </c>
      <c r="B441" s="25" t="s">
        <v>9</v>
      </c>
      <c r="C441" s="25" t="s">
        <v>18</v>
      </c>
      <c r="D441" s="25">
        <f t="shared" si="211"/>
        <v>0</v>
      </c>
      <c r="E441" s="25">
        <v>0</v>
      </c>
      <c r="F441" s="25">
        <v>0</v>
      </c>
      <c r="G441" s="25">
        <v>0</v>
      </c>
      <c r="H441" s="25">
        <v>0</v>
      </c>
      <c r="I441" s="25">
        <f t="shared" si="224"/>
        <v>0</v>
      </c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6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</row>
    <row r="442" spans="1:33" hidden="1" x14ac:dyDescent="0.3">
      <c r="A442" s="25">
        <v>2013</v>
      </c>
      <c r="B442" s="25" t="s">
        <v>9</v>
      </c>
      <c r="C442" s="25" t="s">
        <v>18</v>
      </c>
      <c r="D442" s="25">
        <f t="shared" si="211"/>
        <v>0</v>
      </c>
      <c r="E442" s="25">
        <v>0</v>
      </c>
      <c r="F442" s="25">
        <v>0</v>
      </c>
      <c r="G442" s="25">
        <v>0</v>
      </c>
      <c r="H442" s="25">
        <v>0</v>
      </c>
      <c r="I442" s="25">
        <f t="shared" si="224"/>
        <v>0</v>
      </c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6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</row>
    <row r="443" spans="1:33" hidden="1" x14ac:dyDescent="0.3">
      <c r="A443" s="25">
        <v>2014</v>
      </c>
      <c r="B443" s="25" t="s">
        <v>9</v>
      </c>
      <c r="C443" s="25" t="s">
        <v>18</v>
      </c>
      <c r="D443" s="25">
        <f t="shared" si="211"/>
        <v>0</v>
      </c>
      <c r="E443" s="25">
        <v>0</v>
      </c>
      <c r="F443" s="25">
        <v>0</v>
      </c>
      <c r="G443" s="25">
        <v>0</v>
      </c>
      <c r="H443" s="25">
        <v>0</v>
      </c>
      <c r="I443" s="25">
        <f t="shared" si="224"/>
        <v>0</v>
      </c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6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</row>
    <row r="444" spans="1:33" hidden="1" x14ac:dyDescent="0.3">
      <c r="A444" s="25">
        <v>2015</v>
      </c>
      <c r="B444" s="25" t="s">
        <v>9</v>
      </c>
      <c r="C444" s="25" t="s">
        <v>18</v>
      </c>
      <c r="D444" s="25">
        <f t="shared" si="211"/>
        <v>0</v>
      </c>
      <c r="E444" s="25">
        <v>0</v>
      </c>
      <c r="F444" s="25">
        <v>0</v>
      </c>
      <c r="G444" s="25">
        <v>0</v>
      </c>
      <c r="H444" s="25">
        <v>0</v>
      </c>
      <c r="I444" s="25">
        <f t="shared" si="224"/>
        <v>0</v>
      </c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6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</row>
    <row r="445" spans="1:33" hidden="1" x14ac:dyDescent="0.3">
      <c r="A445" s="25">
        <v>2016</v>
      </c>
      <c r="B445" s="25" t="s">
        <v>9</v>
      </c>
      <c r="C445" s="25" t="s">
        <v>18</v>
      </c>
      <c r="D445" s="25">
        <f t="shared" si="211"/>
        <v>0</v>
      </c>
      <c r="E445" s="25">
        <v>0</v>
      </c>
      <c r="F445" s="25">
        <v>0</v>
      </c>
      <c r="G445" s="25">
        <v>0</v>
      </c>
      <c r="H445" s="25">
        <v>0</v>
      </c>
      <c r="I445" s="25">
        <f t="shared" si="224"/>
        <v>0</v>
      </c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6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</row>
    <row r="446" spans="1:33" hidden="1" x14ac:dyDescent="0.3">
      <c r="A446" s="25">
        <v>2017</v>
      </c>
      <c r="B446" s="25" t="s">
        <v>9</v>
      </c>
      <c r="C446" s="25" t="s">
        <v>18</v>
      </c>
      <c r="D446" s="25">
        <f t="shared" si="211"/>
        <v>0</v>
      </c>
      <c r="E446" s="25">
        <v>0</v>
      </c>
      <c r="F446" s="25">
        <v>0</v>
      </c>
      <c r="G446" s="25">
        <v>0</v>
      </c>
      <c r="H446" s="25">
        <v>0</v>
      </c>
      <c r="I446" s="25">
        <f t="shared" si="224"/>
        <v>0</v>
      </c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6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</row>
    <row r="447" spans="1:33" hidden="1" x14ac:dyDescent="0.3">
      <c r="A447" s="25">
        <v>2018</v>
      </c>
      <c r="B447" s="25" t="s">
        <v>9</v>
      </c>
      <c r="C447" s="25" t="s">
        <v>18</v>
      </c>
      <c r="D447" s="25">
        <f t="shared" si="211"/>
        <v>0</v>
      </c>
      <c r="E447" s="25">
        <v>0</v>
      </c>
      <c r="F447" s="25">
        <v>0</v>
      </c>
      <c r="G447" s="25">
        <v>0</v>
      </c>
      <c r="H447" s="25">
        <v>0</v>
      </c>
      <c r="I447" s="25">
        <f t="shared" si="224"/>
        <v>0</v>
      </c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6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</row>
    <row r="448" spans="1:33" hidden="1" x14ac:dyDescent="0.3">
      <c r="A448" s="25">
        <v>2019</v>
      </c>
      <c r="B448" s="25" t="s">
        <v>9</v>
      </c>
      <c r="C448" s="25" t="s">
        <v>18</v>
      </c>
      <c r="D448" s="25">
        <f t="shared" si="211"/>
        <v>0</v>
      </c>
      <c r="E448" s="25">
        <v>0</v>
      </c>
      <c r="F448" s="25">
        <v>0</v>
      </c>
      <c r="G448" s="25">
        <v>0</v>
      </c>
      <c r="H448" s="25">
        <v>0</v>
      </c>
      <c r="I448" s="25">
        <v>0</v>
      </c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6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</row>
    <row r="449" spans="1:33" hidden="1" x14ac:dyDescent="0.3">
      <c r="A449" s="25">
        <v>2020</v>
      </c>
      <c r="B449" s="25" t="s">
        <v>9</v>
      </c>
      <c r="C449" s="25" t="s">
        <v>18</v>
      </c>
      <c r="D449" s="25">
        <f t="shared" ref="D449:D450" si="228">G449+H449</f>
        <v>0</v>
      </c>
      <c r="E449" s="25">
        <v>0</v>
      </c>
      <c r="F449" s="25">
        <v>0</v>
      </c>
      <c r="G449" s="25">
        <v>0</v>
      </c>
      <c r="H449" s="25">
        <v>0</v>
      </c>
      <c r="I449" s="25">
        <f t="shared" ref="I449:I450" si="229">H449-E449</f>
        <v>0</v>
      </c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6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</row>
    <row r="450" spans="1:33" hidden="1" x14ac:dyDescent="0.3">
      <c r="A450" s="25">
        <v>2021</v>
      </c>
      <c r="B450" s="25" t="s">
        <v>9</v>
      </c>
      <c r="C450" s="25" t="s">
        <v>18</v>
      </c>
      <c r="D450" s="25">
        <f t="shared" si="228"/>
        <v>0</v>
      </c>
      <c r="E450" s="25">
        <v>0</v>
      </c>
      <c r="F450" s="25">
        <v>0</v>
      </c>
      <c r="G450" s="25">
        <v>0</v>
      </c>
      <c r="H450" s="25">
        <v>0</v>
      </c>
      <c r="I450" s="25">
        <f t="shared" si="229"/>
        <v>0</v>
      </c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6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</row>
    <row r="451" spans="1:33" hidden="1" x14ac:dyDescent="0.3">
      <c r="A451" s="25">
        <v>2022</v>
      </c>
      <c r="B451" s="15" t="s">
        <v>9</v>
      </c>
      <c r="C451" s="15" t="s">
        <v>18</v>
      </c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6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</row>
    <row r="452" spans="1:33" hidden="1" x14ac:dyDescent="0.3">
      <c r="A452">
        <v>1993</v>
      </c>
      <c r="B452" t="s">
        <v>11</v>
      </c>
      <c r="C452" t="s">
        <v>18</v>
      </c>
      <c r="D452">
        <f t="shared" si="211"/>
        <v>0</v>
      </c>
      <c r="E452">
        <v>0</v>
      </c>
      <c r="F452">
        <v>0</v>
      </c>
      <c r="G452">
        <v>0</v>
      </c>
      <c r="H452">
        <v>0</v>
      </c>
      <c r="I452">
        <f t="shared" si="224"/>
        <v>0</v>
      </c>
    </row>
    <row r="453" spans="1:33" hidden="1" x14ac:dyDescent="0.3">
      <c r="A453">
        <v>1994</v>
      </c>
      <c r="B453" t="s">
        <v>11</v>
      </c>
      <c r="C453" t="s">
        <v>18</v>
      </c>
      <c r="D453">
        <f t="shared" si="211"/>
        <v>0</v>
      </c>
      <c r="E453">
        <v>0</v>
      </c>
      <c r="F453">
        <v>0</v>
      </c>
      <c r="G453">
        <v>0</v>
      </c>
      <c r="H453">
        <v>0</v>
      </c>
      <c r="I453">
        <f t="shared" si="224"/>
        <v>0</v>
      </c>
    </row>
    <row r="454" spans="1:33" hidden="1" x14ac:dyDescent="0.3">
      <c r="A454">
        <v>1995</v>
      </c>
      <c r="B454" t="s">
        <v>11</v>
      </c>
      <c r="C454" t="s">
        <v>18</v>
      </c>
      <c r="D454">
        <f t="shared" si="211"/>
        <v>0</v>
      </c>
      <c r="E454">
        <v>0</v>
      </c>
      <c r="F454">
        <v>0</v>
      </c>
      <c r="G454">
        <v>0</v>
      </c>
      <c r="H454">
        <v>0</v>
      </c>
      <c r="I454">
        <f t="shared" si="224"/>
        <v>0</v>
      </c>
    </row>
    <row r="455" spans="1:33" hidden="1" x14ac:dyDescent="0.3">
      <c r="A455">
        <v>1996</v>
      </c>
      <c r="B455" t="s">
        <v>11</v>
      </c>
      <c r="C455" t="s">
        <v>18</v>
      </c>
      <c r="D455">
        <f t="shared" si="211"/>
        <v>0</v>
      </c>
      <c r="E455">
        <v>0</v>
      </c>
      <c r="F455">
        <v>0</v>
      </c>
      <c r="G455">
        <v>0</v>
      </c>
      <c r="H455">
        <v>0</v>
      </c>
      <c r="I455">
        <f t="shared" si="224"/>
        <v>0</v>
      </c>
    </row>
    <row r="456" spans="1:33" hidden="1" x14ac:dyDescent="0.3">
      <c r="A456">
        <v>1997</v>
      </c>
      <c r="B456" t="s">
        <v>11</v>
      </c>
      <c r="C456" t="s">
        <v>18</v>
      </c>
      <c r="D456">
        <f t="shared" si="211"/>
        <v>0</v>
      </c>
      <c r="E456">
        <v>0</v>
      </c>
      <c r="F456">
        <v>0</v>
      </c>
      <c r="G456">
        <v>0</v>
      </c>
      <c r="H456">
        <v>0</v>
      </c>
      <c r="I456">
        <f t="shared" si="224"/>
        <v>0</v>
      </c>
    </row>
    <row r="457" spans="1:33" hidden="1" x14ac:dyDescent="0.3">
      <c r="A457">
        <v>1998</v>
      </c>
      <c r="B457" t="s">
        <v>11</v>
      </c>
      <c r="C457" t="s">
        <v>18</v>
      </c>
      <c r="D457">
        <f t="shared" si="211"/>
        <v>0</v>
      </c>
      <c r="E457">
        <v>0</v>
      </c>
      <c r="F457">
        <v>0</v>
      </c>
      <c r="G457">
        <v>0</v>
      </c>
      <c r="H457">
        <v>0</v>
      </c>
      <c r="I457">
        <f t="shared" si="224"/>
        <v>0</v>
      </c>
    </row>
    <row r="458" spans="1:33" hidden="1" x14ac:dyDescent="0.3">
      <c r="A458">
        <v>1999</v>
      </c>
      <c r="B458" t="s">
        <v>11</v>
      </c>
      <c r="C458" t="s">
        <v>18</v>
      </c>
      <c r="D458">
        <f t="shared" ref="D458:D478" si="230">G458+H458</f>
        <v>0</v>
      </c>
      <c r="E458">
        <v>0</v>
      </c>
      <c r="F458">
        <v>0</v>
      </c>
      <c r="G458">
        <v>0</v>
      </c>
      <c r="H458">
        <v>0</v>
      </c>
      <c r="I458">
        <f t="shared" si="224"/>
        <v>0</v>
      </c>
    </row>
    <row r="459" spans="1:33" hidden="1" x14ac:dyDescent="0.3">
      <c r="A459">
        <v>2000</v>
      </c>
      <c r="B459" t="s">
        <v>11</v>
      </c>
      <c r="C459" t="s">
        <v>18</v>
      </c>
      <c r="D459">
        <f t="shared" si="230"/>
        <v>0</v>
      </c>
      <c r="E459">
        <v>0</v>
      </c>
      <c r="F459">
        <v>0</v>
      </c>
      <c r="G459">
        <v>0</v>
      </c>
      <c r="H459">
        <v>0</v>
      </c>
      <c r="I459">
        <f t="shared" si="224"/>
        <v>0</v>
      </c>
    </row>
    <row r="460" spans="1:33" hidden="1" x14ac:dyDescent="0.3">
      <c r="A460">
        <v>2001</v>
      </c>
      <c r="B460" t="s">
        <v>11</v>
      </c>
      <c r="C460" t="s">
        <v>18</v>
      </c>
      <c r="D460">
        <f t="shared" si="230"/>
        <v>0</v>
      </c>
      <c r="E460">
        <v>0</v>
      </c>
      <c r="F460">
        <v>0</v>
      </c>
      <c r="G460">
        <v>0</v>
      </c>
      <c r="H460">
        <v>0</v>
      </c>
      <c r="I460">
        <f t="shared" si="224"/>
        <v>0</v>
      </c>
    </row>
    <row r="461" spans="1:33" hidden="1" x14ac:dyDescent="0.3">
      <c r="A461">
        <v>2002</v>
      </c>
      <c r="B461" t="s">
        <v>11</v>
      </c>
      <c r="C461" t="s">
        <v>18</v>
      </c>
      <c r="D461">
        <f t="shared" si="230"/>
        <v>0</v>
      </c>
      <c r="E461">
        <v>0</v>
      </c>
      <c r="F461">
        <v>0</v>
      </c>
      <c r="G461">
        <v>0</v>
      </c>
      <c r="H461">
        <v>0</v>
      </c>
      <c r="I461">
        <f t="shared" si="224"/>
        <v>0</v>
      </c>
    </row>
    <row r="462" spans="1:33" hidden="1" x14ac:dyDescent="0.3">
      <c r="A462">
        <v>2003</v>
      </c>
      <c r="B462" t="s">
        <v>11</v>
      </c>
      <c r="C462" t="s">
        <v>18</v>
      </c>
      <c r="D462">
        <f t="shared" si="230"/>
        <v>0</v>
      </c>
      <c r="E462">
        <v>0</v>
      </c>
      <c r="F462">
        <v>0</v>
      </c>
      <c r="G462">
        <v>0</v>
      </c>
      <c r="H462">
        <v>0</v>
      </c>
      <c r="I462">
        <f t="shared" si="224"/>
        <v>0</v>
      </c>
    </row>
    <row r="463" spans="1:33" hidden="1" x14ac:dyDescent="0.3">
      <c r="A463">
        <v>2004</v>
      </c>
      <c r="B463" t="s">
        <v>11</v>
      </c>
      <c r="C463" t="s">
        <v>18</v>
      </c>
      <c r="D463">
        <f t="shared" si="230"/>
        <v>0</v>
      </c>
      <c r="E463">
        <v>0</v>
      </c>
      <c r="F463">
        <v>0</v>
      </c>
      <c r="G463">
        <v>0</v>
      </c>
      <c r="H463">
        <v>0</v>
      </c>
      <c r="I463">
        <f t="shared" si="224"/>
        <v>0</v>
      </c>
    </row>
    <row r="464" spans="1:33" hidden="1" x14ac:dyDescent="0.3">
      <c r="A464">
        <v>2005</v>
      </c>
      <c r="B464" t="s">
        <v>11</v>
      </c>
      <c r="C464" t="s">
        <v>18</v>
      </c>
      <c r="D464">
        <f t="shared" si="230"/>
        <v>0</v>
      </c>
      <c r="E464">
        <v>0</v>
      </c>
      <c r="F464">
        <v>0</v>
      </c>
      <c r="G464">
        <v>0</v>
      </c>
      <c r="H464">
        <v>0</v>
      </c>
      <c r="I464">
        <f t="shared" si="224"/>
        <v>0</v>
      </c>
    </row>
    <row r="465" spans="1:9" hidden="1" x14ac:dyDescent="0.3">
      <c r="A465">
        <v>2006</v>
      </c>
      <c r="B465" t="s">
        <v>11</v>
      </c>
      <c r="C465" t="s">
        <v>18</v>
      </c>
      <c r="D465">
        <f t="shared" si="230"/>
        <v>0</v>
      </c>
      <c r="E465">
        <v>0</v>
      </c>
      <c r="F465">
        <v>0</v>
      </c>
      <c r="G465">
        <v>0</v>
      </c>
      <c r="H465">
        <v>0</v>
      </c>
      <c r="I465">
        <f t="shared" si="224"/>
        <v>0</v>
      </c>
    </row>
    <row r="466" spans="1:9" hidden="1" x14ac:dyDescent="0.3">
      <c r="A466">
        <v>2007</v>
      </c>
      <c r="B466" t="s">
        <v>11</v>
      </c>
      <c r="C466" t="s">
        <v>18</v>
      </c>
      <c r="D466">
        <f t="shared" si="230"/>
        <v>0</v>
      </c>
      <c r="E466">
        <v>0</v>
      </c>
      <c r="F466">
        <v>0</v>
      </c>
      <c r="G466">
        <v>0</v>
      </c>
      <c r="H466">
        <v>0</v>
      </c>
      <c r="I466">
        <f t="shared" si="224"/>
        <v>0</v>
      </c>
    </row>
    <row r="467" spans="1:9" hidden="1" x14ac:dyDescent="0.3">
      <c r="A467">
        <v>2008</v>
      </c>
      <c r="B467" t="s">
        <v>11</v>
      </c>
      <c r="C467" t="s">
        <v>18</v>
      </c>
      <c r="D467">
        <f t="shared" si="230"/>
        <v>0</v>
      </c>
      <c r="E467">
        <v>0</v>
      </c>
      <c r="F467">
        <v>0</v>
      </c>
      <c r="G467">
        <v>0</v>
      </c>
      <c r="H467">
        <v>0</v>
      </c>
      <c r="I467">
        <f t="shared" si="224"/>
        <v>0</v>
      </c>
    </row>
    <row r="468" spans="1:9" hidden="1" x14ac:dyDescent="0.3">
      <c r="A468">
        <v>2009</v>
      </c>
      <c r="B468" t="s">
        <v>11</v>
      </c>
      <c r="C468" t="s">
        <v>18</v>
      </c>
      <c r="D468">
        <f t="shared" si="230"/>
        <v>0</v>
      </c>
      <c r="E468">
        <v>0</v>
      </c>
      <c r="F468">
        <v>0</v>
      </c>
      <c r="G468">
        <v>0</v>
      </c>
      <c r="H468">
        <v>0</v>
      </c>
      <c r="I468">
        <f t="shared" si="224"/>
        <v>0</v>
      </c>
    </row>
    <row r="469" spans="1:9" hidden="1" x14ac:dyDescent="0.3">
      <c r="A469">
        <v>2010</v>
      </c>
      <c r="B469" t="s">
        <v>11</v>
      </c>
      <c r="C469" t="s">
        <v>18</v>
      </c>
      <c r="D469">
        <f t="shared" si="230"/>
        <v>1</v>
      </c>
      <c r="E469">
        <v>0</v>
      </c>
      <c r="F469">
        <v>0</v>
      </c>
      <c r="G469">
        <v>1</v>
      </c>
      <c r="H469">
        <v>0</v>
      </c>
      <c r="I469">
        <f t="shared" si="224"/>
        <v>0</v>
      </c>
    </row>
    <row r="470" spans="1:9" hidden="1" x14ac:dyDescent="0.3">
      <c r="A470">
        <v>2011</v>
      </c>
      <c r="B470" t="s">
        <v>11</v>
      </c>
      <c r="C470" t="s">
        <v>18</v>
      </c>
      <c r="D470">
        <f t="shared" si="230"/>
        <v>0</v>
      </c>
      <c r="E470">
        <v>0</v>
      </c>
      <c r="F470">
        <v>0</v>
      </c>
      <c r="G470">
        <v>0</v>
      </c>
      <c r="H470">
        <v>0</v>
      </c>
      <c r="I470">
        <f t="shared" si="224"/>
        <v>0</v>
      </c>
    </row>
    <row r="471" spans="1:9" hidden="1" x14ac:dyDescent="0.3">
      <c r="A471">
        <v>2012</v>
      </c>
      <c r="B471" t="s">
        <v>11</v>
      </c>
      <c r="C471" t="s">
        <v>18</v>
      </c>
      <c r="D471">
        <f t="shared" si="230"/>
        <v>0</v>
      </c>
      <c r="E471">
        <v>0</v>
      </c>
      <c r="F471">
        <v>0</v>
      </c>
      <c r="G471">
        <v>0</v>
      </c>
      <c r="H471">
        <v>0</v>
      </c>
      <c r="I471">
        <f t="shared" si="224"/>
        <v>0</v>
      </c>
    </row>
    <row r="472" spans="1:9" hidden="1" x14ac:dyDescent="0.3">
      <c r="A472">
        <v>2013</v>
      </c>
      <c r="B472" t="s">
        <v>11</v>
      </c>
      <c r="C472" t="s">
        <v>18</v>
      </c>
      <c r="D472">
        <f t="shared" si="230"/>
        <v>0</v>
      </c>
      <c r="E472">
        <v>0</v>
      </c>
      <c r="F472">
        <v>0</v>
      </c>
      <c r="G472">
        <v>0</v>
      </c>
      <c r="H472">
        <v>0</v>
      </c>
      <c r="I472">
        <f t="shared" si="224"/>
        <v>0</v>
      </c>
    </row>
    <row r="473" spans="1:9" hidden="1" x14ac:dyDescent="0.3">
      <c r="A473">
        <v>2014</v>
      </c>
      <c r="B473" t="s">
        <v>11</v>
      </c>
      <c r="C473" t="s">
        <v>18</v>
      </c>
      <c r="D473">
        <f t="shared" si="230"/>
        <v>0</v>
      </c>
      <c r="E473">
        <v>0</v>
      </c>
      <c r="F473">
        <v>0</v>
      </c>
      <c r="G473">
        <v>0</v>
      </c>
      <c r="H473">
        <v>0</v>
      </c>
      <c r="I473">
        <f t="shared" si="224"/>
        <v>0</v>
      </c>
    </row>
    <row r="474" spans="1:9" hidden="1" x14ac:dyDescent="0.3">
      <c r="A474">
        <v>2015</v>
      </c>
      <c r="B474" t="s">
        <v>11</v>
      </c>
      <c r="C474" t="s">
        <v>18</v>
      </c>
      <c r="D474">
        <f t="shared" si="230"/>
        <v>0</v>
      </c>
      <c r="E474">
        <v>0</v>
      </c>
      <c r="F474">
        <v>0</v>
      </c>
      <c r="G474">
        <v>0</v>
      </c>
      <c r="H474">
        <v>0</v>
      </c>
      <c r="I474">
        <f t="shared" si="224"/>
        <v>0</v>
      </c>
    </row>
    <row r="475" spans="1:9" hidden="1" x14ac:dyDescent="0.3">
      <c r="A475">
        <v>2016</v>
      </c>
      <c r="B475" t="s">
        <v>11</v>
      </c>
      <c r="C475" t="s">
        <v>18</v>
      </c>
      <c r="D475">
        <f t="shared" si="230"/>
        <v>0</v>
      </c>
      <c r="E475">
        <v>0</v>
      </c>
      <c r="F475">
        <v>0</v>
      </c>
      <c r="G475">
        <v>0</v>
      </c>
      <c r="H475">
        <v>0</v>
      </c>
      <c r="I475">
        <f t="shared" si="224"/>
        <v>0</v>
      </c>
    </row>
    <row r="476" spans="1:9" hidden="1" x14ac:dyDescent="0.3">
      <c r="A476">
        <v>2017</v>
      </c>
      <c r="B476" t="s">
        <v>11</v>
      </c>
      <c r="C476" t="s">
        <v>18</v>
      </c>
      <c r="D476">
        <f t="shared" si="230"/>
        <v>0</v>
      </c>
      <c r="E476">
        <v>0</v>
      </c>
      <c r="F476">
        <v>0</v>
      </c>
      <c r="G476">
        <v>0</v>
      </c>
      <c r="H476">
        <v>0</v>
      </c>
      <c r="I476">
        <f t="shared" si="224"/>
        <v>0</v>
      </c>
    </row>
    <row r="477" spans="1:9" hidden="1" x14ac:dyDescent="0.3">
      <c r="A477">
        <v>2018</v>
      </c>
      <c r="B477" t="s">
        <v>11</v>
      </c>
      <c r="C477" t="s">
        <v>18</v>
      </c>
      <c r="D477">
        <f t="shared" si="230"/>
        <v>0</v>
      </c>
      <c r="E477">
        <v>0</v>
      </c>
      <c r="F477">
        <v>0</v>
      </c>
      <c r="G477">
        <v>0</v>
      </c>
      <c r="H477">
        <v>0</v>
      </c>
      <c r="I477">
        <f t="shared" si="224"/>
        <v>0</v>
      </c>
    </row>
    <row r="478" spans="1:9" hidden="1" x14ac:dyDescent="0.3">
      <c r="A478">
        <v>2019</v>
      </c>
      <c r="B478" t="s">
        <v>11</v>
      </c>
      <c r="C478" t="s">
        <v>18</v>
      </c>
      <c r="D478">
        <f t="shared" si="230"/>
        <v>0</v>
      </c>
      <c r="E478">
        <v>0</v>
      </c>
      <c r="F478">
        <v>0</v>
      </c>
      <c r="G478">
        <v>0</v>
      </c>
      <c r="H478">
        <v>0</v>
      </c>
      <c r="I478">
        <f t="shared" si="224"/>
        <v>0</v>
      </c>
    </row>
    <row r="479" spans="1:9" hidden="1" x14ac:dyDescent="0.3">
      <c r="A479">
        <v>2020</v>
      </c>
      <c r="B479" t="s">
        <v>11</v>
      </c>
      <c r="C479" t="s">
        <v>18</v>
      </c>
      <c r="D479">
        <f t="shared" ref="D479:D480" si="231">G479+H479</f>
        <v>0</v>
      </c>
      <c r="E479">
        <v>0</v>
      </c>
      <c r="F479">
        <v>0</v>
      </c>
      <c r="G479">
        <v>0</v>
      </c>
      <c r="H479">
        <v>0</v>
      </c>
      <c r="I479">
        <f t="shared" ref="I479:I480" si="232">H479-E479</f>
        <v>0</v>
      </c>
    </row>
    <row r="480" spans="1:9" hidden="1" x14ac:dyDescent="0.3">
      <c r="A480">
        <v>2021</v>
      </c>
      <c r="B480" t="s">
        <v>11</v>
      </c>
      <c r="C480" t="s">
        <v>18</v>
      </c>
      <c r="D480">
        <f t="shared" si="231"/>
        <v>0</v>
      </c>
      <c r="E480">
        <v>0</v>
      </c>
      <c r="F480">
        <v>0</v>
      </c>
      <c r="G480">
        <v>0</v>
      </c>
      <c r="H480">
        <v>0</v>
      </c>
      <c r="I480">
        <f t="shared" si="232"/>
        <v>0</v>
      </c>
    </row>
    <row r="481" spans="1:3" hidden="1" x14ac:dyDescent="0.3">
      <c r="A481">
        <v>2022</v>
      </c>
      <c r="B481" s="15" t="s">
        <v>11</v>
      </c>
      <c r="C481" s="15" t="s">
        <v>18</v>
      </c>
    </row>
  </sheetData>
  <autoFilter ref="A1:AK481" xr:uid="{C94A511F-C92E-4628-B389-54DB16826878}">
    <filterColumn colId="1">
      <filters>
        <filter val="private"/>
      </filters>
    </filterColumn>
    <filterColumn colId="2">
      <filters>
        <filter val="PWSO"/>
      </filters>
    </filterColumn>
  </autoFilter>
  <conditionalFormatting sqref="D2:D477 D479">
    <cfRule type="cellIs" dxfId="1" priority="2" operator="greaterThan">
      <formula>49</formula>
    </cfRule>
  </conditionalFormatting>
  <conditionalFormatting sqref="G2:H477 G479:H479">
    <cfRule type="cellIs" dxfId="0" priority="1" operator="greaterThan">
      <formula>49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3346-DCED-4C15-A360-DE19E28CAF74}">
  <dimension ref="A1:AL258"/>
  <sheetViews>
    <sheetView topLeftCell="O70" zoomScale="80" zoomScaleNormal="80" workbookViewId="0">
      <selection activeCell="AI220" sqref="AI220:AL224"/>
    </sheetView>
  </sheetViews>
  <sheetFormatPr defaultRowHeight="14.4" x14ac:dyDescent="0.3"/>
  <cols>
    <col min="33" max="33" width="11.77734375" customWidth="1"/>
    <col min="34" max="34" width="11.44140625" customWidth="1"/>
  </cols>
  <sheetData>
    <row r="1" spans="1:38" ht="23.4" x14ac:dyDescent="0.45">
      <c r="A1" s="4" t="s">
        <v>25</v>
      </c>
    </row>
    <row r="2" spans="1:38" ht="23.4" x14ac:dyDescent="0.45">
      <c r="A2" s="4" t="s">
        <v>69</v>
      </c>
      <c r="P2" s="4" t="s">
        <v>70</v>
      </c>
      <c r="AG2" s="4" t="s">
        <v>97</v>
      </c>
      <c r="AH2" s="4"/>
      <c r="AI2" s="4"/>
      <c r="AJ2" s="4"/>
      <c r="AK2" s="4"/>
      <c r="AL2" s="4"/>
    </row>
    <row r="4" spans="1:38" x14ac:dyDescent="0.3">
      <c r="A4" s="3" t="s">
        <v>1</v>
      </c>
      <c r="B4" s="3" t="s">
        <v>26</v>
      </c>
      <c r="C4" s="3" t="s">
        <v>0</v>
      </c>
      <c r="D4" s="3" t="s">
        <v>29</v>
      </c>
      <c r="E4" s="3" t="s">
        <v>30</v>
      </c>
      <c r="F4" s="3" t="s">
        <v>35</v>
      </c>
      <c r="G4" s="3" t="s">
        <v>31</v>
      </c>
      <c r="H4" s="3" t="s">
        <v>27</v>
      </c>
      <c r="I4" s="3" t="s">
        <v>28</v>
      </c>
      <c r="J4" s="3" t="s">
        <v>24</v>
      </c>
      <c r="K4" s="3" t="s">
        <v>19</v>
      </c>
      <c r="L4" s="3" t="s">
        <v>20</v>
      </c>
      <c r="M4" s="3" t="s">
        <v>21</v>
      </c>
      <c r="P4" s="3" t="s">
        <v>1</v>
      </c>
      <c r="Q4" s="3" t="s">
        <v>26</v>
      </c>
      <c r="R4" s="3" t="s">
        <v>0</v>
      </c>
      <c r="S4" s="3" t="s">
        <v>29</v>
      </c>
      <c r="T4" s="3" t="s">
        <v>30</v>
      </c>
      <c r="U4" s="3" t="s">
        <v>35</v>
      </c>
      <c r="V4" s="3" t="s">
        <v>31</v>
      </c>
      <c r="W4" s="3" t="s">
        <v>27</v>
      </c>
      <c r="X4" s="3" t="s">
        <v>28</v>
      </c>
      <c r="Y4" s="3" t="s">
        <v>24</v>
      </c>
      <c r="Z4" s="3" t="s">
        <v>19</v>
      </c>
      <c r="AA4" s="3" t="s">
        <v>20</v>
      </c>
      <c r="AB4" s="3" t="s">
        <v>21</v>
      </c>
      <c r="AD4" t="s">
        <v>89</v>
      </c>
      <c r="AE4" s="2" t="s">
        <v>90</v>
      </c>
      <c r="AF4" s="2"/>
      <c r="AG4" s="2" t="s">
        <v>91</v>
      </c>
      <c r="AH4" s="2" t="s">
        <v>92</v>
      </c>
      <c r="AI4" s="2" t="s">
        <v>93</v>
      </c>
      <c r="AJ4" s="2" t="s">
        <v>94</v>
      </c>
      <c r="AK4" s="2" t="s">
        <v>95</v>
      </c>
      <c r="AL4" s="2" t="s">
        <v>96</v>
      </c>
    </row>
    <row r="5" spans="1:38" x14ac:dyDescent="0.3">
      <c r="A5" t="s">
        <v>23</v>
      </c>
      <c r="B5" t="s">
        <v>10</v>
      </c>
      <c r="C5">
        <v>1993</v>
      </c>
      <c r="I5">
        <v>45</v>
      </c>
      <c r="M5" s="2">
        <f t="shared" ref="M5:M32" si="0">SUM(D5:L5)</f>
        <v>45</v>
      </c>
      <c r="P5" t="s">
        <v>37</v>
      </c>
      <c r="Q5" t="s">
        <v>10</v>
      </c>
      <c r="R5">
        <v>1993</v>
      </c>
      <c r="X5">
        <v>16</v>
      </c>
      <c r="AB5" s="2">
        <f t="shared" ref="AB5:AB32" si="1">SUM(S5:AA5)</f>
        <v>16</v>
      </c>
      <c r="AD5">
        <f>M5/(M5+AB5)</f>
        <v>0.73770491803278693</v>
      </c>
      <c r="AE5">
        <f>AB5+M5</f>
        <v>61</v>
      </c>
    </row>
    <row r="6" spans="1:38" x14ac:dyDescent="0.3">
      <c r="A6" t="s">
        <v>23</v>
      </c>
      <c r="B6" t="s">
        <v>10</v>
      </c>
      <c r="C6">
        <v>1994</v>
      </c>
      <c r="M6" s="2">
        <f t="shared" si="0"/>
        <v>0</v>
      </c>
      <c r="P6" t="s">
        <v>37</v>
      </c>
      <c r="Q6" t="s">
        <v>10</v>
      </c>
      <c r="R6">
        <v>1994</v>
      </c>
      <c r="AB6" s="2">
        <f t="shared" si="1"/>
        <v>0</v>
      </c>
      <c r="AD6" t="e">
        <f t="shared" ref="AD6:AD27" si="2">M6/(M6+AB6)</f>
        <v>#DIV/0!</v>
      </c>
      <c r="AE6">
        <f t="shared" ref="AE6:AE30" si="3">AB6+M6</f>
        <v>0</v>
      </c>
    </row>
    <row r="7" spans="1:38" x14ac:dyDescent="0.3">
      <c r="A7" t="s">
        <v>23</v>
      </c>
      <c r="B7" t="s">
        <v>10</v>
      </c>
      <c r="C7">
        <v>1995</v>
      </c>
      <c r="M7" s="2">
        <f t="shared" si="0"/>
        <v>0</v>
      </c>
      <c r="P7" t="s">
        <v>37</v>
      </c>
      <c r="Q7" t="s">
        <v>10</v>
      </c>
      <c r="R7">
        <v>1995</v>
      </c>
      <c r="AB7" s="2">
        <f t="shared" si="1"/>
        <v>0</v>
      </c>
      <c r="AD7" t="e">
        <f t="shared" si="2"/>
        <v>#DIV/0!</v>
      </c>
      <c r="AE7">
        <f t="shared" si="3"/>
        <v>0</v>
      </c>
    </row>
    <row r="8" spans="1:38" x14ac:dyDescent="0.3">
      <c r="A8" t="s">
        <v>23</v>
      </c>
      <c r="B8" t="s">
        <v>10</v>
      </c>
      <c r="C8">
        <v>1996</v>
      </c>
      <c r="M8" s="2">
        <f t="shared" si="0"/>
        <v>0</v>
      </c>
      <c r="P8" t="s">
        <v>37</v>
      </c>
      <c r="Q8" t="s">
        <v>10</v>
      </c>
      <c r="R8">
        <v>1996</v>
      </c>
      <c r="AB8" s="2">
        <f t="shared" si="1"/>
        <v>0</v>
      </c>
      <c r="AD8" t="e">
        <f t="shared" si="2"/>
        <v>#DIV/0!</v>
      </c>
      <c r="AE8">
        <f t="shared" si="3"/>
        <v>0</v>
      </c>
    </row>
    <row r="9" spans="1:38" x14ac:dyDescent="0.3">
      <c r="A9" t="s">
        <v>23</v>
      </c>
      <c r="B9" t="s">
        <v>10</v>
      </c>
      <c r="C9">
        <v>1997</v>
      </c>
      <c r="H9">
        <v>19</v>
      </c>
      <c r="M9" s="2">
        <f t="shared" si="0"/>
        <v>19</v>
      </c>
      <c r="P9" t="s">
        <v>37</v>
      </c>
      <c r="Q9" t="s">
        <v>10</v>
      </c>
      <c r="R9">
        <v>1997</v>
      </c>
      <c r="AB9" s="2">
        <f t="shared" si="1"/>
        <v>0</v>
      </c>
      <c r="AD9">
        <f t="shared" si="2"/>
        <v>1</v>
      </c>
      <c r="AE9">
        <f t="shared" si="3"/>
        <v>19</v>
      </c>
    </row>
    <row r="10" spans="1:38" x14ac:dyDescent="0.3">
      <c r="A10" t="s">
        <v>23</v>
      </c>
      <c r="B10" t="s">
        <v>10</v>
      </c>
      <c r="C10">
        <v>1998</v>
      </c>
      <c r="M10" s="2">
        <f t="shared" si="0"/>
        <v>0</v>
      </c>
      <c r="P10" t="s">
        <v>37</v>
      </c>
      <c r="Q10" t="s">
        <v>10</v>
      </c>
      <c r="R10">
        <v>1998</v>
      </c>
      <c r="AB10" s="2">
        <f t="shared" si="1"/>
        <v>0</v>
      </c>
      <c r="AD10" t="e">
        <f t="shared" si="2"/>
        <v>#DIV/0!</v>
      </c>
      <c r="AE10">
        <f t="shared" si="3"/>
        <v>0</v>
      </c>
    </row>
    <row r="11" spans="1:38" x14ac:dyDescent="0.3">
      <c r="A11" t="s">
        <v>23</v>
      </c>
      <c r="B11" t="s">
        <v>10</v>
      </c>
      <c r="C11">
        <v>1999</v>
      </c>
      <c r="I11">
        <v>10</v>
      </c>
      <c r="M11" s="2">
        <f t="shared" si="0"/>
        <v>10</v>
      </c>
      <c r="P11" t="s">
        <v>37</v>
      </c>
      <c r="Q11" t="s">
        <v>10</v>
      </c>
      <c r="R11">
        <v>1999</v>
      </c>
      <c r="AB11" s="2">
        <f t="shared" si="1"/>
        <v>0</v>
      </c>
      <c r="AD11">
        <f t="shared" si="2"/>
        <v>1</v>
      </c>
      <c r="AE11">
        <f t="shared" si="3"/>
        <v>10</v>
      </c>
    </row>
    <row r="12" spans="1:38" x14ac:dyDescent="0.3">
      <c r="A12" t="s">
        <v>23</v>
      </c>
      <c r="B12" t="s">
        <v>10</v>
      </c>
      <c r="C12">
        <v>2000</v>
      </c>
      <c r="M12" s="2">
        <f t="shared" si="0"/>
        <v>0</v>
      </c>
      <c r="P12" t="s">
        <v>37</v>
      </c>
      <c r="Q12" t="s">
        <v>10</v>
      </c>
      <c r="R12">
        <v>2000</v>
      </c>
      <c r="X12">
        <v>28</v>
      </c>
      <c r="AB12" s="2">
        <f t="shared" si="1"/>
        <v>28</v>
      </c>
      <c r="AD12">
        <f t="shared" si="2"/>
        <v>0</v>
      </c>
      <c r="AE12">
        <f t="shared" si="3"/>
        <v>28</v>
      </c>
    </row>
    <row r="13" spans="1:38" x14ac:dyDescent="0.3">
      <c r="A13" t="s">
        <v>23</v>
      </c>
      <c r="B13" t="s">
        <v>10</v>
      </c>
      <c r="C13">
        <v>2001</v>
      </c>
      <c r="M13" s="2">
        <f t="shared" si="0"/>
        <v>0</v>
      </c>
      <c r="P13" t="s">
        <v>37</v>
      </c>
      <c r="Q13" t="s">
        <v>10</v>
      </c>
      <c r="R13">
        <v>2001</v>
      </c>
      <c r="AB13" s="2">
        <f t="shared" si="1"/>
        <v>0</v>
      </c>
      <c r="AD13" t="e">
        <f t="shared" si="2"/>
        <v>#DIV/0!</v>
      </c>
      <c r="AE13">
        <f t="shared" si="3"/>
        <v>0</v>
      </c>
    </row>
    <row r="14" spans="1:38" x14ac:dyDescent="0.3">
      <c r="A14" t="s">
        <v>23</v>
      </c>
      <c r="B14" t="s">
        <v>10</v>
      </c>
      <c r="C14">
        <v>2002</v>
      </c>
      <c r="I14">
        <v>3</v>
      </c>
      <c r="M14" s="2">
        <f t="shared" si="0"/>
        <v>3</v>
      </c>
      <c r="P14" t="s">
        <v>37</v>
      </c>
      <c r="Q14" t="s">
        <v>10</v>
      </c>
      <c r="R14">
        <v>2002</v>
      </c>
      <c r="X14">
        <v>7</v>
      </c>
      <c r="AB14" s="2">
        <f t="shared" si="1"/>
        <v>7</v>
      </c>
      <c r="AD14">
        <f t="shared" si="2"/>
        <v>0.3</v>
      </c>
      <c r="AE14">
        <f t="shared" si="3"/>
        <v>10</v>
      </c>
    </row>
    <row r="15" spans="1:38" x14ac:dyDescent="0.3">
      <c r="A15" t="s">
        <v>23</v>
      </c>
      <c r="B15" t="s">
        <v>10</v>
      </c>
      <c r="C15">
        <v>2003</v>
      </c>
      <c r="I15">
        <v>9</v>
      </c>
      <c r="M15" s="2">
        <f t="shared" si="0"/>
        <v>9</v>
      </c>
      <c r="P15" t="s">
        <v>37</v>
      </c>
      <c r="Q15" t="s">
        <v>10</v>
      </c>
      <c r="R15">
        <v>2003</v>
      </c>
      <c r="X15">
        <v>6</v>
      </c>
      <c r="AB15" s="2">
        <f t="shared" si="1"/>
        <v>6</v>
      </c>
      <c r="AD15">
        <f t="shared" si="2"/>
        <v>0.6</v>
      </c>
      <c r="AE15">
        <f t="shared" si="3"/>
        <v>15</v>
      </c>
    </row>
    <row r="16" spans="1:38" x14ac:dyDescent="0.3">
      <c r="A16" t="s">
        <v>23</v>
      </c>
      <c r="B16" t="s">
        <v>10</v>
      </c>
      <c r="C16">
        <v>2004</v>
      </c>
      <c r="M16" s="2">
        <f t="shared" si="0"/>
        <v>0</v>
      </c>
      <c r="P16" t="s">
        <v>37</v>
      </c>
      <c r="Q16" t="s">
        <v>10</v>
      </c>
      <c r="R16">
        <v>2004</v>
      </c>
      <c r="X16">
        <v>5</v>
      </c>
      <c r="AB16" s="2">
        <f t="shared" si="1"/>
        <v>5</v>
      </c>
      <c r="AD16">
        <f t="shared" si="2"/>
        <v>0</v>
      </c>
      <c r="AE16">
        <f t="shared" si="3"/>
        <v>5</v>
      </c>
    </row>
    <row r="17" spans="1:38" x14ac:dyDescent="0.3">
      <c r="A17" t="s">
        <v>23</v>
      </c>
      <c r="B17" t="s">
        <v>10</v>
      </c>
      <c r="C17">
        <v>2005</v>
      </c>
      <c r="M17" s="2">
        <f t="shared" si="0"/>
        <v>0</v>
      </c>
      <c r="P17" t="s">
        <v>37</v>
      </c>
      <c r="Q17" t="s">
        <v>10</v>
      </c>
      <c r="R17">
        <v>2005</v>
      </c>
      <c r="AB17" s="2">
        <f t="shared" si="1"/>
        <v>0</v>
      </c>
      <c r="AD17" t="e">
        <f>M17/(M17+AB17)</f>
        <v>#DIV/0!</v>
      </c>
      <c r="AE17">
        <f t="shared" si="3"/>
        <v>0</v>
      </c>
    </row>
    <row r="18" spans="1:38" x14ac:dyDescent="0.3">
      <c r="A18" t="s">
        <v>23</v>
      </c>
      <c r="B18" t="s">
        <v>10</v>
      </c>
      <c r="C18">
        <v>2006</v>
      </c>
      <c r="M18" s="2">
        <f t="shared" si="0"/>
        <v>0</v>
      </c>
      <c r="P18" t="s">
        <v>37</v>
      </c>
      <c r="Q18" t="s">
        <v>10</v>
      </c>
      <c r="R18">
        <v>2006</v>
      </c>
      <c r="AB18" s="2">
        <f t="shared" si="1"/>
        <v>0</v>
      </c>
      <c r="AD18" t="e">
        <f t="shared" si="2"/>
        <v>#DIV/0!</v>
      </c>
      <c r="AE18">
        <f t="shared" si="3"/>
        <v>0</v>
      </c>
    </row>
    <row r="19" spans="1:38" x14ac:dyDescent="0.3">
      <c r="A19" t="s">
        <v>23</v>
      </c>
      <c r="B19" t="s">
        <v>10</v>
      </c>
      <c r="C19">
        <v>2007</v>
      </c>
      <c r="I19">
        <v>13</v>
      </c>
      <c r="M19" s="2">
        <f t="shared" si="0"/>
        <v>13</v>
      </c>
      <c r="P19" t="s">
        <v>37</v>
      </c>
      <c r="Q19" t="s">
        <v>10</v>
      </c>
      <c r="R19">
        <v>2007</v>
      </c>
      <c r="AB19" s="2">
        <f t="shared" si="1"/>
        <v>0</v>
      </c>
      <c r="AD19">
        <f t="shared" si="2"/>
        <v>1</v>
      </c>
      <c r="AE19">
        <f t="shared" si="3"/>
        <v>13</v>
      </c>
    </row>
    <row r="20" spans="1:38" x14ac:dyDescent="0.3">
      <c r="A20" t="s">
        <v>23</v>
      </c>
      <c r="B20" t="s">
        <v>10</v>
      </c>
      <c r="C20">
        <v>2008</v>
      </c>
      <c r="M20" s="2">
        <f t="shared" si="0"/>
        <v>0</v>
      </c>
      <c r="P20" t="s">
        <v>37</v>
      </c>
      <c r="Q20" t="s">
        <v>10</v>
      </c>
      <c r="R20">
        <v>2008</v>
      </c>
      <c r="AB20" s="2">
        <f t="shared" si="1"/>
        <v>0</v>
      </c>
      <c r="AD20" t="e">
        <f>M20/(M20+AB20)</f>
        <v>#DIV/0!</v>
      </c>
      <c r="AE20">
        <f t="shared" si="3"/>
        <v>0</v>
      </c>
    </row>
    <row r="21" spans="1:38" x14ac:dyDescent="0.3">
      <c r="A21" t="s">
        <v>23</v>
      </c>
      <c r="B21" t="s">
        <v>10</v>
      </c>
      <c r="C21">
        <v>2009</v>
      </c>
      <c r="I21">
        <v>31</v>
      </c>
      <c r="M21" s="2">
        <f t="shared" si="0"/>
        <v>31</v>
      </c>
      <c r="P21" t="s">
        <v>37</v>
      </c>
      <c r="Q21" t="s">
        <v>10</v>
      </c>
      <c r="R21">
        <v>2009</v>
      </c>
      <c r="X21">
        <v>7</v>
      </c>
      <c r="AB21" s="2">
        <f t="shared" si="1"/>
        <v>7</v>
      </c>
      <c r="AD21">
        <f t="shared" si="2"/>
        <v>0.81578947368421051</v>
      </c>
      <c r="AE21">
        <f t="shared" si="3"/>
        <v>38</v>
      </c>
    </row>
    <row r="22" spans="1:38" x14ac:dyDescent="0.3">
      <c r="A22" t="s">
        <v>23</v>
      </c>
      <c r="B22" t="s">
        <v>10</v>
      </c>
      <c r="C22">
        <v>2010</v>
      </c>
      <c r="I22">
        <v>18</v>
      </c>
      <c r="M22" s="2">
        <f t="shared" si="0"/>
        <v>18</v>
      </c>
      <c r="P22" t="s">
        <v>37</v>
      </c>
      <c r="Q22" t="s">
        <v>10</v>
      </c>
      <c r="R22">
        <v>2010</v>
      </c>
      <c r="AB22" s="2">
        <f t="shared" si="1"/>
        <v>0</v>
      </c>
      <c r="AD22">
        <f t="shared" si="2"/>
        <v>1</v>
      </c>
      <c r="AE22">
        <f t="shared" si="3"/>
        <v>18</v>
      </c>
    </row>
    <row r="23" spans="1:38" x14ac:dyDescent="0.3">
      <c r="A23" t="s">
        <v>23</v>
      </c>
      <c r="B23" t="s">
        <v>10</v>
      </c>
      <c r="C23">
        <v>2011</v>
      </c>
      <c r="H23">
        <v>6</v>
      </c>
      <c r="I23">
        <v>7</v>
      </c>
      <c r="M23" s="2">
        <f t="shared" si="0"/>
        <v>13</v>
      </c>
      <c r="P23" t="s">
        <v>37</v>
      </c>
      <c r="Q23" t="s">
        <v>10</v>
      </c>
      <c r="R23">
        <v>2011</v>
      </c>
      <c r="X23">
        <v>2</v>
      </c>
      <c r="AB23" s="2">
        <f t="shared" si="1"/>
        <v>2</v>
      </c>
      <c r="AD23">
        <f t="shared" si="2"/>
        <v>0.8666666666666667</v>
      </c>
      <c r="AE23">
        <f t="shared" si="3"/>
        <v>15</v>
      </c>
      <c r="AG23">
        <v>0.78161397670549082</v>
      </c>
      <c r="AH23">
        <v>8.0152250904136062E-3</v>
      </c>
      <c r="AI23">
        <f>SQRT(AH23)</f>
        <v>8.9527789486916337E-2</v>
      </c>
      <c r="AJ23">
        <f>1.96*AI23</f>
        <v>0.17547446739435602</v>
      </c>
      <c r="AK23">
        <f>AG23-AJ23</f>
        <v>0.60613950931113481</v>
      </c>
      <c r="AL23">
        <f>AG23+AJ23</f>
        <v>0.95708844409984684</v>
      </c>
    </row>
    <row r="24" spans="1:38" x14ac:dyDescent="0.3">
      <c r="A24" t="s">
        <v>23</v>
      </c>
      <c r="B24" t="s">
        <v>10</v>
      </c>
      <c r="C24">
        <v>2012</v>
      </c>
      <c r="I24">
        <v>20</v>
      </c>
      <c r="M24" s="2">
        <f t="shared" si="0"/>
        <v>20</v>
      </c>
      <c r="P24" t="s">
        <v>37</v>
      </c>
      <c r="Q24" t="s">
        <v>10</v>
      </c>
      <c r="R24">
        <v>2012</v>
      </c>
      <c r="X24">
        <v>16</v>
      </c>
      <c r="AB24" s="2">
        <f t="shared" si="1"/>
        <v>16</v>
      </c>
      <c r="AD24">
        <f t="shared" si="2"/>
        <v>0.55555555555555558</v>
      </c>
      <c r="AE24">
        <f t="shared" si="3"/>
        <v>36</v>
      </c>
      <c r="AG24">
        <v>0.73142644873699847</v>
      </c>
      <c r="AH24">
        <v>8.1758282431056983E-3</v>
      </c>
      <c r="AI24">
        <f t="shared" ref="AI24:AI30" si="4">SQRT(AH24)</f>
        <v>9.0420286678962139E-2</v>
      </c>
      <c r="AJ24">
        <f t="shared" ref="AJ24:AJ30" si="5">1.96*AI24</f>
        <v>0.1772237618907658</v>
      </c>
      <c r="AK24">
        <f t="shared" ref="AK24:AK30" si="6">AG24-AJ24</f>
        <v>0.55420268684623264</v>
      </c>
      <c r="AL24">
        <f t="shared" ref="AL24:AL30" si="7">AG24+AJ24</f>
        <v>0.9086502106277643</v>
      </c>
    </row>
    <row r="25" spans="1:38" x14ac:dyDescent="0.3">
      <c r="A25" t="s">
        <v>23</v>
      </c>
      <c r="B25" t="s">
        <v>10</v>
      </c>
      <c r="C25">
        <v>2013</v>
      </c>
      <c r="M25" s="2">
        <f t="shared" si="0"/>
        <v>0</v>
      </c>
      <c r="P25" t="s">
        <v>37</v>
      </c>
      <c r="Q25" t="s">
        <v>10</v>
      </c>
      <c r="R25">
        <v>2013</v>
      </c>
      <c r="X25">
        <v>20</v>
      </c>
      <c r="AB25" s="2">
        <f t="shared" si="1"/>
        <v>20</v>
      </c>
      <c r="AD25" s="15">
        <f>M25/(M25+AB25)</f>
        <v>0</v>
      </c>
      <c r="AE25">
        <f t="shared" si="3"/>
        <v>20</v>
      </c>
      <c r="AG25">
        <v>0.77280930419089633</v>
      </c>
      <c r="AH25">
        <v>7.2645447191123412E-3</v>
      </c>
      <c r="AI25">
        <f t="shared" si="4"/>
        <v>8.5232298567575554E-2</v>
      </c>
      <c r="AJ25">
        <f t="shared" si="5"/>
        <v>0.16705530519244807</v>
      </c>
      <c r="AK25">
        <f t="shared" si="6"/>
        <v>0.60575399899844828</v>
      </c>
      <c r="AL25">
        <f t="shared" si="7"/>
        <v>0.93986460938334437</v>
      </c>
    </row>
    <row r="26" spans="1:38" x14ac:dyDescent="0.3">
      <c r="A26" t="s">
        <v>23</v>
      </c>
      <c r="B26" t="s">
        <v>10</v>
      </c>
      <c r="C26">
        <v>2014</v>
      </c>
      <c r="I26">
        <v>32</v>
      </c>
      <c r="M26" s="2">
        <f t="shared" si="0"/>
        <v>32</v>
      </c>
      <c r="P26" t="s">
        <v>37</v>
      </c>
      <c r="Q26" t="s">
        <v>10</v>
      </c>
      <c r="R26">
        <v>2014</v>
      </c>
      <c r="W26">
        <v>8</v>
      </c>
      <c r="AB26" s="2">
        <f t="shared" si="1"/>
        <v>8</v>
      </c>
      <c r="AD26">
        <f t="shared" si="2"/>
        <v>0.8</v>
      </c>
      <c r="AE26">
        <f t="shared" si="3"/>
        <v>40</v>
      </c>
      <c r="AG26">
        <v>0.69729897547345543</v>
      </c>
      <c r="AH26">
        <v>7.8641785972626051E-3</v>
      </c>
      <c r="AI26">
        <f t="shared" si="4"/>
        <v>8.8680204088976949E-2</v>
      </c>
      <c r="AJ26">
        <f t="shared" si="5"/>
        <v>0.17381320001439482</v>
      </c>
      <c r="AK26">
        <f t="shared" si="6"/>
        <v>0.52348577545906061</v>
      </c>
      <c r="AL26">
        <f t="shared" si="7"/>
        <v>0.87111217548785025</v>
      </c>
    </row>
    <row r="27" spans="1:38" x14ac:dyDescent="0.3">
      <c r="A27" t="s">
        <v>23</v>
      </c>
      <c r="B27" t="s">
        <v>10</v>
      </c>
      <c r="C27">
        <v>2015</v>
      </c>
      <c r="H27">
        <v>6</v>
      </c>
      <c r="I27">
        <v>48</v>
      </c>
      <c r="M27" s="2">
        <f t="shared" si="0"/>
        <v>54</v>
      </c>
      <c r="P27" t="s">
        <v>37</v>
      </c>
      <c r="Q27" t="s">
        <v>10</v>
      </c>
      <c r="R27">
        <v>2015</v>
      </c>
      <c r="X27">
        <v>4</v>
      </c>
      <c r="AB27" s="2">
        <f t="shared" si="1"/>
        <v>4</v>
      </c>
      <c r="AD27">
        <f t="shared" si="2"/>
        <v>0.93103448275862066</v>
      </c>
      <c r="AE27">
        <f t="shared" si="3"/>
        <v>58</v>
      </c>
      <c r="AG27">
        <v>0.6929542645241038</v>
      </c>
      <c r="AH27">
        <v>1.6145687661791763E-2</v>
      </c>
      <c r="AI27">
        <f t="shared" si="4"/>
        <v>0.12706568247088496</v>
      </c>
      <c r="AJ27">
        <f t="shared" si="5"/>
        <v>0.2490487376429345</v>
      </c>
      <c r="AK27">
        <f t="shared" si="6"/>
        <v>0.4439055268811693</v>
      </c>
      <c r="AL27">
        <f t="shared" si="7"/>
        <v>0.94200300216703825</v>
      </c>
    </row>
    <row r="28" spans="1:38" x14ac:dyDescent="0.3">
      <c r="A28" t="s">
        <v>23</v>
      </c>
      <c r="B28" t="s">
        <v>10</v>
      </c>
      <c r="C28">
        <v>2016</v>
      </c>
      <c r="H28">
        <v>6</v>
      </c>
      <c r="I28">
        <v>22</v>
      </c>
      <c r="M28" s="2">
        <f t="shared" si="0"/>
        <v>28</v>
      </c>
      <c r="P28" t="s">
        <v>37</v>
      </c>
      <c r="Q28" t="s">
        <v>10</v>
      </c>
      <c r="R28">
        <v>2016</v>
      </c>
      <c r="AB28" s="2">
        <f t="shared" si="1"/>
        <v>0</v>
      </c>
      <c r="AD28" s="15">
        <f>M28/(M28+AB28)</f>
        <v>1</v>
      </c>
      <c r="AE28">
        <f t="shared" si="3"/>
        <v>28</v>
      </c>
      <c r="AG28">
        <v>0.91874541452677916</v>
      </c>
      <c r="AH28">
        <v>1.6232792193491376E-3</v>
      </c>
      <c r="AI28">
        <f t="shared" si="4"/>
        <v>4.028993943094402E-2</v>
      </c>
      <c r="AJ28">
        <f t="shared" si="5"/>
        <v>7.8968281284650277E-2</v>
      </c>
      <c r="AK28">
        <f t="shared" si="6"/>
        <v>0.83977713324212888</v>
      </c>
      <c r="AL28">
        <f t="shared" si="7"/>
        <v>0.99771369581142944</v>
      </c>
    </row>
    <row r="29" spans="1:38" x14ac:dyDescent="0.3">
      <c r="A29" t="s">
        <v>23</v>
      </c>
      <c r="B29" t="s">
        <v>10</v>
      </c>
      <c r="C29">
        <v>2017</v>
      </c>
      <c r="H29">
        <v>6</v>
      </c>
      <c r="I29">
        <v>14</v>
      </c>
      <c r="M29" s="2">
        <f t="shared" si="0"/>
        <v>20</v>
      </c>
      <c r="P29" t="s">
        <v>37</v>
      </c>
      <c r="Q29" t="s">
        <v>10</v>
      </c>
      <c r="R29">
        <v>2017</v>
      </c>
      <c r="AB29" s="2">
        <f t="shared" si="1"/>
        <v>0</v>
      </c>
      <c r="AD29" s="15">
        <f>M29/(M29+AB29)</f>
        <v>1</v>
      </c>
      <c r="AE29">
        <f t="shared" si="3"/>
        <v>20</v>
      </c>
      <c r="AG29">
        <v>0.89841835598128761</v>
      </c>
      <c r="AH29">
        <v>2.5825446622649933E-3</v>
      </c>
      <c r="AI29">
        <f t="shared" si="4"/>
        <v>5.0818743218078437E-2</v>
      </c>
      <c r="AJ29">
        <f t="shared" si="5"/>
        <v>9.9604736707433736E-2</v>
      </c>
      <c r="AK29">
        <f t="shared" si="6"/>
        <v>0.79881361927385386</v>
      </c>
      <c r="AL29">
        <f t="shared" si="7"/>
        <v>0.99802309268872136</v>
      </c>
    </row>
    <row r="30" spans="1:38" x14ac:dyDescent="0.3">
      <c r="A30" t="s">
        <v>23</v>
      </c>
      <c r="B30" t="s">
        <v>10</v>
      </c>
      <c r="C30">
        <v>2018</v>
      </c>
      <c r="H30">
        <v>82</v>
      </c>
      <c r="I30">
        <v>16</v>
      </c>
      <c r="M30" s="2">
        <f t="shared" si="0"/>
        <v>98</v>
      </c>
      <c r="P30" t="s">
        <v>37</v>
      </c>
      <c r="Q30" t="s">
        <v>10</v>
      </c>
      <c r="R30">
        <v>2018</v>
      </c>
      <c r="W30">
        <v>26</v>
      </c>
      <c r="X30">
        <v>5</v>
      </c>
      <c r="AB30" s="2">
        <f t="shared" si="1"/>
        <v>31</v>
      </c>
      <c r="AD30">
        <f>M30/(M30+AB30)</f>
        <v>0.75968992248062017</v>
      </c>
      <c r="AE30">
        <f t="shared" si="3"/>
        <v>129</v>
      </c>
      <c r="AG30">
        <v>0.79188900747065105</v>
      </c>
      <c r="AH30">
        <v>5.0002618950352462E-3</v>
      </c>
      <c r="AI30">
        <f t="shared" si="4"/>
        <v>7.0712529971959329E-2</v>
      </c>
      <c r="AJ30">
        <f t="shared" si="5"/>
        <v>0.13859655874504029</v>
      </c>
      <c r="AK30">
        <f t="shared" si="6"/>
        <v>0.65329244872561076</v>
      </c>
      <c r="AL30">
        <f t="shared" si="7"/>
        <v>0.93048556621569134</v>
      </c>
    </row>
    <row r="31" spans="1:38" x14ac:dyDescent="0.3">
      <c r="A31" t="s">
        <v>23</v>
      </c>
      <c r="B31" t="s">
        <v>10</v>
      </c>
      <c r="C31">
        <v>2019</v>
      </c>
      <c r="H31">
        <v>5</v>
      </c>
      <c r="I31">
        <v>0</v>
      </c>
      <c r="M31" s="2">
        <f t="shared" ref="M31" si="8">SUM(D31:L31)</f>
        <v>5</v>
      </c>
      <c r="P31" t="s">
        <v>37</v>
      </c>
      <c r="Q31" t="s">
        <v>10</v>
      </c>
      <c r="R31">
        <v>2019</v>
      </c>
      <c r="W31">
        <v>0</v>
      </c>
      <c r="X31">
        <v>27</v>
      </c>
      <c r="AB31" s="2">
        <f t="shared" ref="AB31" si="9">SUM(S31:AA31)</f>
        <v>27</v>
      </c>
      <c r="AD31">
        <f>M31/(M31+AB31)</f>
        <v>0.15625</v>
      </c>
      <c r="AE31">
        <f>AB31+M31</f>
        <v>32</v>
      </c>
      <c r="AG31">
        <v>0.60459770114942524</v>
      </c>
      <c r="AH31">
        <v>1.0342631375073253E-2</v>
      </c>
      <c r="AI31">
        <f t="shared" ref="AI31:AI32" si="10">SQRT(AH31)</f>
        <v>0.10169872848307029</v>
      </c>
      <c r="AJ31">
        <f t="shared" ref="AJ31:AJ32" si="11">1.96*AI31</f>
        <v>0.19932950782681777</v>
      </c>
      <c r="AK31">
        <f t="shared" ref="AK31:AK32" si="12">AG31-AJ31</f>
        <v>0.40526819332260744</v>
      </c>
      <c r="AL31">
        <f t="shared" ref="AL31:AL32" si="13">AG31+AJ31</f>
        <v>0.80392720897624304</v>
      </c>
    </row>
    <row r="32" spans="1:38" x14ac:dyDescent="0.3">
      <c r="A32" s="1" t="s">
        <v>23</v>
      </c>
      <c r="B32" s="1" t="s">
        <v>10</v>
      </c>
      <c r="C32" s="1">
        <v>2020</v>
      </c>
      <c r="D32" s="1"/>
      <c r="E32" s="1"/>
      <c r="F32" s="1"/>
      <c r="G32" s="1"/>
      <c r="H32" s="1"/>
      <c r="I32" s="1">
        <v>5</v>
      </c>
      <c r="J32" s="1"/>
      <c r="K32" s="1"/>
      <c r="L32" s="1"/>
      <c r="M32" s="3">
        <f t="shared" si="0"/>
        <v>5</v>
      </c>
      <c r="P32" s="1" t="s">
        <v>37</v>
      </c>
      <c r="Q32" s="1" t="s">
        <v>10</v>
      </c>
      <c r="R32" s="1">
        <v>2020</v>
      </c>
      <c r="S32" s="1"/>
      <c r="T32" s="1"/>
      <c r="U32" s="1"/>
      <c r="V32" s="1"/>
      <c r="W32" s="1"/>
      <c r="X32" s="1">
        <v>1</v>
      </c>
      <c r="Y32" s="1"/>
      <c r="Z32" s="1"/>
      <c r="AA32" s="1"/>
      <c r="AB32" s="3">
        <f t="shared" si="1"/>
        <v>1</v>
      </c>
      <c r="AD32">
        <f t="shared" ref="AD32" si="14">M32/(M32+AB32)</f>
        <v>0.83333333333333337</v>
      </c>
      <c r="AE32">
        <f t="shared" ref="AE32" si="15">AB32+M32</f>
        <v>6</v>
      </c>
      <c r="AG32">
        <v>0.76903611686220386</v>
      </c>
      <c r="AH32">
        <v>5.800708114528228E-3</v>
      </c>
      <c r="AI32">
        <f t="shared" si="10"/>
        <v>7.6162379916388037E-2</v>
      </c>
      <c r="AJ32">
        <f t="shared" si="11"/>
        <v>0.14927826463612054</v>
      </c>
      <c r="AK32">
        <f t="shared" si="12"/>
        <v>0.61975785222608337</v>
      </c>
      <c r="AL32">
        <f t="shared" si="13"/>
        <v>0.91831438149832434</v>
      </c>
    </row>
    <row r="33" spans="1:38" x14ac:dyDescent="0.3">
      <c r="A33" s="2" t="s">
        <v>22</v>
      </c>
      <c r="B33" s="2"/>
      <c r="C33" s="2"/>
      <c r="D33" s="2"/>
      <c r="E33" s="2"/>
      <c r="F33" s="2"/>
      <c r="G33" s="2"/>
      <c r="H33" s="2">
        <f>SUM(H5:H32)</f>
        <v>130</v>
      </c>
      <c r="I33" s="2">
        <f>SUM(I5:I32)</f>
        <v>293</v>
      </c>
      <c r="J33" s="2"/>
      <c r="K33" s="2"/>
      <c r="L33" s="2"/>
      <c r="M33" s="2">
        <f>SUM(D33:L33)</f>
        <v>423</v>
      </c>
      <c r="P33" s="2" t="s">
        <v>22</v>
      </c>
      <c r="Q33" s="2"/>
      <c r="R33" s="2"/>
      <c r="S33" s="2"/>
      <c r="T33" s="2"/>
      <c r="U33" s="2"/>
      <c r="V33" s="2"/>
      <c r="W33" s="2">
        <f>SUM(W5:W32)</f>
        <v>34</v>
      </c>
      <c r="X33" s="2">
        <f t="shared" ref="X33:AB33" si="16">SUM(X5:X32)</f>
        <v>144</v>
      </c>
      <c r="Y33" s="2">
        <f t="shared" si="16"/>
        <v>0</v>
      </c>
      <c r="Z33" s="2">
        <f t="shared" si="16"/>
        <v>0</v>
      </c>
      <c r="AA33" s="2">
        <f t="shared" si="16"/>
        <v>0</v>
      </c>
      <c r="AB33" s="2">
        <f t="shared" si="16"/>
        <v>178</v>
      </c>
    </row>
    <row r="34" spans="1:38" x14ac:dyDescent="0.3">
      <c r="A34" s="2" t="s">
        <v>32</v>
      </c>
      <c r="B34" s="2"/>
      <c r="C34" s="2"/>
      <c r="D34" s="2"/>
      <c r="E34" s="2"/>
      <c r="F34" s="2"/>
      <c r="G34" s="2"/>
      <c r="H34" s="5">
        <f>H33/$M33</f>
        <v>0.30732860520094563</v>
      </c>
      <c r="I34" s="5">
        <f>I33/$M33</f>
        <v>0.69267139479905437</v>
      </c>
      <c r="J34" s="2"/>
      <c r="K34" s="2"/>
      <c r="L34" s="2"/>
      <c r="M34" s="2"/>
      <c r="P34" s="2" t="s">
        <v>32</v>
      </c>
      <c r="Q34" s="2"/>
      <c r="R34" s="2"/>
      <c r="S34" s="5">
        <f t="shared" ref="S34:V34" si="17">S33/$AB33</f>
        <v>0</v>
      </c>
      <c r="T34" s="5">
        <f t="shared" si="17"/>
        <v>0</v>
      </c>
      <c r="U34" s="5">
        <f t="shared" si="17"/>
        <v>0</v>
      </c>
      <c r="V34" s="5">
        <f t="shared" si="17"/>
        <v>0</v>
      </c>
      <c r="W34" s="5">
        <f>W33/$AB33</f>
        <v>0.19101123595505617</v>
      </c>
      <c r="X34" s="5">
        <f t="shared" ref="X34:AA34" si="18">X33/$AB33</f>
        <v>0.8089887640449438</v>
      </c>
      <c r="Y34" s="5">
        <f t="shared" si="18"/>
        <v>0</v>
      </c>
      <c r="Z34" s="5">
        <f t="shared" si="18"/>
        <v>0</v>
      </c>
      <c r="AA34" s="5">
        <f t="shared" si="18"/>
        <v>0</v>
      </c>
      <c r="AB34" s="2"/>
    </row>
    <row r="36" spans="1:38" x14ac:dyDescent="0.3">
      <c r="A36" s="3" t="s">
        <v>1</v>
      </c>
      <c r="B36" s="3" t="s">
        <v>26</v>
      </c>
      <c r="C36" s="3" t="s">
        <v>0</v>
      </c>
      <c r="D36" s="3" t="s">
        <v>29</v>
      </c>
      <c r="E36" s="3" t="s">
        <v>30</v>
      </c>
      <c r="F36" s="3" t="s">
        <v>35</v>
      </c>
      <c r="G36" s="3" t="s">
        <v>31</v>
      </c>
      <c r="H36" s="3" t="s">
        <v>27</v>
      </c>
      <c r="I36" s="3" t="s">
        <v>28</v>
      </c>
      <c r="J36" s="3" t="s">
        <v>24</v>
      </c>
      <c r="K36" s="3" t="s">
        <v>19</v>
      </c>
      <c r="L36" s="3" t="s">
        <v>20</v>
      </c>
      <c r="M36" s="3" t="s">
        <v>21</v>
      </c>
      <c r="P36" s="3" t="s">
        <v>1</v>
      </c>
      <c r="Q36" s="3" t="s">
        <v>26</v>
      </c>
      <c r="R36" s="3" t="s">
        <v>0</v>
      </c>
      <c r="S36" s="3" t="s">
        <v>29</v>
      </c>
      <c r="T36" s="3" t="s">
        <v>30</v>
      </c>
      <c r="U36" s="3" t="s">
        <v>35</v>
      </c>
      <c r="V36" s="3" t="s">
        <v>31</v>
      </c>
      <c r="W36" s="3" t="s">
        <v>27</v>
      </c>
      <c r="X36" s="3" t="s">
        <v>28</v>
      </c>
      <c r="Y36" s="3" t="s">
        <v>24</v>
      </c>
      <c r="Z36" s="3" t="s">
        <v>19</v>
      </c>
      <c r="AA36" s="3" t="s">
        <v>20</v>
      </c>
      <c r="AB36" s="3" t="s">
        <v>21</v>
      </c>
      <c r="AD36" t="s">
        <v>89</v>
      </c>
      <c r="AE36" s="2" t="s">
        <v>90</v>
      </c>
      <c r="AF36" s="2"/>
      <c r="AG36" s="2" t="s">
        <v>91</v>
      </c>
      <c r="AH36" s="2" t="s">
        <v>92</v>
      </c>
      <c r="AI36" s="2" t="s">
        <v>93</v>
      </c>
      <c r="AJ36" s="2" t="s">
        <v>94</v>
      </c>
      <c r="AK36" s="2" t="s">
        <v>95</v>
      </c>
      <c r="AL36" s="2" t="s">
        <v>96</v>
      </c>
    </row>
    <row r="37" spans="1:38" x14ac:dyDescent="0.3">
      <c r="A37" t="s">
        <v>23</v>
      </c>
      <c r="B37" t="s">
        <v>12</v>
      </c>
      <c r="C37">
        <v>1993</v>
      </c>
      <c r="H37">
        <v>42</v>
      </c>
      <c r="M37" s="2">
        <f t="shared" ref="M37:M64" si="19">SUM(D37:L37)</f>
        <v>42</v>
      </c>
      <c r="P37" t="s">
        <v>37</v>
      </c>
      <c r="Q37" t="s">
        <v>12</v>
      </c>
      <c r="R37">
        <v>1993</v>
      </c>
      <c r="W37">
        <v>6</v>
      </c>
      <c r="AB37" s="2">
        <f t="shared" ref="AB37:AB62" si="20">SUM(S37:AA37)</f>
        <v>6</v>
      </c>
      <c r="AD37">
        <f>M37/(M37+AB37)</f>
        <v>0.875</v>
      </c>
      <c r="AE37">
        <f>AB37+M37</f>
        <v>48</v>
      </c>
    </row>
    <row r="38" spans="1:38" x14ac:dyDescent="0.3">
      <c r="A38" t="s">
        <v>23</v>
      </c>
      <c r="B38" t="s">
        <v>12</v>
      </c>
      <c r="C38">
        <v>1994</v>
      </c>
      <c r="H38">
        <v>2</v>
      </c>
      <c r="M38" s="2">
        <f t="shared" si="19"/>
        <v>2</v>
      </c>
      <c r="P38" t="s">
        <v>37</v>
      </c>
      <c r="Q38" t="s">
        <v>12</v>
      </c>
      <c r="R38">
        <v>1994</v>
      </c>
      <c r="AB38" s="2">
        <f t="shared" si="20"/>
        <v>0</v>
      </c>
      <c r="AD38">
        <f t="shared" ref="AD38:AD62" si="21">M38/(M38+AB38)</f>
        <v>1</v>
      </c>
      <c r="AE38">
        <f t="shared" ref="AE38:AE62" si="22">AB38+M38</f>
        <v>2</v>
      </c>
    </row>
    <row r="39" spans="1:38" x14ac:dyDescent="0.3">
      <c r="A39" t="s">
        <v>23</v>
      </c>
      <c r="B39" t="s">
        <v>12</v>
      </c>
      <c r="C39">
        <v>1995</v>
      </c>
      <c r="M39" s="2">
        <f t="shared" si="19"/>
        <v>0</v>
      </c>
      <c r="P39" t="s">
        <v>37</v>
      </c>
      <c r="Q39" t="s">
        <v>12</v>
      </c>
      <c r="R39">
        <v>1995</v>
      </c>
      <c r="W39">
        <v>7</v>
      </c>
      <c r="AB39" s="2">
        <f t="shared" si="20"/>
        <v>7</v>
      </c>
      <c r="AD39">
        <f t="shared" si="21"/>
        <v>0</v>
      </c>
      <c r="AE39">
        <f t="shared" si="22"/>
        <v>7</v>
      </c>
    </row>
    <row r="40" spans="1:38" x14ac:dyDescent="0.3">
      <c r="A40" t="s">
        <v>23</v>
      </c>
      <c r="B40" t="s">
        <v>12</v>
      </c>
      <c r="C40">
        <v>1996</v>
      </c>
      <c r="H40">
        <v>16</v>
      </c>
      <c r="M40" s="2">
        <f t="shared" si="19"/>
        <v>16</v>
      </c>
      <c r="P40" t="s">
        <v>37</v>
      </c>
      <c r="Q40" t="s">
        <v>12</v>
      </c>
      <c r="R40">
        <v>1996</v>
      </c>
      <c r="W40">
        <v>13</v>
      </c>
      <c r="AB40" s="2">
        <f t="shared" si="20"/>
        <v>13</v>
      </c>
      <c r="AD40">
        <f t="shared" si="21"/>
        <v>0.55172413793103448</v>
      </c>
      <c r="AE40">
        <f t="shared" si="22"/>
        <v>29</v>
      </c>
    </row>
    <row r="41" spans="1:38" x14ac:dyDescent="0.3">
      <c r="A41" t="s">
        <v>23</v>
      </c>
      <c r="B41" t="s">
        <v>12</v>
      </c>
      <c r="C41">
        <v>1997</v>
      </c>
      <c r="H41">
        <v>20</v>
      </c>
      <c r="M41" s="2">
        <f t="shared" si="19"/>
        <v>20</v>
      </c>
      <c r="P41" t="s">
        <v>37</v>
      </c>
      <c r="Q41" t="s">
        <v>12</v>
      </c>
      <c r="R41">
        <v>1997</v>
      </c>
      <c r="W41">
        <v>32</v>
      </c>
      <c r="AB41" s="2">
        <f t="shared" si="20"/>
        <v>32</v>
      </c>
      <c r="AD41">
        <f t="shared" si="21"/>
        <v>0.38461538461538464</v>
      </c>
      <c r="AE41">
        <f t="shared" si="22"/>
        <v>52</v>
      </c>
    </row>
    <row r="42" spans="1:38" x14ac:dyDescent="0.3">
      <c r="A42" t="s">
        <v>23</v>
      </c>
      <c r="B42" t="s">
        <v>12</v>
      </c>
      <c r="C42">
        <v>1998</v>
      </c>
      <c r="H42">
        <v>6</v>
      </c>
      <c r="M42" s="2">
        <f t="shared" si="19"/>
        <v>6</v>
      </c>
      <c r="P42" t="s">
        <v>37</v>
      </c>
      <c r="Q42" t="s">
        <v>12</v>
      </c>
      <c r="R42">
        <v>1998</v>
      </c>
      <c r="W42">
        <v>27</v>
      </c>
      <c r="AB42" s="2">
        <f t="shared" si="20"/>
        <v>27</v>
      </c>
      <c r="AD42">
        <f t="shared" si="21"/>
        <v>0.18181818181818182</v>
      </c>
      <c r="AE42">
        <f t="shared" si="22"/>
        <v>33</v>
      </c>
    </row>
    <row r="43" spans="1:38" x14ac:dyDescent="0.3">
      <c r="A43" t="s">
        <v>23</v>
      </c>
      <c r="B43" t="s">
        <v>12</v>
      </c>
      <c r="C43">
        <v>1999</v>
      </c>
      <c r="H43">
        <v>40</v>
      </c>
      <c r="M43" s="2">
        <f t="shared" si="19"/>
        <v>40</v>
      </c>
      <c r="P43" t="s">
        <v>37</v>
      </c>
      <c r="Q43" t="s">
        <v>12</v>
      </c>
      <c r="R43">
        <v>1999</v>
      </c>
      <c r="W43">
        <v>60</v>
      </c>
      <c r="AB43" s="2">
        <f t="shared" si="20"/>
        <v>60</v>
      </c>
      <c r="AD43">
        <f t="shared" si="21"/>
        <v>0.4</v>
      </c>
      <c r="AE43">
        <f t="shared" si="22"/>
        <v>100</v>
      </c>
    </row>
    <row r="44" spans="1:38" x14ac:dyDescent="0.3">
      <c r="A44" t="s">
        <v>23</v>
      </c>
      <c r="B44" t="s">
        <v>12</v>
      </c>
      <c r="C44">
        <v>2000</v>
      </c>
      <c r="H44">
        <v>40</v>
      </c>
      <c r="M44" s="2">
        <f t="shared" si="19"/>
        <v>40</v>
      </c>
      <c r="P44" t="s">
        <v>37</v>
      </c>
      <c r="Q44" t="s">
        <v>12</v>
      </c>
      <c r="R44">
        <v>2000</v>
      </c>
      <c r="W44">
        <v>41</v>
      </c>
      <c r="AB44" s="2">
        <f t="shared" si="20"/>
        <v>41</v>
      </c>
      <c r="AD44">
        <f t="shared" si="21"/>
        <v>0.49382716049382713</v>
      </c>
      <c r="AE44">
        <f t="shared" si="22"/>
        <v>81</v>
      </c>
    </row>
    <row r="45" spans="1:38" x14ac:dyDescent="0.3">
      <c r="A45" t="s">
        <v>23</v>
      </c>
      <c r="B45" t="s">
        <v>12</v>
      </c>
      <c r="C45">
        <v>2001</v>
      </c>
      <c r="H45">
        <v>9</v>
      </c>
      <c r="M45" s="2">
        <f t="shared" si="19"/>
        <v>9</v>
      </c>
      <c r="P45" t="s">
        <v>37</v>
      </c>
      <c r="Q45" t="s">
        <v>12</v>
      </c>
      <c r="R45">
        <v>2001</v>
      </c>
      <c r="W45">
        <v>56</v>
      </c>
      <c r="AB45" s="2">
        <f t="shared" si="20"/>
        <v>56</v>
      </c>
      <c r="AD45">
        <f t="shared" si="21"/>
        <v>0.13846153846153847</v>
      </c>
      <c r="AE45">
        <f t="shared" si="22"/>
        <v>65</v>
      </c>
    </row>
    <row r="46" spans="1:38" x14ac:dyDescent="0.3">
      <c r="A46" t="s">
        <v>23</v>
      </c>
      <c r="B46" t="s">
        <v>12</v>
      </c>
      <c r="C46">
        <v>2002</v>
      </c>
      <c r="H46">
        <v>35</v>
      </c>
      <c r="M46" s="2">
        <f t="shared" si="19"/>
        <v>35</v>
      </c>
      <c r="P46" t="s">
        <v>37</v>
      </c>
      <c r="Q46" t="s">
        <v>12</v>
      </c>
      <c r="R46">
        <v>2002</v>
      </c>
      <c r="W46">
        <v>32</v>
      </c>
      <c r="AB46" s="2">
        <f t="shared" si="20"/>
        <v>32</v>
      </c>
      <c r="AD46">
        <f t="shared" si="21"/>
        <v>0.52238805970149249</v>
      </c>
      <c r="AE46">
        <f t="shared" si="22"/>
        <v>67</v>
      </c>
    </row>
    <row r="47" spans="1:38" x14ac:dyDescent="0.3">
      <c r="A47" t="s">
        <v>23</v>
      </c>
      <c r="B47" t="s">
        <v>12</v>
      </c>
      <c r="C47">
        <v>2003</v>
      </c>
      <c r="E47">
        <v>2</v>
      </c>
      <c r="H47">
        <v>59</v>
      </c>
      <c r="M47" s="2">
        <f t="shared" si="19"/>
        <v>61</v>
      </c>
      <c r="P47" t="s">
        <v>37</v>
      </c>
      <c r="Q47" t="s">
        <v>12</v>
      </c>
      <c r="R47">
        <v>2003</v>
      </c>
      <c r="W47">
        <v>41</v>
      </c>
      <c r="AB47" s="2">
        <f t="shared" si="20"/>
        <v>41</v>
      </c>
      <c r="AD47">
        <f t="shared" si="21"/>
        <v>0.59803921568627449</v>
      </c>
      <c r="AE47">
        <f t="shared" si="22"/>
        <v>102</v>
      </c>
    </row>
    <row r="48" spans="1:38" x14ac:dyDescent="0.3">
      <c r="A48" t="s">
        <v>23</v>
      </c>
      <c r="B48" t="s">
        <v>12</v>
      </c>
      <c r="C48">
        <v>2004</v>
      </c>
      <c r="H48">
        <v>12</v>
      </c>
      <c r="M48" s="2">
        <f t="shared" si="19"/>
        <v>12</v>
      </c>
      <c r="P48" t="s">
        <v>37</v>
      </c>
      <c r="Q48" t="s">
        <v>12</v>
      </c>
      <c r="R48">
        <v>2004</v>
      </c>
      <c r="W48">
        <v>30</v>
      </c>
      <c r="AB48" s="2">
        <f t="shared" si="20"/>
        <v>30</v>
      </c>
      <c r="AD48">
        <f t="shared" si="21"/>
        <v>0.2857142857142857</v>
      </c>
      <c r="AE48">
        <f t="shared" si="22"/>
        <v>42</v>
      </c>
    </row>
    <row r="49" spans="1:38" x14ac:dyDescent="0.3">
      <c r="A49" t="s">
        <v>23</v>
      </c>
      <c r="B49" t="s">
        <v>12</v>
      </c>
      <c r="C49">
        <v>2005</v>
      </c>
      <c r="H49">
        <v>64</v>
      </c>
      <c r="M49" s="2">
        <f t="shared" si="19"/>
        <v>64</v>
      </c>
      <c r="P49" t="s">
        <v>37</v>
      </c>
      <c r="Q49" t="s">
        <v>12</v>
      </c>
      <c r="R49">
        <v>2005</v>
      </c>
      <c r="W49">
        <v>25</v>
      </c>
      <c r="AB49" s="2">
        <f t="shared" si="20"/>
        <v>25</v>
      </c>
      <c r="AD49">
        <f t="shared" si="21"/>
        <v>0.7191011235955056</v>
      </c>
      <c r="AE49">
        <f t="shared" si="22"/>
        <v>89</v>
      </c>
    </row>
    <row r="50" spans="1:38" x14ac:dyDescent="0.3">
      <c r="A50" t="s">
        <v>23</v>
      </c>
      <c r="B50" t="s">
        <v>12</v>
      </c>
      <c r="C50">
        <v>2006</v>
      </c>
      <c r="E50">
        <v>1</v>
      </c>
      <c r="H50">
        <v>24</v>
      </c>
      <c r="M50" s="2">
        <f t="shared" si="19"/>
        <v>25</v>
      </c>
      <c r="P50" t="s">
        <v>37</v>
      </c>
      <c r="Q50" t="s">
        <v>12</v>
      </c>
      <c r="R50">
        <v>2006</v>
      </c>
      <c r="W50">
        <v>12</v>
      </c>
      <c r="AB50" s="2">
        <f t="shared" si="20"/>
        <v>12</v>
      </c>
      <c r="AD50">
        <f t="shared" si="21"/>
        <v>0.67567567567567566</v>
      </c>
      <c r="AE50">
        <f t="shared" si="22"/>
        <v>37</v>
      </c>
    </row>
    <row r="51" spans="1:38" x14ac:dyDescent="0.3">
      <c r="A51" t="s">
        <v>23</v>
      </c>
      <c r="B51" t="s">
        <v>12</v>
      </c>
      <c r="C51">
        <v>2007</v>
      </c>
      <c r="H51">
        <v>35</v>
      </c>
      <c r="M51" s="2">
        <f t="shared" si="19"/>
        <v>35</v>
      </c>
      <c r="P51" t="s">
        <v>37</v>
      </c>
      <c r="Q51" t="s">
        <v>12</v>
      </c>
      <c r="R51">
        <v>2007</v>
      </c>
      <c r="W51">
        <v>22</v>
      </c>
      <c r="AB51" s="2">
        <f t="shared" si="20"/>
        <v>22</v>
      </c>
      <c r="AD51">
        <f t="shared" si="21"/>
        <v>0.61403508771929827</v>
      </c>
      <c r="AE51">
        <f t="shared" si="22"/>
        <v>57</v>
      </c>
    </row>
    <row r="52" spans="1:38" x14ac:dyDescent="0.3">
      <c r="A52" t="s">
        <v>23</v>
      </c>
      <c r="B52" t="s">
        <v>12</v>
      </c>
      <c r="C52">
        <v>2008</v>
      </c>
      <c r="H52">
        <v>6</v>
      </c>
      <c r="M52" s="2">
        <f t="shared" si="19"/>
        <v>6</v>
      </c>
      <c r="P52" t="s">
        <v>37</v>
      </c>
      <c r="Q52" t="s">
        <v>12</v>
      </c>
      <c r="R52">
        <v>2008</v>
      </c>
      <c r="W52">
        <v>26</v>
      </c>
      <c r="AB52" s="2">
        <f t="shared" si="20"/>
        <v>26</v>
      </c>
      <c r="AD52">
        <f t="shared" si="21"/>
        <v>0.1875</v>
      </c>
      <c r="AE52">
        <f t="shared" si="22"/>
        <v>32</v>
      </c>
    </row>
    <row r="53" spans="1:38" x14ac:dyDescent="0.3">
      <c r="A53" t="s">
        <v>23</v>
      </c>
      <c r="B53" t="s">
        <v>12</v>
      </c>
      <c r="C53">
        <v>2009</v>
      </c>
      <c r="H53">
        <v>71</v>
      </c>
      <c r="M53" s="2">
        <f t="shared" si="19"/>
        <v>71</v>
      </c>
      <c r="P53" t="s">
        <v>37</v>
      </c>
      <c r="Q53" t="s">
        <v>12</v>
      </c>
      <c r="R53">
        <v>2009</v>
      </c>
      <c r="W53">
        <v>103</v>
      </c>
      <c r="AB53" s="2">
        <f t="shared" si="20"/>
        <v>103</v>
      </c>
      <c r="AD53">
        <f t="shared" si="21"/>
        <v>0.40804597701149425</v>
      </c>
      <c r="AE53">
        <f t="shared" si="22"/>
        <v>174</v>
      </c>
    </row>
    <row r="54" spans="1:38" x14ac:dyDescent="0.3">
      <c r="A54" t="s">
        <v>23</v>
      </c>
      <c r="B54" t="s">
        <v>12</v>
      </c>
      <c r="C54">
        <v>2010</v>
      </c>
      <c r="H54">
        <v>330</v>
      </c>
      <c r="M54" s="2">
        <f t="shared" si="19"/>
        <v>330</v>
      </c>
      <c r="P54" t="s">
        <v>37</v>
      </c>
      <c r="Q54" t="s">
        <v>12</v>
      </c>
      <c r="R54">
        <v>2010</v>
      </c>
      <c r="W54">
        <v>165</v>
      </c>
      <c r="AB54" s="2">
        <f t="shared" si="20"/>
        <v>165</v>
      </c>
      <c r="AD54">
        <f t="shared" si="21"/>
        <v>0.66666666666666663</v>
      </c>
      <c r="AE54">
        <f t="shared" si="22"/>
        <v>495</v>
      </c>
    </row>
    <row r="55" spans="1:38" x14ac:dyDescent="0.3">
      <c r="A55" t="s">
        <v>23</v>
      </c>
      <c r="B55" t="s">
        <v>12</v>
      </c>
      <c r="C55">
        <v>2011</v>
      </c>
      <c r="H55">
        <v>92</v>
      </c>
      <c r="M55" s="2">
        <f t="shared" si="19"/>
        <v>92</v>
      </c>
      <c r="P55" t="s">
        <v>37</v>
      </c>
      <c r="Q55" t="s">
        <v>12</v>
      </c>
      <c r="R55">
        <v>2011</v>
      </c>
      <c r="W55">
        <v>150</v>
      </c>
      <c r="AB55" s="2">
        <f t="shared" si="20"/>
        <v>150</v>
      </c>
      <c r="AD55" s="15">
        <f t="shared" si="21"/>
        <v>0.38016528925619836</v>
      </c>
      <c r="AE55">
        <f t="shared" si="22"/>
        <v>242</v>
      </c>
      <c r="AG55">
        <v>0.58115478653375963</v>
      </c>
      <c r="AH55">
        <v>4.2691212420400337E-3</v>
      </c>
      <c r="AI55">
        <f>SQRT(AH55)</f>
        <v>6.5338512701469065E-2</v>
      </c>
      <c r="AJ55">
        <f>1.96*AI55</f>
        <v>0.12806348489487937</v>
      </c>
      <c r="AK55">
        <f>AG55-AJ55</f>
        <v>0.45309130163888023</v>
      </c>
      <c r="AL55">
        <f>AG55+AJ55</f>
        <v>0.70921827142863902</v>
      </c>
    </row>
    <row r="56" spans="1:38" x14ac:dyDescent="0.3">
      <c r="A56" t="s">
        <v>23</v>
      </c>
      <c r="B56" t="s">
        <v>12</v>
      </c>
      <c r="C56">
        <v>2012</v>
      </c>
      <c r="H56">
        <v>210</v>
      </c>
      <c r="M56" s="2">
        <f t="shared" si="19"/>
        <v>210</v>
      </c>
      <c r="P56" t="s">
        <v>37</v>
      </c>
      <c r="Q56" t="s">
        <v>12</v>
      </c>
      <c r="R56">
        <v>2012</v>
      </c>
      <c r="W56">
        <v>63</v>
      </c>
      <c r="AB56" s="2">
        <f t="shared" si="20"/>
        <v>63</v>
      </c>
      <c r="AD56" s="15">
        <f t="shared" si="21"/>
        <v>0.76923076923076927</v>
      </c>
      <c r="AE56">
        <f t="shared" si="22"/>
        <v>273</v>
      </c>
      <c r="AG56">
        <v>0.4669089997493106</v>
      </c>
      <c r="AH56">
        <v>3.7571070733600719E-3</v>
      </c>
      <c r="AI56">
        <f t="shared" ref="AI56:AI62" si="23">SQRT(AH56)</f>
        <v>6.129524511216243E-2</v>
      </c>
      <c r="AJ56">
        <f t="shared" ref="AJ56:AJ62" si="24">1.96*AI56</f>
        <v>0.12013868041983836</v>
      </c>
      <c r="AK56">
        <f t="shared" ref="AK56:AK62" si="25">AG56-AJ56</f>
        <v>0.34677031932947222</v>
      </c>
      <c r="AL56">
        <f t="shared" ref="AL56:AL62" si="26">AG56+AJ56</f>
        <v>0.58704768016914899</v>
      </c>
    </row>
    <row r="57" spans="1:38" x14ac:dyDescent="0.3">
      <c r="A57" t="s">
        <v>23</v>
      </c>
      <c r="B57" t="s">
        <v>12</v>
      </c>
      <c r="C57">
        <v>2013</v>
      </c>
      <c r="H57">
        <v>74</v>
      </c>
      <c r="M57" s="2">
        <f t="shared" si="19"/>
        <v>74</v>
      </c>
      <c r="P57" t="s">
        <v>37</v>
      </c>
      <c r="Q57" t="s">
        <v>12</v>
      </c>
      <c r="R57">
        <v>2013</v>
      </c>
      <c r="W57">
        <v>78</v>
      </c>
      <c r="AB57" s="2">
        <f t="shared" si="20"/>
        <v>78</v>
      </c>
      <c r="AD57">
        <f t="shared" si="21"/>
        <v>0.48684210526315791</v>
      </c>
      <c r="AE57">
        <f t="shared" si="22"/>
        <v>152</v>
      </c>
      <c r="AG57">
        <v>0.5799454101422209</v>
      </c>
      <c r="AH57">
        <v>4.224223881452006E-3</v>
      </c>
      <c r="AI57">
        <f t="shared" si="23"/>
        <v>6.4994029583124058E-2</v>
      </c>
      <c r="AJ57">
        <f t="shared" si="24"/>
        <v>0.12738829798292314</v>
      </c>
      <c r="AK57">
        <f t="shared" si="25"/>
        <v>0.45255711215929773</v>
      </c>
      <c r="AL57">
        <f t="shared" si="26"/>
        <v>0.70733370812514407</v>
      </c>
    </row>
    <row r="58" spans="1:38" x14ac:dyDescent="0.3">
      <c r="A58" t="s">
        <v>23</v>
      </c>
      <c r="B58" t="s">
        <v>12</v>
      </c>
      <c r="C58">
        <v>2014</v>
      </c>
      <c r="E58">
        <v>11</v>
      </c>
      <c r="H58">
        <v>142</v>
      </c>
      <c r="M58" s="2">
        <f t="shared" si="19"/>
        <v>153</v>
      </c>
      <c r="P58" t="s">
        <v>37</v>
      </c>
      <c r="Q58" t="s">
        <v>12</v>
      </c>
      <c r="R58">
        <v>2014</v>
      </c>
      <c r="W58">
        <v>121</v>
      </c>
      <c r="AB58" s="2">
        <f t="shared" si="20"/>
        <v>121</v>
      </c>
      <c r="AD58">
        <f t="shared" si="21"/>
        <v>0.55839416058394165</v>
      </c>
      <c r="AE58">
        <f t="shared" si="22"/>
        <v>274</v>
      </c>
      <c r="AG58">
        <v>0.57866957104557637</v>
      </c>
      <c r="AH58">
        <v>3.055043052059355E-3</v>
      </c>
      <c r="AI58">
        <f t="shared" si="23"/>
        <v>5.5272443876305623E-2</v>
      </c>
      <c r="AJ58">
        <f t="shared" si="24"/>
        <v>0.10833398999755901</v>
      </c>
      <c r="AK58">
        <f t="shared" si="25"/>
        <v>0.47033558104801737</v>
      </c>
      <c r="AL58">
        <f t="shared" si="26"/>
        <v>0.68700356104313542</v>
      </c>
    </row>
    <row r="59" spans="1:38" x14ac:dyDescent="0.3">
      <c r="A59" t="s">
        <v>23</v>
      </c>
      <c r="B59" t="s">
        <v>12</v>
      </c>
      <c r="C59">
        <v>2015</v>
      </c>
      <c r="H59">
        <v>63</v>
      </c>
      <c r="M59" s="2">
        <f t="shared" si="19"/>
        <v>63</v>
      </c>
      <c r="P59" t="s">
        <v>37</v>
      </c>
      <c r="Q59" t="s">
        <v>12</v>
      </c>
      <c r="R59">
        <v>2015</v>
      </c>
      <c r="W59">
        <v>158</v>
      </c>
      <c r="AB59" s="2">
        <f t="shared" si="20"/>
        <v>158</v>
      </c>
      <c r="AD59" s="15">
        <f t="shared" si="21"/>
        <v>0.28506787330316741</v>
      </c>
      <c r="AE59">
        <f t="shared" si="22"/>
        <v>221</v>
      </c>
      <c r="AG59">
        <v>0.61229971288320828</v>
      </c>
      <c r="AH59">
        <v>2.8542085314162058E-3</v>
      </c>
      <c r="AI59">
        <f t="shared" si="23"/>
        <v>5.3424793227641092E-2</v>
      </c>
      <c r="AJ59">
        <f t="shared" si="24"/>
        <v>0.10471259472617654</v>
      </c>
      <c r="AK59">
        <f t="shared" si="25"/>
        <v>0.50758711815703172</v>
      </c>
      <c r="AL59">
        <f t="shared" si="26"/>
        <v>0.71701230760938484</v>
      </c>
    </row>
    <row r="60" spans="1:38" x14ac:dyDescent="0.3">
      <c r="A60" t="s">
        <v>23</v>
      </c>
      <c r="B60" t="s">
        <v>12</v>
      </c>
      <c r="C60">
        <v>2016</v>
      </c>
      <c r="H60">
        <v>110</v>
      </c>
      <c r="M60" s="2">
        <f t="shared" si="19"/>
        <v>110</v>
      </c>
      <c r="P60" t="s">
        <v>37</v>
      </c>
      <c r="Q60" t="s">
        <v>12</v>
      </c>
      <c r="R60">
        <v>2016</v>
      </c>
      <c r="W60">
        <v>107</v>
      </c>
      <c r="AB60" s="2">
        <f t="shared" si="20"/>
        <v>107</v>
      </c>
      <c r="AD60" s="15">
        <f t="shared" si="21"/>
        <v>0.50691244239631339</v>
      </c>
      <c r="AE60">
        <f t="shared" si="22"/>
        <v>217</v>
      </c>
      <c r="AG60">
        <v>0.61552847101309083</v>
      </c>
      <c r="AH60">
        <v>1.8191246498617864E-3</v>
      </c>
      <c r="AI60">
        <f t="shared" si="23"/>
        <v>4.2651197519668615E-2</v>
      </c>
      <c r="AJ60">
        <f t="shared" si="24"/>
        <v>8.3596347138550478E-2</v>
      </c>
      <c r="AK60">
        <f t="shared" si="25"/>
        <v>0.53193212387454036</v>
      </c>
      <c r="AL60">
        <f t="shared" si="26"/>
        <v>0.69912481815164129</v>
      </c>
    </row>
    <row r="61" spans="1:38" x14ac:dyDescent="0.3">
      <c r="A61" t="s">
        <v>23</v>
      </c>
      <c r="B61" t="s">
        <v>12</v>
      </c>
      <c r="C61">
        <v>2017</v>
      </c>
      <c r="H61">
        <v>77</v>
      </c>
      <c r="M61" s="2">
        <f t="shared" si="19"/>
        <v>77</v>
      </c>
      <c r="P61" t="s">
        <v>37</v>
      </c>
      <c r="Q61" t="s">
        <v>12</v>
      </c>
      <c r="R61">
        <v>2017</v>
      </c>
      <c r="W61">
        <v>81</v>
      </c>
      <c r="AB61" s="2">
        <f t="shared" si="20"/>
        <v>81</v>
      </c>
      <c r="AD61" s="15">
        <f t="shared" si="21"/>
        <v>0.48734177215189872</v>
      </c>
      <c r="AE61">
        <f t="shared" si="22"/>
        <v>158</v>
      </c>
      <c r="AG61">
        <v>0.71598982545390755</v>
      </c>
      <c r="AH61">
        <v>1.9670366314147878E-3</v>
      </c>
      <c r="AI61">
        <f t="shared" si="23"/>
        <v>4.4351286694015855E-2</v>
      </c>
      <c r="AJ61">
        <f t="shared" si="24"/>
        <v>8.6928521920271076E-2</v>
      </c>
      <c r="AK61">
        <f t="shared" si="25"/>
        <v>0.62906130353363643</v>
      </c>
      <c r="AL61">
        <f t="shared" si="26"/>
        <v>0.80291834737417866</v>
      </c>
    </row>
    <row r="62" spans="1:38" x14ac:dyDescent="0.3">
      <c r="A62" t="s">
        <v>23</v>
      </c>
      <c r="B62" t="s">
        <v>12</v>
      </c>
      <c r="C62">
        <v>2018</v>
      </c>
      <c r="E62">
        <v>8</v>
      </c>
      <c r="H62">
        <v>299</v>
      </c>
      <c r="M62" s="2">
        <f t="shared" si="19"/>
        <v>307</v>
      </c>
      <c r="P62" t="s">
        <v>37</v>
      </c>
      <c r="Q62" t="s">
        <v>12</v>
      </c>
      <c r="R62">
        <v>2018</v>
      </c>
      <c r="W62">
        <v>171</v>
      </c>
      <c r="AB62" s="2">
        <f t="shared" si="20"/>
        <v>171</v>
      </c>
      <c r="AD62">
        <f t="shared" si="21"/>
        <v>0.64225941422594146</v>
      </c>
      <c r="AE62">
        <f t="shared" si="22"/>
        <v>478</v>
      </c>
      <c r="AG62">
        <v>0.56466104002178052</v>
      </c>
      <c r="AH62">
        <v>3.2803983559179534E-3</v>
      </c>
      <c r="AI62">
        <f t="shared" si="23"/>
        <v>5.7274761945537177E-2</v>
      </c>
      <c r="AJ62">
        <f t="shared" si="24"/>
        <v>0.11225853341325287</v>
      </c>
      <c r="AK62">
        <f t="shared" si="25"/>
        <v>0.45240250660852765</v>
      </c>
      <c r="AL62">
        <f t="shared" si="26"/>
        <v>0.67691957343503339</v>
      </c>
    </row>
    <row r="63" spans="1:38" x14ac:dyDescent="0.3">
      <c r="A63" t="s">
        <v>23</v>
      </c>
      <c r="B63" t="s">
        <v>12</v>
      </c>
      <c r="C63">
        <v>2019</v>
      </c>
      <c r="E63">
        <v>24</v>
      </c>
      <c r="H63">
        <v>257</v>
      </c>
      <c r="M63" s="2">
        <f t="shared" ref="M63" si="27">SUM(D63:L63)</f>
        <v>281</v>
      </c>
      <c r="P63" t="s">
        <v>37</v>
      </c>
      <c r="Q63" t="s">
        <v>12</v>
      </c>
      <c r="R63">
        <v>2019</v>
      </c>
      <c r="W63">
        <v>228</v>
      </c>
      <c r="AB63" s="2">
        <f t="shared" ref="AB63" si="28">SUM(S63:AA63)</f>
        <v>228</v>
      </c>
      <c r="AD63">
        <f t="shared" ref="AD63:AD64" si="29">M63/(M63+AB63)</f>
        <v>0.5520628683693517</v>
      </c>
      <c r="AE63">
        <f t="shared" ref="AE63:AE64" si="30">AB63+M63</f>
        <v>509</v>
      </c>
      <c r="AG63">
        <v>0.5813622340004746</v>
      </c>
      <c r="AH63">
        <v>3.2770523027060121E-3</v>
      </c>
      <c r="AI63">
        <f t="shared" ref="AI63:AI64" si="31">SQRT(AH63)</f>
        <v>5.7245543955018997E-2</v>
      </c>
      <c r="AJ63">
        <f t="shared" ref="AJ63:AJ64" si="32">1.96*AI63</f>
        <v>0.11220126615183723</v>
      </c>
      <c r="AK63">
        <f t="shared" ref="AK63:AK64" si="33">AG63-AJ63</f>
        <v>0.46916096784863737</v>
      </c>
      <c r="AL63">
        <f t="shared" ref="AL63:AL64" si="34">AG63+AJ63</f>
        <v>0.69356350015231183</v>
      </c>
    </row>
    <row r="64" spans="1:38" x14ac:dyDescent="0.3">
      <c r="A64" s="1" t="s">
        <v>23</v>
      </c>
      <c r="B64" s="1" t="s">
        <v>12</v>
      </c>
      <c r="C64" s="1">
        <v>2020</v>
      </c>
      <c r="D64" s="1"/>
      <c r="E64" s="1"/>
      <c r="F64" s="1"/>
      <c r="G64" s="1"/>
      <c r="H64" s="1">
        <f>151+8</f>
        <v>159</v>
      </c>
      <c r="I64" s="1"/>
      <c r="J64" s="1"/>
      <c r="K64" s="1"/>
      <c r="L64" s="1"/>
      <c r="M64" s="3">
        <f t="shared" si="19"/>
        <v>159</v>
      </c>
      <c r="P64" s="1" t="s">
        <v>37</v>
      </c>
      <c r="Q64" s="1" t="s">
        <v>12</v>
      </c>
      <c r="R64" s="1">
        <v>2020</v>
      </c>
      <c r="S64" s="1"/>
      <c r="T64" s="1"/>
      <c r="U64" s="1"/>
      <c r="V64" s="1"/>
      <c r="W64" s="1">
        <f>72+4</f>
        <v>76</v>
      </c>
      <c r="X64" s="1"/>
      <c r="Y64" s="1"/>
      <c r="Z64" s="1"/>
      <c r="AA64" s="1"/>
      <c r="AB64" s="3">
        <f>SUM(S64:AA64)</f>
        <v>76</v>
      </c>
      <c r="AD64">
        <f t="shared" si="29"/>
        <v>0.67659574468085104</v>
      </c>
      <c r="AE64">
        <f t="shared" si="30"/>
        <v>235</v>
      </c>
      <c r="AG64" s="24">
        <v>0.48616600790513836</v>
      </c>
      <c r="AH64" s="24">
        <v>4.0013851452365525E-3</v>
      </c>
      <c r="AI64">
        <f t="shared" si="31"/>
        <v>6.3256502790120739E-2</v>
      </c>
      <c r="AJ64">
        <f t="shared" si="32"/>
        <v>0.12398274546863665</v>
      </c>
      <c r="AK64">
        <f t="shared" si="33"/>
        <v>0.36218326243650173</v>
      </c>
      <c r="AL64">
        <f t="shared" si="34"/>
        <v>0.61014875337377505</v>
      </c>
    </row>
    <row r="65" spans="1:38" x14ac:dyDescent="0.3">
      <c r="A65" s="2" t="s">
        <v>22</v>
      </c>
      <c r="B65" s="2"/>
      <c r="C65" s="2"/>
      <c r="D65" s="2"/>
      <c r="E65" s="2">
        <f>SUM(E37:E62)</f>
        <v>22</v>
      </c>
      <c r="F65" s="2"/>
      <c r="G65" s="2">
        <f>SUM(G37:G62)</f>
        <v>0</v>
      </c>
      <c r="H65" s="2">
        <f>SUM(H37:H64)</f>
        <v>2294</v>
      </c>
      <c r="I65" s="2">
        <f>SUM(I37:I62)</f>
        <v>0</v>
      </c>
      <c r="J65" s="2"/>
      <c r="K65" s="2"/>
      <c r="L65" s="2"/>
      <c r="M65" s="2">
        <f>SUM(D65:L65)</f>
        <v>2316</v>
      </c>
      <c r="P65" s="2" t="s">
        <v>22</v>
      </c>
      <c r="Q65" s="2"/>
      <c r="R65" s="2"/>
      <c r="S65" s="2"/>
      <c r="T65" s="2"/>
      <c r="U65" s="2"/>
      <c r="V65" s="2"/>
      <c r="W65" s="2">
        <f>SUM(W37:W64)</f>
        <v>1931</v>
      </c>
      <c r="X65" s="2">
        <f t="shared" ref="X65:AA65" si="35">SUM(X37:X64)</f>
        <v>0</v>
      </c>
      <c r="Y65" s="2">
        <f t="shared" si="35"/>
        <v>0</v>
      </c>
      <c r="Z65" s="2">
        <f t="shared" si="35"/>
        <v>0</v>
      </c>
      <c r="AA65" s="2">
        <f t="shared" si="35"/>
        <v>0</v>
      </c>
      <c r="AB65" s="2">
        <f>SUM(AB37:AB64)</f>
        <v>1931</v>
      </c>
    </row>
    <row r="66" spans="1:38" x14ac:dyDescent="0.3">
      <c r="A66" s="2" t="s">
        <v>32</v>
      </c>
      <c r="B66" s="2"/>
      <c r="C66" s="2"/>
      <c r="D66" s="2"/>
      <c r="E66" s="5">
        <f>E65/$M65</f>
        <v>9.4991364421416237E-3</v>
      </c>
      <c r="F66" s="5"/>
      <c r="G66" s="5">
        <f>G65/$M65</f>
        <v>0</v>
      </c>
      <c r="H66" s="5">
        <f>H65/$M65</f>
        <v>0.99050086355785838</v>
      </c>
      <c r="I66" s="5">
        <f>I65/$M65</f>
        <v>0</v>
      </c>
      <c r="J66" s="2"/>
      <c r="K66" s="2"/>
      <c r="L66" s="2"/>
      <c r="M66" s="2"/>
      <c r="P66" s="2" t="s">
        <v>32</v>
      </c>
      <c r="Q66" s="2"/>
      <c r="R66" s="2"/>
      <c r="S66" s="5">
        <f t="shared" ref="S66" si="36">S65/$AB65</f>
        <v>0</v>
      </c>
      <c r="T66" s="5">
        <f t="shared" ref="T66" si="37">T65/$AB65</f>
        <v>0</v>
      </c>
      <c r="U66" s="5">
        <f t="shared" ref="U66" si="38">U65/$AB65</f>
        <v>0</v>
      </c>
      <c r="V66" s="5">
        <f t="shared" ref="V66" si="39">V65/$AB65</f>
        <v>0</v>
      </c>
      <c r="W66" s="5">
        <f>W65/$AB65</f>
        <v>1</v>
      </c>
      <c r="X66" s="5">
        <f t="shared" ref="X66" si="40">X65/$AB65</f>
        <v>0</v>
      </c>
      <c r="Y66" s="5">
        <f t="shared" ref="Y66" si="41">Y65/$AB65</f>
        <v>0</v>
      </c>
      <c r="Z66" s="5">
        <f t="shared" ref="Z66" si="42">Z65/$AB65</f>
        <v>0</v>
      </c>
      <c r="AA66" s="5">
        <f t="shared" ref="AA66" si="43">AA65/$AB65</f>
        <v>0</v>
      </c>
      <c r="AB66" s="2"/>
    </row>
    <row r="68" spans="1:38" x14ac:dyDescent="0.3">
      <c r="A68" s="3" t="s">
        <v>1</v>
      </c>
      <c r="B68" s="3" t="s">
        <v>26</v>
      </c>
      <c r="C68" s="3" t="s">
        <v>0</v>
      </c>
      <c r="D68" s="3" t="s">
        <v>29</v>
      </c>
      <c r="E68" s="3" t="s">
        <v>30</v>
      </c>
      <c r="F68" s="3" t="s">
        <v>35</v>
      </c>
      <c r="G68" s="3" t="s">
        <v>31</v>
      </c>
      <c r="H68" s="3" t="s">
        <v>27</v>
      </c>
      <c r="I68" s="3" t="s">
        <v>28</v>
      </c>
      <c r="J68" s="3" t="s">
        <v>24</v>
      </c>
      <c r="K68" s="3" t="s">
        <v>19</v>
      </c>
      <c r="L68" s="3" t="s">
        <v>20</v>
      </c>
      <c r="M68" s="3" t="s">
        <v>21</v>
      </c>
      <c r="P68" s="3" t="s">
        <v>1</v>
      </c>
      <c r="Q68" s="3" t="s">
        <v>26</v>
      </c>
      <c r="R68" s="3" t="s">
        <v>0</v>
      </c>
      <c r="S68" s="3" t="s">
        <v>29</v>
      </c>
      <c r="T68" s="3" t="s">
        <v>30</v>
      </c>
      <c r="U68" s="3" t="s">
        <v>35</v>
      </c>
      <c r="V68" s="3" t="s">
        <v>31</v>
      </c>
      <c r="W68" s="3" t="s">
        <v>27</v>
      </c>
      <c r="X68" s="3" t="s">
        <v>28</v>
      </c>
      <c r="Y68" s="3" t="s">
        <v>24</v>
      </c>
      <c r="Z68" s="3" t="s">
        <v>19</v>
      </c>
      <c r="AA68" s="3" t="s">
        <v>20</v>
      </c>
      <c r="AB68" s="3" t="s">
        <v>21</v>
      </c>
      <c r="AD68" t="s">
        <v>89</v>
      </c>
      <c r="AE68" s="2" t="s">
        <v>90</v>
      </c>
      <c r="AF68" s="2"/>
      <c r="AG68" s="2" t="s">
        <v>91</v>
      </c>
      <c r="AH68" s="2" t="s">
        <v>92</v>
      </c>
      <c r="AI68" s="2" t="s">
        <v>93</v>
      </c>
      <c r="AJ68" s="2" t="s">
        <v>94</v>
      </c>
      <c r="AK68" s="2" t="s">
        <v>95</v>
      </c>
      <c r="AL68" s="2" t="s">
        <v>96</v>
      </c>
    </row>
    <row r="69" spans="1:38" x14ac:dyDescent="0.3">
      <c r="A69" t="s">
        <v>23</v>
      </c>
      <c r="B69" t="s">
        <v>33</v>
      </c>
      <c r="C69">
        <v>1993</v>
      </c>
      <c r="M69" s="2">
        <f t="shared" ref="M69:M96" si="44">SUM(D69:L69)</f>
        <v>0</v>
      </c>
      <c r="P69" t="s">
        <v>37</v>
      </c>
      <c r="Q69" t="s">
        <v>33</v>
      </c>
      <c r="R69">
        <v>1993</v>
      </c>
      <c r="AB69" s="2">
        <f t="shared" ref="AB69:AB96" si="45">SUM(S69:AA69)</f>
        <v>0</v>
      </c>
      <c r="AD69" t="e">
        <f>M69/(M69+AB69)</f>
        <v>#DIV/0!</v>
      </c>
      <c r="AE69">
        <f>AB69+M69</f>
        <v>0</v>
      </c>
    </row>
    <row r="70" spans="1:38" x14ac:dyDescent="0.3">
      <c r="A70" t="s">
        <v>23</v>
      </c>
      <c r="B70" t="s">
        <v>33</v>
      </c>
      <c r="C70">
        <v>1994</v>
      </c>
      <c r="M70" s="2">
        <f t="shared" si="44"/>
        <v>0</v>
      </c>
      <c r="P70" t="s">
        <v>37</v>
      </c>
      <c r="Q70" t="s">
        <v>33</v>
      </c>
      <c r="R70">
        <v>1994</v>
      </c>
      <c r="AB70" s="2">
        <f t="shared" si="45"/>
        <v>0</v>
      </c>
      <c r="AD70" t="e">
        <f t="shared" ref="AD70:AD94" si="46">M70/(M70+AB70)</f>
        <v>#DIV/0!</v>
      </c>
      <c r="AE70">
        <f t="shared" ref="AE70:AE94" si="47">AB70+M70</f>
        <v>0</v>
      </c>
    </row>
    <row r="71" spans="1:38" x14ac:dyDescent="0.3">
      <c r="A71" t="s">
        <v>23</v>
      </c>
      <c r="B71" t="s">
        <v>33</v>
      </c>
      <c r="C71">
        <v>1995</v>
      </c>
      <c r="M71" s="2">
        <f t="shared" si="44"/>
        <v>0</v>
      </c>
      <c r="P71" t="s">
        <v>37</v>
      </c>
      <c r="Q71" t="s">
        <v>33</v>
      </c>
      <c r="R71">
        <v>1995</v>
      </c>
      <c r="AB71" s="2">
        <f t="shared" si="45"/>
        <v>0</v>
      </c>
      <c r="AD71" t="e">
        <f t="shared" si="46"/>
        <v>#DIV/0!</v>
      </c>
      <c r="AE71">
        <f t="shared" si="47"/>
        <v>0</v>
      </c>
    </row>
    <row r="72" spans="1:38" x14ac:dyDescent="0.3">
      <c r="A72" t="s">
        <v>23</v>
      </c>
      <c r="B72" t="s">
        <v>33</v>
      </c>
      <c r="C72">
        <v>1996</v>
      </c>
      <c r="M72" s="2">
        <f t="shared" si="44"/>
        <v>0</v>
      </c>
      <c r="P72" t="s">
        <v>37</v>
      </c>
      <c r="Q72" t="s">
        <v>33</v>
      </c>
      <c r="R72">
        <v>1996</v>
      </c>
      <c r="AB72" s="2">
        <f t="shared" si="45"/>
        <v>0</v>
      </c>
      <c r="AD72" t="e">
        <f t="shared" si="46"/>
        <v>#DIV/0!</v>
      </c>
      <c r="AE72">
        <f t="shared" si="47"/>
        <v>0</v>
      </c>
    </row>
    <row r="73" spans="1:38" x14ac:dyDescent="0.3">
      <c r="A73" t="s">
        <v>23</v>
      </c>
      <c r="B73" t="s">
        <v>33</v>
      </c>
      <c r="C73">
        <v>1997</v>
      </c>
      <c r="I73">
        <v>5</v>
      </c>
      <c r="M73" s="2">
        <f t="shared" si="44"/>
        <v>5</v>
      </c>
      <c r="P73" t="s">
        <v>37</v>
      </c>
      <c r="Q73" t="s">
        <v>33</v>
      </c>
      <c r="R73">
        <v>1997</v>
      </c>
      <c r="AB73" s="2">
        <f t="shared" si="45"/>
        <v>0</v>
      </c>
      <c r="AD73">
        <f t="shared" si="46"/>
        <v>1</v>
      </c>
      <c r="AE73">
        <f t="shared" si="47"/>
        <v>5</v>
      </c>
    </row>
    <row r="74" spans="1:38" x14ac:dyDescent="0.3">
      <c r="A74" t="s">
        <v>23</v>
      </c>
      <c r="B74" t="s">
        <v>33</v>
      </c>
      <c r="C74">
        <v>1998</v>
      </c>
      <c r="I74">
        <v>9</v>
      </c>
      <c r="M74" s="2">
        <f t="shared" si="44"/>
        <v>9</v>
      </c>
      <c r="P74" t="s">
        <v>37</v>
      </c>
      <c r="Q74" t="s">
        <v>33</v>
      </c>
      <c r="R74">
        <v>1998</v>
      </c>
      <c r="AB74" s="2">
        <f t="shared" si="45"/>
        <v>0</v>
      </c>
      <c r="AD74">
        <f t="shared" si="46"/>
        <v>1</v>
      </c>
      <c r="AE74">
        <f t="shared" si="47"/>
        <v>9</v>
      </c>
    </row>
    <row r="75" spans="1:38" x14ac:dyDescent="0.3">
      <c r="A75" t="s">
        <v>23</v>
      </c>
      <c r="B75" t="s">
        <v>33</v>
      </c>
      <c r="C75">
        <v>1999</v>
      </c>
      <c r="I75">
        <v>4</v>
      </c>
      <c r="M75" s="2">
        <f t="shared" si="44"/>
        <v>4</v>
      </c>
      <c r="P75" t="s">
        <v>37</v>
      </c>
      <c r="Q75" t="s">
        <v>33</v>
      </c>
      <c r="R75">
        <v>1999</v>
      </c>
      <c r="X75">
        <v>1</v>
      </c>
      <c r="AB75" s="2">
        <f t="shared" si="45"/>
        <v>1</v>
      </c>
      <c r="AD75">
        <f t="shared" si="46"/>
        <v>0.8</v>
      </c>
      <c r="AE75">
        <f t="shared" si="47"/>
        <v>5</v>
      </c>
    </row>
    <row r="76" spans="1:38" x14ac:dyDescent="0.3">
      <c r="A76" t="s">
        <v>23</v>
      </c>
      <c r="B76" t="s">
        <v>33</v>
      </c>
      <c r="C76">
        <v>2000</v>
      </c>
      <c r="I76">
        <v>22</v>
      </c>
      <c r="M76" s="2">
        <f t="shared" si="44"/>
        <v>22</v>
      </c>
      <c r="P76" t="s">
        <v>37</v>
      </c>
      <c r="Q76" t="s">
        <v>33</v>
      </c>
      <c r="R76">
        <v>2000</v>
      </c>
      <c r="X76">
        <v>11</v>
      </c>
      <c r="AB76" s="2">
        <f t="shared" si="45"/>
        <v>11</v>
      </c>
      <c r="AD76">
        <f t="shared" si="46"/>
        <v>0.66666666666666663</v>
      </c>
      <c r="AE76">
        <f t="shared" si="47"/>
        <v>33</v>
      </c>
    </row>
    <row r="77" spans="1:38" x14ac:dyDescent="0.3">
      <c r="A77" t="s">
        <v>23</v>
      </c>
      <c r="B77" t="s">
        <v>33</v>
      </c>
      <c r="C77">
        <v>2001</v>
      </c>
      <c r="I77">
        <v>2</v>
      </c>
      <c r="M77" s="2">
        <f t="shared" si="44"/>
        <v>2</v>
      </c>
      <c r="P77" t="s">
        <v>37</v>
      </c>
      <c r="Q77" t="s">
        <v>33</v>
      </c>
      <c r="R77">
        <v>2001</v>
      </c>
      <c r="X77">
        <v>10</v>
      </c>
      <c r="AB77" s="2">
        <f t="shared" si="45"/>
        <v>10</v>
      </c>
      <c r="AD77">
        <f t="shared" si="46"/>
        <v>0.16666666666666666</v>
      </c>
      <c r="AE77">
        <f t="shared" si="47"/>
        <v>12</v>
      </c>
    </row>
    <row r="78" spans="1:38" x14ac:dyDescent="0.3">
      <c r="A78" t="s">
        <v>23</v>
      </c>
      <c r="B78" t="s">
        <v>33</v>
      </c>
      <c r="C78">
        <v>2002</v>
      </c>
      <c r="M78" s="2">
        <f t="shared" si="44"/>
        <v>0</v>
      </c>
      <c r="P78" t="s">
        <v>37</v>
      </c>
      <c r="Q78" t="s">
        <v>33</v>
      </c>
      <c r="R78">
        <v>2002</v>
      </c>
      <c r="AB78" s="2">
        <f t="shared" si="45"/>
        <v>0</v>
      </c>
      <c r="AD78" t="e">
        <f t="shared" si="46"/>
        <v>#DIV/0!</v>
      </c>
      <c r="AE78">
        <f t="shared" si="47"/>
        <v>0</v>
      </c>
    </row>
    <row r="79" spans="1:38" x14ac:dyDescent="0.3">
      <c r="A79" t="s">
        <v>23</v>
      </c>
      <c r="B79" t="s">
        <v>33</v>
      </c>
      <c r="C79">
        <v>2003</v>
      </c>
      <c r="I79">
        <v>13</v>
      </c>
      <c r="M79" s="2">
        <f t="shared" si="44"/>
        <v>13</v>
      </c>
      <c r="P79" t="s">
        <v>37</v>
      </c>
      <c r="Q79" t="s">
        <v>33</v>
      </c>
      <c r="R79">
        <v>2003</v>
      </c>
      <c r="X79">
        <v>4</v>
      </c>
      <c r="AB79" s="2">
        <f t="shared" si="45"/>
        <v>4</v>
      </c>
      <c r="AD79">
        <f t="shared" si="46"/>
        <v>0.76470588235294112</v>
      </c>
      <c r="AE79">
        <f t="shared" si="47"/>
        <v>17</v>
      </c>
    </row>
    <row r="80" spans="1:38" x14ac:dyDescent="0.3">
      <c r="A80" t="s">
        <v>23</v>
      </c>
      <c r="B80" t="s">
        <v>33</v>
      </c>
      <c r="C80">
        <v>2004</v>
      </c>
      <c r="I80">
        <v>2</v>
      </c>
      <c r="M80" s="2">
        <f t="shared" si="44"/>
        <v>2</v>
      </c>
      <c r="P80" t="s">
        <v>37</v>
      </c>
      <c r="Q80" t="s">
        <v>33</v>
      </c>
      <c r="R80">
        <v>2004</v>
      </c>
      <c r="X80">
        <v>1</v>
      </c>
      <c r="AB80" s="2">
        <f t="shared" si="45"/>
        <v>1</v>
      </c>
      <c r="AD80">
        <f t="shared" si="46"/>
        <v>0.66666666666666663</v>
      </c>
      <c r="AE80">
        <f t="shared" si="47"/>
        <v>3</v>
      </c>
    </row>
    <row r="81" spans="1:38" x14ac:dyDescent="0.3">
      <c r="A81" t="s">
        <v>23</v>
      </c>
      <c r="B81" t="s">
        <v>33</v>
      </c>
      <c r="C81">
        <v>2005</v>
      </c>
      <c r="M81" s="2">
        <f t="shared" si="44"/>
        <v>0</v>
      </c>
      <c r="P81" t="s">
        <v>37</v>
      </c>
      <c r="Q81" t="s">
        <v>33</v>
      </c>
      <c r="R81">
        <v>2005</v>
      </c>
      <c r="AB81" s="2">
        <f t="shared" si="45"/>
        <v>0</v>
      </c>
      <c r="AD81" t="e">
        <f t="shared" si="46"/>
        <v>#DIV/0!</v>
      </c>
      <c r="AE81">
        <f t="shared" si="47"/>
        <v>0</v>
      </c>
    </row>
    <row r="82" spans="1:38" x14ac:dyDescent="0.3">
      <c r="A82" t="s">
        <v>23</v>
      </c>
      <c r="B82" t="s">
        <v>33</v>
      </c>
      <c r="C82">
        <v>2006</v>
      </c>
      <c r="I82">
        <v>20</v>
      </c>
      <c r="M82" s="2">
        <f t="shared" si="44"/>
        <v>20</v>
      </c>
      <c r="P82" t="s">
        <v>37</v>
      </c>
      <c r="Q82" t="s">
        <v>33</v>
      </c>
      <c r="R82">
        <v>2006</v>
      </c>
      <c r="AB82" s="2">
        <f t="shared" si="45"/>
        <v>0</v>
      </c>
      <c r="AD82">
        <f t="shared" si="46"/>
        <v>1</v>
      </c>
      <c r="AE82">
        <f t="shared" si="47"/>
        <v>20</v>
      </c>
    </row>
    <row r="83" spans="1:38" x14ac:dyDescent="0.3">
      <c r="A83" t="s">
        <v>23</v>
      </c>
      <c r="B83" t="s">
        <v>33</v>
      </c>
      <c r="C83">
        <v>2007</v>
      </c>
      <c r="I83">
        <v>26</v>
      </c>
      <c r="M83" s="2">
        <f t="shared" si="44"/>
        <v>26</v>
      </c>
      <c r="P83" t="s">
        <v>37</v>
      </c>
      <c r="Q83" t="s">
        <v>33</v>
      </c>
      <c r="R83">
        <v>2007</v>
      </c>
      <c r="AB83" s="2">
        <f t="shared" si="45"/>
        <v>0</v>
      </c>
      <c r="AD83">
        <f t="shared" si="46"/>
        <v>1</v>
      </c>
      <c r="AE83">
        <f t="shared" si="47"/>
        <v>26</v>
      </c>
    </row>
    <row r="84" spans="1:38" x14ac:dyDescent="0.3">
      <c r="A84" t="s">
        <v>23</v>
      </c>
      <c r="B84" t="s">
        <v>33</v>
      </c>
      <c r="C84">
        <v>2008</v>
      </c>
      <c r="I84">
        <v>1</v>
      </c>
      <c r="M84" s="2">
        <f t="shared" si="44"/>
        <v>1</v>
      </c>
      <c r="P84" t="s">
        <v>37</v>
      </c>
      <c r="Q84" t="s">
        <v>33</v>
      </c>
      <c r="R84">
        <v>2008</v>
      </c>
      <c r="AB84" s="2">
        <f t="shared" si="45"/>
        <v>0</v>
      </c>
      <c r="AD84">
        <f t="shared" si="46"/>
        <v>1</v>
      </c>
      <c r="AE84">
        <f t="shared" si="47"/>
        <v>1</v>
      </c>
    </row>
    <row r="85" spans="1:38" x14ac:dyDescent="0.3">
      <c r="A85" t="s">
        <v>23</v>
      </c>
      <c r="B85" t="s">
        <v>33</v>
      </c>
      <c r="C85">
        <v>2009</v>
      </c>
      <c r="I85">
        <v>50</v>
      </c>
      <c r="M85" s="2">
        <f t="shared" si="44"/>
        <v>50</v>
      </c>
      <c r="P85" t="s">
        <v>37</v>
      </c>
      <c r="Q85" t="s">
        <v>33</v>
      </c>
      <c r="R85">
        <v>2009</v>
      </c>
      <c r="AB85" s="2">
        <f t="shared" si="45"/>
        <v>0</v>
      </c>
      <c r="AD85">
        <f t="shared" si="46"/>
        <v>1</v>
      </c>
      <c r="AE85">
        <f t="shared" si="47"/>
        <v>50</v>
      </c>
    </row>
    <row r="86" spans="1:38" x14ac:dyDescent="0.3">
      <c r="A86" t="s">
        <v>23</v>
      </c>
      <c r="B86" t="s">
        <v>33</v>
      </c>
      <c r="C86">
        <v>2010</v>
      </c>
      <c r="M86" s="2">
        <f t="shared" si="44"/>
        <v>0</v>
      </c>
      <c r="P86" t="s">
        <v>37</v>
      </c>
      <c r="Q86" t="s">
        <v>33</v>
      </c>
      <c r="R86">
        <v>2010</v>
      </c>
      <c r="AB86" s="2">
        <f t="shared" si="45"/>
        <v>0</v>
      </c>
      <c r="AD86" t="e">
        <f t="shared" si="46"/>
        <v>#DIV/0!</v>
      </c>
      <c r="AE86">
        <f t="shared" si="47"/>
        <v>0</v>
      </c>
    </row>
    <row r="87" spans="1:38" x14ac:dyDescent="0.3">
      <c r="A87" t="s">
        <v>23</v>
      </c>
      <c r="B87" t="s">
        <v>33</v>
      </c>
      <c r="C87">
        <v>2011</v>
      </c>
      <c r="M87" s="2">
        <f t="shared" si="44"/>
        <v>0</v>
      </c>
      <c r="P87" t="s">
        <v>37</v>
      </c>
      <c r="Q87" t="s">
        <v>33</v>
      </c>
      <c r="R87">
        <v>2011</v>
      </c>
      <c r="AB87" s="2">
        <f t="shared" si="45"/>
        <v>0</v>
      </c>
      <c r="AD87" s="15" t="e">
        <f t="shared" si="46"/>
        <v>#DIV/0!</v>
      </c>
      <c r="AE87">
        <f t="shared" si="47"/>
        <v>0</v>
      </c>
      <c r="AG87">
        <v>0.9740024183796856</v>
      </c>
      <c r="AH87">
        <v>3.9948460381027822E-4</v>
      </c>
      <c r="AI87">
        <f>SQRT(AH87)</f>
        <v>1.9987110942061591E-2</v>
      </c>
      <c r="AJ87">
        <f>1.96*AI87</f>
        <v>3.9174737446440719E-2</v>
      </c>
      <c r="AK87">
        <f>AG87-AJ87</f>
        <v>0.93482768093324486</v>
      </c>
      <c r="AL87">
        <f>AG87+AJ87</f>
        <v>1.0131771558261262</v>
      </c>
    </row>
    <row r="88" spans="1:38" x14ac:dyDescent="0.3">
      <c r="A88" t="s">
        <v>23</v>
      </c>
      <c r="B88" t="s">
        <v>33</v>
      </c>
      <c r="C88">
        <v>2012</v>
      </c>
      <c r="I88">
        <v>25</v>
      </c>
      <c r="M88" s="2">
        <f t="shared" si="44"/>
        <v>25</v>
      </c>
      <c r="P88" t="s">
        <v>37</v>
      </c>
      <c r="Q88" t="s">
        <v>33</v>
      </c>
      <c r="R88">
        <v>2012</v>
      </c>
      <c r="AB88" s="2">
        <f t="shared" si="45"/>
        <v>0</v>
      </c>
      <c r="AD88">
        <f t="shared" si="46"/>
        <v>1</v>
      </c>
      <c r="AE88">
        <f t="shared" si="47"/>
        <v>25</v>
      </c>
      <c r="AG88">
        <v>0.92548687552921249</v>
      </c>
      <c r="AH88">
        <v>1.5635732787416788E-3</v>
      </c>
      <c r="AI88">
        <f t="shared" ref="AI88:AI94" si="48">SQRT(AH88)</f>
        <v>3.9542044443120018E-2</v>
      </c>
      <c r="AJ88">
        <f t="shared" ref="AJ88:AJ94" si="49">1.96*AI88</f>
        <v>7.7502407108515234E-2</v>
      </c>
      <c r="AK88">
        <f t="shared" ref="AK88:AK94" si="50">AG88-AJ88</f>
        <v>0.8479844684206973</v>
      </c>
      <c r="AL88">
        <f t="shared" ref="AL88:AL94" si="51">AG88+AJ88</f>
        <v>1.0029892826377278</v>
      </c>
    </row>
    <row r="89" spans="1:38" x14ac:dyDescent="0.3">
      <c r="A89" t="s">
        <v>23</v>
      </c>
      <c r="B89" t="s">
        <v>33</v>
      </c>
      <c r="C89">
        <v>2013</v>
      </c>
      <c r="M89" s="2">
        <f t="shared" si="44"/>
        <v>0</v>
      </c>
      <c r="P89" t="s">
        <v>37</v>
      </c>
      <c r="Q89" t="s">
        <v>33</v>
      </c>
      <c r="R89">
        <v>2013</v>
      </c>
      <c r="AB89" s="2">
        <f t="shared" si="45"/>
        <v>0</v>
      </c>
      <c r="AD89" s="15" t="e">
        <f t="shared" si="46"/>
        <v>#DIV/0!</v>
      </c>
      <c r="AE89">
        <f t="shared" si="47"/>
        <v>0</v>
      </c>
      <c r="AG89">
        <v>0.86252045826513912</v>
      </c>
      <c r="AH89">
        <v>1.0673484930831973E-2</v>
      </c>
      <c r="AI89">
        <f t="shared" si="48"/>
        <v>0.10331255940509834</v>
      </c>
      <c r="AJ89">
        <f t="shared" si="49"/>
        <v>0.20249261643399274</v>
      </c>
      <c r="AK89">
        <f t="shared" si="50"/>
        <v>0.66002784183114638</v>
      </c>
      <c r="AL89">
        <f t="shared" si="51"/>
        <v>1.0650130746991318</v>
      </c>
    </row>
    <row r="90" spans="1:38" x14ac:dyDescent="0.3">
      <c r="A90" t="s">
        <v>23</v>
      </c>
      <c r="B90" t="s">
        <v>33</v>
      </c>
      <c r="C90">
        <v>2014</v>
      </c>
      <c r="M90" s="2">
        <f t="shared" si="44"/>
        <v>0</v>
      </c>
      <c r="P90" t="s">
        <v>37</v>
      </c>
      <c r="Q90" t="s">
        <v>33</v>
      </c>
      <c r="R90">
        <v>2014</v>
      </c>
      <c r="AB90" s="2">
        <f t="shared" si="45"/>
        <v>0</v>
      </c>
      <c r="AD90" s="15" t="e">
        <f t="shared" si="46"/>
        <v>#DIV/0!</v>
      </c>
      <c r="AE90">
        <f t="shared" si="47"/>
        <v>0</v>
      </c>
      <c r="AG90">
        <v>0.93401171754548262</v>
      </c>
      <c r="AH90">
        <v>1.4312742842371292E-3</v>
      </c>
      <c r="AI90">
        <f t="shared" si="48"/>
        <v>3.7832185824204362E-2</v>
      </c>
      <c r="AJ90">
        <f t="shared" si="49"/>
        <v>7.4151084215440546E-2</v>
      </c>
      <c r="AK90">
        <f t="shared" si="50"/>
        <v>0.85986063333004203</v>
      </c>
      <c r="AL90">
        <f t="shared" si="51"/>
        <v>1.0081628017609232</v>
      </c>
    </row>
    <row r="91" spans="1:38" x14ac:dyDescent="0.3">
      <c r="A91" t="s">
        <v>23</v>
      </c>
      <c r="B91" t="s">
        <v>33</v>
      </c>
      <c r="C91">
        <v>2015</v>
      </c>
      <c r="I91">
        <v>26</v>
      </c>
      <c r="M91" s="2">
        <f t="shared" si="44"/>
        <v>26</v>
      </c>
      <c r="P91" t="s">
        <v>37</v>
      </c>
      <c r="Q91" t="s">
        <v>33</v>
      </c>
      <c r="R91">
        <v>2015</v>
      </c>
      <c r="X91">
        <v>16</v>
      </c>
      <c r="AB91" s="2">
        <f t="shared" si="45"/>
        <v>16</v>
      </c>
      <c r="AD91">
        <f t="shared" si="46"/>
        <v>0.61904761904761907</v>
      </c>
      <c r="AE91">
        <f t="shared" si="47"/>
        <v>42</v>
      </c>
      <c r="AG91">
        <v>0.74935495761150017</v>
      </c>
      <c r="AH91">
        <v>1.4630494157075957E-2</v>
      </c>
      <c r="AI91">
        <f t="shared" si="48"/>
        <v>0.12095657963532186</v>
      </c>
      <c r="AJ91">
        <f t="shared" si="49"/>
        <v>0.23707489608523083</v>
      </c>
      <c r="AK91">
        <f t="shared" si="50"/>
        <v>0.51228006152626937</v>
      </c>
      <c r="AL91">
        <f t="shared" si="51"/>
        <v>0.98642985369673097</v>
      </c>
    </row>
    <row r="92" spans="1:38" x14ac:dyDescent="0.3">
      <c r="A92" t="s">
        <v>23</v>
      </c>
      <c r="B92" t="s">
        <v>33</v>
      </c>
      <c r="C92">
        <v>2016</v>
      </c>
      <c r="I92">
        <v>56</v>
      </c>
      <c r="M92" s="2">
        <f t="shared" si="44"/>
        <v>56</v>
      </c>
      <c r="P92" t="s">
        <v>37</v>
      </c>
      <c r="Q92" t="s">
        <v>33</v>
      </c>
      <c r="R92">
        <v>2016</v>
      </c>
      <c r="AB92" s="2">
        <f t="shared" si="45"/>
        <v>0</v>
      </c>
      <c r="AD92">
        <f t="shared" si="46"/>
        <v>1</v>
      </c>
      <c r="AE92">
        <f t="shared" si="47"/>
        <v>56</v>
      </c>
      <c r="AG92">
        <v>0.89490559315995721</v>
      </c>
      <c r="AH92">
        <v>4.3506301125708254E-3</v>
      </c>
      <c r="AI92">
        <f t="shared" si="48"/>
        <v>6.5959306489462313E-2</v>
      </c>
      <c r="AJ92">
        <f t="shared" si="49"/>
        <v>0.12928024071934613</v>
      </c>
      <c r="AK92">
        <f t="shared" si="50"/>
        <v>0.76562535244061114</v>
      </c>
      <c r="AL92">
        <f t="shared" si="51"/>
        <v>1.0241858338793033</v>
      </c>
    </row>
    <row r="93" spans="1:38" x14ac:dyDescent="0.3">
      <c r="A93" t="s">
        <v>23</v>
      </c>
      <c r="B93" t="s">
        <v>33</v>
      </c>
      <c r="C93">
        <v>2017</v>
      </c>
      <c r="I93">
        <v>119</v>
      </c>
      <c r="M93" s="2">
        <f t="shared" si="44"/>
        <v>119</v>
      </c>
      <c r="P93" t="s">
        <v>37</v>
      </c>
      <c r="Q93" t="s">
        <v>33</v>
      </c>
      <c r="R93">
        <v>2017</v>
      </c>
      <c r="X93">
        <v>25</v>
      </c>
      <c r="AB93" s="2">
        <f t="shared" si="45"/>
        <v>25</v>
      </c>
      <c r="AD93">
        <f t="shared" si="46"/>
        <v>0.82638888888888884</v>
      </c>
      <c r="AE93">
        <f t="shared" si="47"/>
        <v>144</v>
      </c>
      <c r="AG93">
        <v>0.76184738955823295</v>
      </c>
      <c r="AH93">
        <v>2.3205265433414331E-2</v>
      </c>
      <c r="AI93">
        <f t="shared" si="48"/>
        <v>0.15233274576864403</v>
      </c>
      <c r="AJ93">
        <f t="shared" si="49"/>
        <v>0.29857218170654232</v>
      </c>
      <c r="AK93">
        <f t="shared" si="50"/>
        <v>0.46327520785169063</v>
      </c>
      <c r="AL93">
        <f t="shared" si="51"/>
        <v>1.0604195712647753</v>
      </c>
    </row>
    <row r="94" spans="1:38" x14ac:dyDescent="0.3">
      <c r="A94" t="s">
        <v>23</v>
      </c>
      <c r="B94" t="s">
        <v>33</v>
      </c>
      <c r="C94">
        <v>2018</v>
      </c>
      <c r="E94">
        <v>1</v>
      </c>
      <c r="I94">
        <v>36</v>
      </c>
      <c r="M94" s="2">
        <f t="shared" si="44"/>
        <v>37</v>
      </c>
      <c r="P94" t="s">
        <v>37</v>
      </c>
      <c r="Q94" t="s">
        <v>33</v>
      </c>
      <c r="R94">
        <v>2018</v>
      </c>
      <c r="X94">
        <v>2</v>
      </c>
      <c r="AB94" s="2">
        <f t="shared" si="45"/>
        <v>2</v>
      </c>
      <c r="AD94">
        <f t="shared" si="46"/>
        <v>0.94871794871794868</v>
      </c>
      <c r="AE94">
        <f t="shared" si="47"/>
        <v>39</v>
      </c>
      <c r="AG94">
        <v>0.92830655129789863</v>
      </c>
      <c r="AH94">
        <v>1.8225138878764035E-3</v>
      </c>
      <c r="AI94">
        <f t="shared" si="48"/>
        <v>4.2690911068708801E-2</v>
      </c>
      <c r="AJ94">
        <f t="shared" si="49"/>
        <v>8.3674185694669251E-2</v>
      </c>
      <c r="AK94">
        <f t="shared" si="50"/>
        <v>0.84463236560322941</v>
      </c>
      <c r="AL94">
        <f t="shared" si="51"/>
        <v>1.011980736992568</v>
      </c>
    </row>
    <row r="95" spans="1:38" x14ac:dyDescent="0.3">
      <c r="A95" t="s">
        <v>23</v>
      </c>
      <c r="B95" t="s">
        <v>33</v>
      </c>
      <c r="C95">
        <v>2019</v>
      </c>
      <c r="I95">
        <v>35</v>
      </c>
      <c r="M95" s="2">
        <f t="shared" ref="M95" si="52">SUM(D95:L95)</f>
        <v>35</v>
      </c>
      <c r="P95" t="s">
        <v>37</v>
      </c>
      <c r="Q95" t="s">
        <v>33</v>
      </c>
      <c r="R95">
        <v>2019</v>
      </c>
      <c r="AB95" s="2">
        <f t="shared" ref="AB95" si="53">SUM(S95:AA95)</f>
        <v>0</v>
      </c>
      <c r="AD95">
        <f t="shared" ref="AD95:AD96" si="54">M95/(M95+AB95)</f>
        <v>1</v>
      </c>
      <c r="AE95">
        <f t="shared" ref="AE95:AE96" si="55">AB95+M95</f>
        <v>35</v>
      </c>
      <c r="AG95">
        <v>0.75661157024793391</v>
      </c>
      <c r="AH95">
        <v>1.9698070489197521E-2</v>
      </c>
      <c r="AI95">
        <f t="shared" ref="AI95:AI96" si="56">SQRT(AH95)</f>
        <v>0.1403498147102358</v>
      </c>
      <c r="AJ95">
        <f t="shared" ref="AJ95:AJ96" si="57">1.96*AI95</f>
        <v>0.27508563683206216</v>
      </c>
      <c r="AK95">
        <f t="shared" ref="AK95:AK96" si="58">AG95-AJ95</f>
        <v>0.48152593341587174</v>
      </c>
      <c r="AL95">
        <f t="shared" ref="AL95:AL96" si="59">AG95+AJ95</f>
        <v>1.0316972070799961</v>
      </c>
    </row>
    <row r="96" spans="1:38" x14ac:dyDescent="0.3">
      <c r="A96" s="1" t="s">
        <v>23</v>
      </c>
      <c r="B96" s="1" t="s">
        <v>33</v>
      </c>
      <c r="C96" s="1">
        <v>2020</v>
      </c>
      <c r="D96" s="1"/>
      <c r="E96" s="1"/>
      <c r="F96" s="1"/>
      <c r="G96" s="1"/>
      <c r="H96" s="1"/>
      <c r="I96" s="1"/>
      <c r="J96" s="1"/>
      <c r="K96" s="1"/>
      <c r="L96" s="1"/>
      <c r="M96" s="3">
        <f t="shared" si="44"/>
        <v>0</v>
      </c>
      <c r="P96" s="1" t="s">
        <v>37</v>
      </c>
      <c r="Q96" s="1" t="s">
        <v>33</v>
      </c>
      <c r="R96" s="1">
        <v>2020</v>
      </c>
      <c r="S96" s="1"/>
      <c r="T96" s="1"/>
      <c r="U96" s="1"/>
      <c r="V96" s="1"/>
      <c r="W96" s="1"/>
      <c r="X96" s="1"/>
      <c r="Y96" s="1"/>
      <c r="Z96" s="1"/>
      <c r="AA96" s="1"/>
      <c r="AB96" s="3">
        <f t="shared" si="45"/>
        <v>0</v>
      </c>
      <c r="AD96" t="e">
        <f t="shared" si="54"/>
        <v>#DIV/0!</v>
      </c>
      <c r="AE96">
        <f t="shared" si="55"/>
        <v>0</v>
      </c>
      <c r="AG96" s="24">
        <v>1</v>
      </c>
      <c r="AH96" s="24">
        <v>0</v>
      </c>
      <c r="AI96">
        <f t="shared" si="56"/>
        <v>0</v>
      </c>
      <c r="AJ96">
        <f t="shared" si="57"/>
        <v>0</v>
      </c>
      <c r="AK96">
        <f t="shared" si="58"/>
        <v>1</v>
      </c>
      <c r="AL96">
        <f t="shared" si="59"/>
        <v>1</v>
      </c>
    </row>
    <row r="97" spans="1:38" x14ac:dyDescent="0.3">
      <c r="A97" s="2" t="s">
        <v>22</v>
      </c>
      <c r="B97" s="2"/>
      <c r="C97" s="2"/>
      <c r="D97" s="2"/>
      <c r="E97" s="2">
        <f>SUM(E69:E94)</f>
        <v>1</v>
      </c>
      <c r="F97" s="2"/>
      <c r="G97" s="2">
        <f>SUM(G69:G94)</f>
        <v>0</v>
      </c>
      <c r="H97" s="2">
        <f>SUM(H69:H94)</f>
        <v>0</v>
      </c>
      <c r="I97" s="2">
        <f>SUM(I69:I96)</f>
        <v>451</v>
      </c>
      <c r="J97" s="2"/>
      <c r="K97" s="2"/>
      <c r="L97" s="2"/>
      <c r="M97" s="2">
        <f>SUM(D97:L97)</f>
        <v>452</v>
      </c>
      <c r="P97" s="2" t="s">
        <v>22</v>
      </c>
      <c r="Q97" s="2"/>
      <c r="R97" s="2"/>
      <c r="S97" s="2"/>
      <c r="T97" s="2"/>
      <c r="U97" s="2"/>
      <c r="V97" s="2"/>
      <c r="W97" s="2">
        <f>SUM(W69:W94)</f>
        <v>0</v>
      </c>
      <c r="X97" s="2">
        <f>SUM(X69:X96)</f>
        <v>70</v>
      </c>
      <c r="Y97" s="2"/>
      <c r="Z97" s="2"/>
      <c r="AA97" s="2"/>
      <c r="AB97" s="2">
        <f>SUM(S97:AA97)</f>
        <v>70</v>
      </c>
    </row>
    <row r="98" spans="1:38" x14ac:dyDescent="0.3">
      <c r="A98" s="2" t="s">
        <v>32</v>
      </c>
      <c r="B98" s="2"/>
      <c r="C98" s="2"/>
      <c r="D98" s="2"/>
      <c r="E98" s="5">
        <f>E97/$M97</f>
        <v>2.2123893805309734E-3</v>
      </c>
      <c r="F98" s="5"/>
      <c r="G98" s="5">
        <f>G97/$M97</f>
        <v>0</v>
      </c>
      <c r="H98" s="5">
        <f>H97/$M97</f>
        <v>0</v>
      </c>
      <c r="I98" s="5">
        <f>I97/$M97</f>
        <v>0.99778761061946908</v>
      </c>
      <c r="J98" s="2"/>
      <c r="K98" s="2"/>
      <c r="L98" s="2"/>
      <c r="M98" s="2"/>
      <c r="P98" s="2" t="s">
        <v>32</v>
      </c>
      <c r="Q98" s="2"/>
      <c r="R98" s="2"/>
      <c r="S98" s="5">
        <f t="shared" ref="S98" si="60">S97/$AB97</f>
        <v>0</v>
      </c>
      <c r="T98" s="5">
        <f t="shared" ref="T98" si="61">T97/$AB97</f>
        <v>0</v>
      </c>
      <c r="U98" s="5">
        <f t="shared" ref="U98" si="62">U97/$AB97</f>
        <v>0</v>
      </c>
      <c r="V98" s="5">
        <f t="shared" ref="V98" si="63">V97/$AB97</f>
        <v>0</v>
      </c>
      <c r="W98" s="5">
        <f>W97/$AB97</f>
        <v>0</v>
      </c>
      <c r="X98" s="5">
        <f t="shared" ref="X98" si="64">X97/$AB97</f>
        <v>1</v>
      </c>
      <c r="Y98" s="5">
        <f t="shared" ref="Y98" si="65">Y97/$AB97</f>
        <v>0</v>
      </c>
      <c r="Z98" s="5">
        <f t="shared" ref="Z98" si="66">Z97/$AB97</f>
        <v>0</v>
      </c>
      <c r="AA98" s="5">
        <f t="shared" ref="AA98" si="67">AA97/$AB97</f>
        <v>0</v>
      </c>
      <c r="AB98" s="2"/>
    </row>
    <row r="100" spans="1:38" x14ac:dyDescent="0.3">
      <c r="A100" s="3" t="s">
        <v>1</v>
      </c>
      <c r="B100" s="3" t="s">
        <v>26</v>
      </c>
      <c r="C100" s="3" t="s">
        <v>0</v>
      </c>
      <c r="D100" s="3" t="s">
        <v>29</v>
      </c>
      <c r="E100" s="3" t="s">
        <v>30</v>
      </c>
      <c r="F100" s="3" t="s">
        <v>35</v>
      </c>
      <c r="G100" s="3" t="s">
        <v>31</v>
      </c>
      <c r="H100" s="3" t="s">
        <v>27</v>
      </c>
      <c r="I100" s="3" t="s">
        <v>28</v>
      </c>
      <c r="J100" s="3" t="s">
        <v>24</v>
      </c>
      <c r="K100" s="3" t="s">
        <v>19</v>
      </c>
      <c r="L100" s="3" t="s">
        <v>20</v>
      </c>
      <c r="M100" s="3" t="s">
        <v>21</v>
      </c>
      <c r="P100" s="3" t="s">
        <v>1</v>
      </c>
      <c r="Q100" s="3" t="s">
        <v>26</v>
      </c>
      <c r="R100" s="3" t="s">
        <v>0</v>
      </c>
      <c r="S100" s="3" t="s">
        <v>29</v>
      </c>
      <c r="T100" s="3" t="s">
        <v>30</v>
      </c>
      <c r="U100" s="3" t="s">
        <v>35</v>
      </c>
      <c r="V100" s="3" t="s">
        <v>31</v>
      </c>
      <c r="W100" s="3" t="s">
        <v>27</v>
      </c>
      <c r="X100" s="3" t="s">
        <v>28</v>
      </c>
      <c r="Y100" s="3" t="s">
        <v>24</v>
      </c>
      <c r="Z100" s="3" t="s">
        <v>19</v>
      </c>
      <c r="AA100" s="3" t="s">
        <v>20</v>
      </c>
      <c r="AB100" s="3" t="s">
        <v>21</v>
      </c>
      <c r="AD100" t="s">
        <v>89</v>
      </c>
      <c r="AE100" s="2" t="s">
        <v>90</v>
      </c>
      <c r="AF100" s="2"/>
      <c r="AG100" s="2" t="s">
        <v>91</v>
      </c>
      <c r="AH100" s="2" t="s">
        <v>92</v>
      </c>
      <c r="AI100" s="2" t="s">
        <v>93</v>
      </c>
      <c r="AJ100" s="2" t="s">
        <v>94</v>
      </c>
      <c r="AK100" s="2" t="s">
        <v>95</v>
      </c>
      <c r="AL100" s="2" t="s">
        <v>96</v>
      </c>
    </row>
    <row r="101" spans="1:38" x14ac:dyDescent="0.3">
      <c r="A101" t="s">
        <v>23</v>
      </c>
      <c r="B101" t="s">
        <v>14</v>
      </c>
      <c r="C101">
        <v>1993</v>
      </c>
      <c r="H101">
        <v>156</v>
      </c>
      <c r="J101">
        <v>98</v>
      </c>
      <c r="M101" s="2">
        <f t="shared" ref="M101:M128" si="68">SUM(D101:L101)</f>
        <v>254</v>
      </c>
      <c r="P101" t="s">
        <v>37</v>
      </c>
      <c r="Q101" t="s">
        <v>14</v>
      </c>
      <c r="R101">
        <v>1993</v>
      </c>
      <c r="Y101">
        <v>109</v>
      </c>
      <c r="AB101" s="2">
        <f t="shared" ref="AB101:AB128" si="69">SUM(S101:AA101)</f>
        <v>109</v>
      </c>
      <c r="AD101">
        <f>M101/(M101+AB101)</f>
        <v>0.69972451790633605</v>
      </c>
      <c r="AE101">
        <f>AB101+M101</f>
        <v>363</v>
      </c>
    </row>
    <row r="102" spans="1:38" x14ac:dyDescent="0.3">
      <c r="A102" t="s">
        <v>23</v>
      </c>
      <c r="B102" t="s">
        <v>14</v>
      </c>
      <c r="C102">
        <v>1994</v>
      </c>
      <c r="H102">
        <v>36</v>
      </c>
      <c r="J102">
        <v>138</v>
      </c>
      <c r="M102" s="2">
        <f t="shared" si="68"/>
        <v>174</v>
      </c>
      <c r="P102" t="s">
        <v>37</v>
      </c>
      <c r="Q102" t="s">
        <v>14</v>
      </c>
      <c r="R102">
        <v>1994</v>
      </c>
      <c r="Y102">
        <v>68</v>
      </c>
      <c r="AB102" s="2">
        <f t="shared" si="69"/>
        <v>68</v>
      </c>
      <c r="AD102">
        <f t="shared" ref="AD102:AD126" si="70">M102/(M102+AB102)</f>
        <v>0.71900826446280997</v>
      </c>
      <c r="AE102">
        <f t="shared" ref="AE102:AE126" si="71">AB102+M102</f>
        <v>242</v>
      </c>
    </row>
    <row r="103" spans="1:38" x14ac:dyDescent="0.3">
      <c r="A103" t="s">
        <v>23</v>
      </c>
      <c r="B103" t="s">
        <v>14</v>
      </c>
      <c r="C103">
        <v>1995</v>
      </c>
      <c r="H103">
        <v>101</v>
      </c>
      <c r="J103">
        <v>114</v>
      </c>
      <c r="M103" s="2">
        <f t="shared" si="68"/>
        <v>215</v>
      </c>
      <c r="P103" t="s">
        <v>37</v>
      </c>
      <c r="Q103" t="s">
        <v>14</v>
      </c>
      <c r="R103">
        <v>1995</v>
      </c>
      <c r="Y103">
        <v>84</v>
      </c>
      <c r="AB103" s="2">
        <f t="shared" si="69"/>
        <v>84</v>
      </c>
      <c r="AD103">
        <f t="shared" si="70"/>
        <v>0.71906354515050164</v>
      </c>
      <c r="AE103">
        <f t="shared" si="71"/>
        <v>299</v>
      </c>
    </row>
    <row r="104" spans="1:38" x14ac:dyDescent="0.3">
      <c r="A104" t="s">
        <v>23</v>
      </c>
      <c r="B104" t="s">
        <v>14</v>
      </c>
      <c r="C104">
        <v>1996</v>
      </c>
      <c r="H104">
        <v>35</v>
      </c>
      <c r="J104">
        <v>129</v>
      </c>
      <c r="M104" s="2">
        <f t="shared" si="68"/>
        <v>164</v>
      </c>
      <c r="P104" t="s">
        <v>37</v>
      </c>
      <c r="Q104" t="s">
        <v>14</v>
      </c>
      <c r="R104">
        <v>1996</v>
      </c>
      <c r="W104">
        <v>2</v>
      </c>
      <c r="Y104">
        <v>46</v>
      </c>
      <c r="AB104" s="2">
        <f t="shared" si="69"/>
        <v>48</v>
      </c>
      <c r="AD104">
        <f t="shared" si="70"/>
        <v>0.77358490566037741</v>
      </c>
      <c r="AE104">
        <f t="shared" si="71"/>
        <v>212</v>
      </c>
    </row>
    <row r="105" spans="1:38" x14ac:dyDescent="0.3">
      <c r="A105" t="s">
        <v>23</v>
      </c>
      <c r="B105" t="s">
        <v>14</v>
      </c>
      <c r="C105">
        <v>1997</v>
      </c>
      <c r="H105">
        <v>114</v>
      </c>
      <c r="J105">
        <v>76</v>
      </c>
      <c r="M105" s="2">
        <f t="shared" si="68"/>
        <v>190</v>
      </c>
      <c r="P105" t="s">
        <v>37</v>
      </c>
      <c r="Q105" t="s">
        <v>14</v>
      </c>
      <c r="R105">
        <v>1997</v>
      </c>
      <c r="Y105">
        <v>132</v>
      </c>
      <c r="AB105" s="2">
        <f t="shared" si="69"/>
        <v>132</v>
      </c>
      <c r="AD105">
        <f t="shared" si="70"/>
        <v>0.59006211180124224</v>
      </c>
      <c r="AE105">
        <f t="shared" si="71"/>
        <v>322</v>
      </c>
    </row>
    <row r="106" spans="1:38" x14ac:dyDescent="0.3">
      <c r="A106" t="s">
        <v>23</v>
      </c>
      <c r="B106" t="s">
        <v>14</v>
      </c>
      <c r="C106">
        <v>1998</v>
      </c>
      <c r="H106">
        <v>89</v>
      </c>
      <c r="J106">
        <v>55</v>
      </c>
      <c r="M106" s="2">
        <f t="shared" si="68"/>
        <v>144</v>
      </c>
      <c r="P106" t="s">
        <v>37</v>
      </c>
      <c r="Q106" t="s">
        <v>14</v>
      </c>
      <c r="R106">
        <v>1998</v>
      </c>
      <c r="W106">
        <v>2</v>
      </c>
      <c r="Y106">
        <v>163</v>
      </c>
      <c r="AB106" s="2">
        <f t="shared" si="69"/>
        <v>165</v>
      </c>
      <c r="AD106">
        <f t="shared" si="70"/>
        <v>0.46601941747572817</v>
      </c>
      <c r="AE106">
        <f t="shared" si="71"/>
        <v>309</v>
      </c>
    </row>
    <row r="107" spans="1:38" x14ac:dyDescent="0.3">
      <c r="A107" t="s">
        <v>23</v>
      </c>
      <c r="B107" t="s">
        <v>14</v>
      </c>
      <c r="C107">
        <v>1999</v>
      </c>
      <c r="H107">
        <v>189</v>
      </c>
      <c r="J107">
        <v>193</v>
      </c>
      <c r="M107" s="2">
        <f t="shared" si="68"/>
        <v>382</v>
      </c>
      <c r="P107" t="s">
        <v>37</v>
      </c>
      <c r="Q107" t="s">
        <v>14</v>
      </c>
      <c r="R107">
        <v>1999</v>
      </c>
      <c r="W107">
        <v>6</v>
      </c>
      <c r="Y107">
        <v>145</v>
      </c>
      <c r="AB107" s="2">
        <f t="shared" si="69"/>
        <v>151</v>
      </c>
      <c r="AD107">
        <f t="shared" si="70"/>
        <v>0.71669793621013134</v>
      </c>
      <c r="AE107">
        <f t="shared" si="71"/>
        <v>533</v>
      </c>
    </row>
    <row r="108" spans="1:38" x14ac:dyDescent="0.3">
      <c r="A108" t="s">
        <v>23</v>
      </c>
      <c r="B108" t="s">
        <v>14</v>
      </c>
      <c r="C108">
        <v>2000</v>
      </c>
      <c r="H108">
        <v>158</v>
      </c>
      <c r="J108">
        <v>101</v>
      </c>
      <c r="M108" s="2">
        <f t="shared" si="68"/>
        <v>259</v>
      </c>
      <c r="P108" t="s">
        <v>37</v>
      </c>
      <c r="Q108" t="s">
        <v>14</v>
      </c>
      <c r="R108">
        <v>2000</v>
      </c>
      <c r="Y108">
        <v>136</v>
      </c>
      <c r="AB108" s="2">
        <f t="shared" si="69"/>
        <v>136</v>
      </c>
      <c r="AD108">
        <f t="shared" si="70"/>
        <v>0.65569620253164562</v>
      </c>
      <c r="AE108">
        <f t="shared" si="71"/>
        <v>395</v>
      </c>
    </row>
    <row r="109" spans="1:38" x14ac:dyDescent="0.3">
      <c r="A109" t="s">
        <v>23</v>
      </c>
      <c r="B109" t="s">
        <v>14</v>
      </c>
      <c r="C109">
        <v>2001</v>
      </c>
      <c r="H109">
        <v>122</v>
      </c>
      <c r="J109">
        <v>150</v>
      </c>
      <c r="M109" s="2">
        <f t="shared" si="68"/>
        <v>272</v>
      </c>
      <c r="P109" t="s">
        <v>37</v>
      </c>
      <c r="Q109" t="s">
        <v>14</v>
      </c>
      <c r="R109">
        <v>2001</v>
      </c>
      <c r="Y109">
        <v>166</v>
      </c>
      <c r="AB109" s="2">
        <f t="shared" si="69"/>
        <v>166</v>
      </c>
      <c r="AD109">
        <f t="shared" si="70"/>
        <v>0.62100456621004563</v>
      </c>
      <c r="AE109">
        <f t="shared" si="71"/>
        <v>438</v>
      </c>
    </row>
    <row r="110" spans="1:38" x14ac:dyDescent="0.3">
      <c r="A110" t="s">
        <v>23</v>
      </c>
      <c r="B110" t="s">
        <v>14</v>
      </c>
      <c r="C110">
        <v>2002</v>
      </c>
      <c r="H110">
        <v>134</v>
      </c>
      <c r="J110">
        <v>152</v>
      </c>
      <c r="M110" s="2">
        <f t="shared" si="68"/>
        <v>286</v>
      </c>
      <c r="P110" t="s">
        <v>37</v>
      </c>
      <c r="Q110" t="s">
        <v>14</v>
      </c>
      <c r="R110">
        <v>2002</v>
      </c>
      <c r="W110">
        <v>12</v>
      </c>
      <c r="Y110">
        <v>267</v>
      </c>
      <c r="AB110" s="2">
        <f t="shared" si="69"/>
        <v>279</v>
      </c>
      <c r="AD110">
        <f t="shared" si="70"/>
        <v>0.50619469026548669</v>
      </c>
      <c r="AE110">
        <f t="shared" si="71"/>
        <v>565</v>
      </c>
    </row>
    <row r="111" spans="1:38" x14ac:dyDescent="0.3">
      <c r="A111" t="s">
        <v>23</v>
      </c>
      <c r="B111" t="s">
        <v>14</v>
      </c>
      <c r="C111">
        <v>2003</v>
      </c>
      <c r="H111">
        <v>336</v>
      </c>
      <c r="J111">
        <v>303</v>
      </c>
      <c r="M111" s="2">
        <f t="shared" si="68"/>
        <v>639</v>
      </c>
      <c r="P111" t="s">
        <v>37</v>
      </c>
      <c r="Q111" t="s">
        <v>14</v>
      </c>
      <c r="R111">
        <v>2003</v>
      </c>
      <c r="W111">
        <v>50</v>
      </c>
      <c r="Y111">
        <v>257</v>
      </c>
      <c r="AB111" s="2">
        <f t="shared" si="69"/>
        <v>307</v>
      </c>
      <c r="AD111">
        <f t="shared" si="70"/>
        <v>0.67547568710359407</v>
      </c>
      <c r="AE111">
        <f t="shared" si="71"/>
        <v>946</v>
      </c>
    </row>
    <row r="112" spans="1:38" x14ac:dyDescent="0.3">
      <c r="A112" t="s">
        <v>23</v>
      </c>
      <c r="B112" t="s">
        <v>14</v>
      </c>
      <c r="C112">
        <v>2004</v>
      </c>
      <c r="H112">
        <v>192</v>
      </c>
      <c r="J112">
        <v>633</v>
      </c>
      <c r="M112" s="2">
        <f t="shared" si="68"/>
        <v>825</v>
      </c>
      <c r="P112" t="s">
        <v>37</v>
      </c>
      <c r="Q112" t="s">
        <v>14</v>
      </c>
      <c r="R112">
        <v>2004</v>
      </c>
      <c r="W112">
        <v>2</v>
      </c>
      <c r="Y112">
        <v>438</v>
      </c>
      <c r="AB112" s="2">
        <f t="shared" si="69"/>
        <v>440</v>
      </c>
      <c r="AD112">
        <f t="shared" si="70"/>
        <v>0.65217391304347827</v>
      </c>
      <c r="AE112">
        <f t="shared" si="71"/>
        <v>1265</v>
      </c>
    </row>
    <row r="113" spans="1:38" x14ac:dyDescent="0.3">
      <c r="A113" t="s">
        <v>23</v>
      </c>
      <c r="B113" t="s">
        <v>14</v>
      </c>
      <c r="C113">
        <v>2005</v>
      </c>
      <c r="H113">
        <v>125</v>
      </c>
      <c r="J113">
        <v>424</v>
      </c>
      <c r="M113" s="2">
        <f t="shared" si="68"/>
        <v>549</v>
      </c>
      <c r="P113" t="s">
        <v>37</v>
      </c>
      <c r="Q113" t="s">
        <v>14</v>
      </c>
      <c r="R113">
        <v>2005</v>
      </c>
      <c r="W113">
        <v>18</v>
      </c>
      <c r="Y113">
        <v>226</v>
      </c>
      <c r="AB113" s="2">
        <f t="shared" si="69"/>
        <v>244</v>
      </c>
      <c r="AD113">
        <f t="shared" si="70"/>
        <v>0.69230769230769229</v>
      </c>
      <c r="AE113">
        <f t="shared" si="71"/>
        <v>793</v>
      </c>
    </row>
    <row r="114" spans="1:38" x14ac:dyDescent="0.3">
      <c r="A114" t="s">
        <v>23</v>
      </c>
      <c r="B114" t="s">
        <v>14</v>
      </c>
      <c r="C114">
        <v>2006</v>
      </c>
      <c r="H114">
        <v>172</v>
      </c>
      <c r="J114">
        <v>572</v>
      </c>
      <c r="M114" s="2">
        <f t="shared" si="68"/>
        <v>744</v>
      </c>
      <c r="P114" t="s">
        <v>37</v>
      </c>
      <c r="Q114" t="s">
        <v>14</v>
      </c>
      <c r="R114">
        <v>2006</v>
      </c>
      <c r="W114">
        <v>16</v>
      </c>
      <c r="Y114">
        <v>296</v>
      </c>
      <c r="AB114" s="2">
        <f t="shared" si="69"/>
        <v>312</v>
      </c>
      <c r="AD114">
        <f t="shared" si="70"/>
        <v>0.70454545454545459</v>
      </c>
      <c r="AE114">
        <f t="shared" si="71"/>
        <v>1056</v>
      </c>
    </row>
    <row r="115" spans="1:38" x14ac:dyDescent="0.3">
      <c r="A115" t="s">
        <v>23</v>
      </c>
      <c r="B115" t="s">
        <v>14</v>
      </c>
      <c r="C115">
        <v>2007</v>
      </c>
      <c r="H115">
        <v>236</v>
      </c>
      <c r="J115">
        <v>379</v>
      </c>
      <c r="M115" s="2">
        <f t="shared" si="68"/>
        <v>615</v>
      </c>
      <c r="P115" t="s">
        <v>37</v>
      </c>
      <c r="Q115" t="s">
        <v>14</v>
      </c>
      <c r="R115">
        <v>2007</v>
      </c>
      <c r="W115">
        <v>31</v>
      </c>
      <c r="Y115">
        <v>225</v>
      </c>
      <c r="AB115" s="2">
        <f t="shared" si="69"/>
        <v>256</v>
      </c>
      <c r="AD115">
        <f t="shared" si="70"/>
        <v>0.70608495981630315</v>
      </c>
      <c r="AE115">
        <f t="shared" si="71"/>
        <v>871</v>
      </c>
    </row>
    <row r="116" spans="1:38" x14ac:dyDescent="0.3">
      <c r="A116" t="s">
        <v>23</v>
      </c>
      <c r="B116" t="s">
        <v>14</v>
      </c>
      <c r="C116">
        <v>2008</v>
      </c>
      <c r="H116">
        <v>193</v>
      </c>
      <c r="J116">
        <v>519</v>
      </c>
      <c r="M116" s="2">
        <f t="shared" si="68"/>
        <v>712</v>
      </c>
      <c r="P116" t="s">
        <v>37</v>
      </c>
      <c r="Q116" t="s">
        <v>14</v>
      </c>
      <c r="R116">
        <v>2008</v>
      </c>
      <c r="Y116">
        <v>219</v>
      </c>
      <c r="AB116" s="2">
        <f t="shared" si="69"/>
        <v>219</v>
      </c>
      <c r="AD116">
        <f t="shared" si="70"/>
        <v>0.76476906552094526</v>
      </c>
      <c r="AE116">
        <f t="shared" si="71"/>
        <v>931</v>
      </c>
    </row>
    <row r="117" spans="1:38" x14ac:dyDescent="0.3">
      <c r="A117" t="s">
        <v>23</v>
      </c>
      <c r="B117" t="s">
        <v>14</v>
      </c>
      <c r="C117">
        <v>2009</v>
      </c>
      <c r="H117">
        <v>299</v>
      </c>
      <c r="J117">
        <v>653</v>
      </c>
      <c r="M117" s="2">
        <f t="shared" si="68"/>
        <v>952</v>
      </c>
      <c r="P117" t="s">
        <v>37</v>
      </c>
      <c r="Q117" t="s">
        <v>14</v>
      </c>
      <c r="R117">
        <v>2009</v>
      </c>
      <c r="W117">
        <v>26</v>
      </c>
      <c r="Y117">
        <v>528</v>
      </c>
      <c r="AB117" s="2">
        <f t="shared" si="69"/>
        <v>554</v>
      </c>
      <c r="AD117">
        <f t="shared" si="70"/>
        <v>0.63213811420982735</v>
      </c>
      <c r="AE117">
        <f t="shared" si="71"/>
        <v>1506</v>
      </c>
    </row>
    <row r="118" spans="1:38" x14ac:dyDescent="0.3">
      <c r="A118" t="s">
        <v>23</v>
      </c>
      <c r="B118" t="s">
        <v>14</v>
      </c>
      <c r="C118">
        <v>2010</v>
      </c>
      <c r="E118">
        <v>24</v>
      </c>
      <c r="H118">
        <v>479</v>
      </c>
      <c r="J118">
        <v>641</v>
      </c>
      <c r="M118" s="2">
        <f t="shared" si="68"/>
        <v>1144</v>
      </c>
      <c r="P118" t="s">
        <v>37</v>
      </c>
      <c r="Q118" t="s">
        <v>14</v>
      </c>
      <c r="R118">
        <v>2010</v>
      </c>
      <c r="W118">
        <v>78</v>
      </c>
      <c r="Y118">
        <v>468</v>
      </c>
      <c r="AB118" s="2">
        <f t="shared" si="69"/>
        <v>546</v>
      </c>
      <c r="AD118">
        <f t="shared" si="70"/>
        <v>0.67692307692307696</v>
      </c>
      <c r="AE118">
        <f t="shared" si="71"/>
        <v>1690</v>
      </c>
    </row>
    <row r="119" spans="1:38" x14ac:dyDescent="0.3">
      <c r="A119" t="s">
        <v>23</v>
      </c>
      <c r="B119" t="s">
        <v>14</v>
      </c>
      <c r="C119">
        <v>2011</v>
      </c>
      <c r="H119">
        <v>335</v>
      </c>
      <c r="J119">
        <v>524</v>
      </c>
      <c r="M119" s="2">
        <f t="shared" si="68"/>
        <v>859</v>
      </c>
      <c r="P119" t="s">
        <v>37</v>
      </c>
      <c r="Q119" t="s">
        <v>14</v>
      </c>
      <c r="R119">
        <v>2011</v>
      </c>
      <c r="W119">
        <v>6</v>
      </c>
      <c r="Y119">
        <v>381</v>
      </c>
      <c r="AB119" s="2">
        <f t="shared" si="69"/>
        <v>387</v>
      </c>
      <c r="AD119" s="15">
        <f t="shared" si="70"/>
        <v>0.6894060995184591</v>
      </c>
      <c r="AE119">
        <f t="shared" si="71"/>
        <v>1246</v>
      </c>
      <c r="AG119">
        <v>0.58083221126699391</v>
      </c>
      <c r="AH119">
        <v>1.0130531626875246E-3</v>
      </c>
      <c r="AI119">
        <f>SQRT(AH119)</f>
        <v>3.1828496079575053E-2</v>
      </c>
      <c r="AJ119">
        <f>1.96*AI119</f>
        <v>6.2383852315967103E-2</v>
      </c>
      <c r="AK119">
        <f>AG119-AJ119</f>
        <v>0.51844835895102681</v>
      </c>
      <c r="AL119">
        <f>AG119+AJ119</f>
        <v>0.64321606358296102</v>
      </c>
    </row>
    <row r="120" spans="1:38" x14ac:dyDescent="0.3">
      <c r="A120" t="s">
        <v>23</v>
      </c>
      <c r="B120" t="s">
        <v>14</v>
      </c>
      <c r="C120">
        <v>2012</v>
      </c>
      <c r="E120">
        <v>35</v>
      </c>
      <c r="H120">
        <v>229</v>
      </c>
      <c r="J120">
        <v>559</v>
      </c>
      <c r="M120" s="2">
        <f t="shared" si="68"/>
        <v>823</v>
      </c>
      <c r="P120" t="s">
        <v>37</v>
      </c>
      <c r="Q120" t="s">
        <v>14</v>
      </c>
      <c r="R120">
        <v>2012</v>
      </c>
      <c r="W120">
        <v>26</v>
      </c>
      <c r="Y120">
        <v>496</v>
      </c>
      <c r="AB120" s="2">
        <f t="shared" si="69"/>
        <v>522</v>
      </c>
      <c r="AD120" s="15">
        <f t="shared" si="70"/>
        <v>0.61189591078066918</v>
      </c>
      <c r="AE120">
        <f t="shared" si="71"/>
        <v>1345</v>
      </c>
      <c r="AG120">
        <v>0.67701447801536119</v>
      </c>
      <c r="AH120">
        <v>6.8770333223137144E-4</v>
      </c>
      <c r="AI120">
        <f t="shared" ref="AI120:AI126" si="72">SQRT(AH120)</f>
        <v>2.6224098311121612E-2</v>
      </c>
      <c r="AJ120">
        <f t="shared" ref="AJ120:AJ126" si="73">1.96*AI120</f>
        <v>5.139923268979836E-2</v>
      </c>
      <c r="AK120">
        <f t="shared" ref="AK120:AK126" si="74">AG120-AJ120</f>
        <v>0.62561524532556279</v>
      </c>
      <c r="AL120">
        <f t="shared" ref="AL120:AL126" si="75">AG120+AJ120</f>
        <v>0.72841371070515959</v>
      </c>
    </row>
    <row r="121" spans="1:38" x14ac:dyDescent="0.3">
      <c r="A121" t="s">
        <v>23</v>
      </c>
      <c r="B121" t="s">
        <v>14</v>
      </c>
      <c r="C121">
        <v>2013</v>
      </c>
      <c r="H121">
        <v>500</v>
      </c>
      <c r="J121">
        <v>690</v>
      </c>
      <c r="M121" s="2">
        <f t="shared" si="68"/>
        <v>1190</v>
      </c>
      <c r="P121" t="s">
        <v>37</v>
      </c>
      <c r="Q121" t="s">
        <v>14</v>
      </c>
      <c r="R121">
        <v>2013</v>
      </c>
      <c r="W121">
        <v>128</v>
      </c>
      <c r="Y121">
        <v>518</v>
      </c>
      <c r="AB121" s="2">
        <f t="shared" si="69"/>
        <v>646</v>
      </c>
      <c r="AD121">
        <f t="shared" si="70"/>
        <v>0.64814814814814814</v>
      </c>
      <c r="AE121">
        <f t="shared" si="71"/>
        <v>1836</v>
      </c>
      <c r="AG121">
        <v>0.64042431946697054</v>
      </c>
      <c r="AH121">
        <v>7.1835568252007881E-4</v>
      </c>
      <c r="AI121">
        <f t="shared" si="72"/>
        <v>2.6802158169074348E-2</v>
      </c>
      <c r="AJ121">
        <f t="shared" si="73"/>
        <v>5.2532230011385718E-2</v>
      </c>
      <c r="AK121">
        <f t="shared" si="74"/>
        <v>0.5878920894555848</v>
      </c>
      <c r="AL121">
        <f t="shared" si="75"/>
        <v>0.69295654947835628</v>
      </c>
    </row>
    <row r="122" spans="1:38" x14ac:dyDescent="0.3">
      <c r="A122" t="s">
        <v>23</v>
      </c>
      <c r="B122" t="s">
        <v>14</v>
      </c>
      <c r="C122">
        <v>2014</v>
      </c>
      <c r="E122">
        <v>13</v>
      </c>
      <c r="H122">
        <v>347</v>
      </c>
      <c r="J122">
        <v>588</v>
      </c>
      <c r="M122" s="2">
        <f t="shared" si="68"/>
        <v>948</v>
      </c>
      <c r="P122" t="s">
        <v>37</v>
      </c>
      <c r="Q122" t="s">
        <v>14</v>
      </c>
      <c r="R122">
        <v>2014</v>
      </c>
      <c r="W122">
        <v>22</v>
      </c>
      <c r="Y122">
        <v>491</v>
      </c>
      <c r="AA122">
        <v>16</v>
      </c>
      <c r="AB122" s="2">
        <f t="shared" si="69"/>
        <v>529</v>
      </c>
      <c r="AD122">
        <f t="shared" si="70"/>
        <v>0.64184157075152337</v>
      </c>
      <c r="AE122">
        <f t="shared" si="71"/>
        <v>1477</v>
      </c>
      <c r="AG122">
        <v>0.63000690607734811</v>
      </c>
      <c r="AH122">
        <v>7.737216927083926E-4</v>
      </c>
      <c r="AI122">
        <f t="shared" si="72"/>
        <v>2.7815853262274603E-2</v>
      </c>
      <c r="AJ122">
        <f t="shared" si="73"/>
        <v>5.4519072394058218E-2</v>
      </c>
      <c r="AK122">
        <f t="shared" si="74"/>
        <v>0.57548783368328993</v>
      </c>
      <c r="AL122">
        <f t="shared" si="75"/>
        <v>0.68452597847140628</v>
      </c>
    </row>
    <row r="123" spans="1:38" x14ac:dyDescent="0.3">
      <c r="A123" t="s">
        <v>23</v>
      </c>
      <c r="B123" t="s">
        <v>14</v>
      </c>
      <c r="C123">
        <v>2015</v>
      </c>
      <c r="H123">
        <v>240</v>
      </c>
      <c r="J123">
        <v>254</v>
      </c>
      <c r="M123" s="2">
        <f t="shared" si="68"/>
        <v>494</v>
      </c>
      <c r="P123" t="s">
        <v>37</v>
      </c>
      <c r="Q123" t="s">
        <v>14</v>
      </c>
      <c r="R123">
        <v>2015</v>
      </c>
      <c r="W123">
        <v>54</v>
      </c>
      <c r="Y123">
        <v>463</v>
      </c>
      <c r="AB123" s="2">
        <f t="shared" si="69"/>
        <v>517</v>
      </c>
      <c r="AD123">
        <f t="shared" si="70"/>
        <v>0.48862512363996041</v>
      </c>
      <c r="AE123">
        <f t="shared" si="71"/>
        <v>1011</v>
      </c>
      <c r="AG123">
        <v>0.65571366968520917</v>
      </c>
      <c r="AH123">
        <v>6.3372363177776486E-4</v>
      </c>
      <c r="AI123">
        <f t="shared" si="72"/>
        <v>2.5173868033692495E-2</v>
      </c>
      <c r="AJ123">
        <f t="shared" si="73"/>
        <v>4.9340781346037289E-2</v>
      </c>
      <c r="AK123">
        <f t="shared" si="74"/>
        <v>0.60637288833917191</v>
      </c>
      <c r="AL123">
        <f t="shared" si="75"/>
        <v>0.70505445103124642</v>
      </c>
    </row>
    <row r="124" spans="1:38" x14ac:dyDescent="0.3">
      <c r="A124" t="s">
        <v>23</v>
      </c>
      <c r="B124" t="s">
        <v>14</v>
      </c>
      <c r="C124">
        <v>2016</v>
      </c>
      <c r="H124">
        <v>235</v>
      </c>
      <c r="J124">
        <v>1129</v>
      </c>
      <c r="M124" s="2">
        <f t="shared" si="68"/>
        <v>1364</v>
      </c>
      <c r="P124" t="s">
        <v>37</v>
      </c>
      <c r="Q124" t="s">
        <v>14</v>
      </c>
      <c r="R124">
        <v>2016</v>
      </c>
      <c r="W124">
        <v>10</v>
      </c>
      <c r="Y124">
        <v>441</v>
      </c>
      <c r="AB124" s="2">
        <f t="shared" si="69"/>
        <v>451</v>
      </c>
      <c r="AD124">
        <f t="shared" si="70"/>
        <v>0.75151515151515147</v>
      </c>
      <c r="AE124">
        <f t="shared" si="71"/>
        <v>1815</v>
      </c>
      <c r="AG124">
        <v>0.7246334271724193</v>
      </c>
      <c r="AH124">
        <v>5.4850289631723644E-4</v>
      </c>
      <c r="AI124">
        <f t="shared" si="72"/>
        <v>2.3420138691246824E-2</v>
      </c>
      <c r="AJ124">
        <f t="shared" si="73"/>
        <v>4.5903471834843772E-2</v>
      </c>
      <c r="AK124">
        <f t="shared" si="74"/>
        <v>0.67872995533757552</v>
      </c>
      <c r="AL124">
        <f t="shared" si="75"/>
        <v>0.77053689900726308</v>
      </c>
    </row>
    <row r="125" spans="1:38" x14ac:dyDescent="0.3">
      <c r="A125" t="s">
        <v>23</v>
      </c>
      <c r="B125" t="s">
        <v>14</v>
      </c>
      <c r="C125">
        <v>2017</v>
      </c>
      <c r="H125">
        <v>130</v>
      </c>
      <c r="J125">
        <v>488</v>
      </c>
      <c r="M125" s="2">
        <f t="shared" si="68"/>
        <v>618</v>
      </c>
      <c r="P125" t="s">
        <v>37</v>
      </c>
      <c r="Q125" t="s">
        <v>14</v>
      </c>
      <c r="R125">
        <v>2017</v>
      </c>
      <c r="W125">
        <v>75</v>
      </c>
      <c r="Y125">
        <v>138</v>
      </c>
      <c r="AB125" s="2">
        <f t="shared" si="69"/>
        <v>213</v>
      </c>
      <c r="AD125">
        <f t="shared" si="70"/>
        <v>0.7436823104693141</v>
      </c>
      <c r="AE125">
        <f t="shared" si="71"/>
        <v>831</v>
      </c>
      <c r="AG125">
        <v>0.71710883491983057</v>
      </c>
      <c r="AH125">
        <v>6.7787187181830963E-4</v>
      </c>
      <c r="AI125">
        <f t="shared" si="72"/>
        <v>2.6035972649745769E-2</v>
      </c>
      <c r="AJ125">
        <f t="shared" si="73"/>
        <v>5.1030506393501707E-2</v>
      </c>
      <c r="AK125">
        <f t="shared" si="74"/>
        <v>0.66607832852632887</v>
      </c>
      <c r="AL125">
        <f t="shared" si="75"/>
        <v>0.76813934131333228</v>
      </c>
    </row>
    <row r="126" spans="1:38" x14ac:dyDescent="0.3">
      <c r="A126" t="s">
        <v>23</v>
      </c>
      <c r="B126" t="s">
        <v>14</v>
      </c>
      <c r="C126">
        <v>2018</v>
      </c>
      <c r="E126">
        <v>94</v>
      </c>
      <c r="H126">
        <v>232</v>
      </c>
      <c r="J126">
        <v>718</v>
      </c>
      <c r="M126" s="2">
        <f t="shared" si="68"/>
        <v>1044</v>
      </c>
      <c r="P126" t="s">
        <v>37</v>
      </c>
      <c r="Q126" t="s">
        <v>14</v>
      </c>
      <c r="R126">
        <v>2018</v>
      </c>
      <c r="W126">
        <v>84</v>
      </c>
      <c r="Y126">
        <v>282</v>
      </c>
      <c r="AB126" s="2">
        <f t="shared" si="69"/>
        <v>366</v>
      </c>
      <c r="AD126">
        <f t="shared" si="70"/>
        <v>0.74042553191489358</v>
      </c>
      <c r="AE126">
        <f t="shared" si="71"/>
        <v>1410</v>
      </c>
      <c r="AG126">
        <v>0.72712275594371667</v>
      </c>
      <c r="AH126">
        <v>6.5770168095516217E-4</v>
      </c>
      <c r="AI126">
        <f t="shared" si="72"/>
        <v>2.5645695173949996E-2</v>
      </c>
      <c r="AJ126">
        <f t="shared" si="73"/>
        <v>5.0265562540941992E-2</v>
      </c>
      <c r="AK126">
        <f t="shared" si="74"/>
        <v>0.67685719340277473</v>
      </c>
      <c r="AL126">
        <f t="shared" si="75"/>
        <v>0.77738831848465861</v>
      </c>
    </row>
    <row r="127" spans="1:38" x14ac:dyDescent="0.3">
      <c r="A127" t="s">
        <v>23</v>
      </c>
      <c r="B127" t="s">
        <v>14</v>
      </c>
      <c r="C127">
        <v>2019</v>
      </c>
      <c r="H127">
        <f>78+365</f>
        <v>443</v>
      </c>
      <c r="J127">
        <v>634</v>
      </c>
      <c r="M127" s="2">
        <f t="shared" ref="M127" si="76">SUM(D127:L127)</f>
        <v>1077</v>
      </c>
      <c r="P127" t="s">
        <v>37</v>
      </c>
      <c r="Q127" t="s">
        <v>14</v>
      </c>
      <c r="R127">
        <v>2019</v>
      </c>
      <c r="W127">
        <v>31</v>
      </c>
      <c r="Y127">
        <v>329</v>
      </c>
      <c r="AB127" s="2">
        <f t="shared" ref="AB127" si="77">SUM(S127:AA127)</f>
        <v>360</v>
      </c>
      <c r="AD127">
        <f t="shared" ref="AD127:AD128" si="78">M127/(M127+AB127)</f>
        <v>0.74947807933194155</v>
      </c>
      <c r="AE127">
        <f t="shared" ref="AE127:AE128" si="79">AB127+M127</f>
        <v>1437</v>
      </c>
      <c r="AG127">
        <v>0.68085372880082162</v>
      </c>
      <c r="AH127">
        <v>7.4367785273928369E-4</v>
      </c>
      <c r="AI127">
        <f t="shared" ref="AI127:AI128" si="80">SQRT(AH127)</f>
        <v>2.7270457508800319E-2</v>
      </c>
      <c r="AJ127">
        <f t="shared" ref="AJ127:AJ128" si="81">1.96*AI127</f>
        <v>5.3450096717248624E-2</v>
      </c>
      <c r="AK127">
        <f t="shared" ref="AK127:AK128" si="82">AG127-AJ127</f>
        <v>0.62740363208357297</v>
      </c>
      <c r="AL127">
        <f t="shared" ref="AL127:AL128" si="83">AG127+AJ127</f>
        <v>0.73430382551807027</v>
      </c>
    </row>
    <row r="128" spans="1:38" x14ac:dyDescent="0.3">
      <c r="A128" s="1" t="s">
        <v>23</v>
      </c>
      <c r="B128" s="1" t="s">
        <v>14</v>
      </c>
      <c r="C128" s="1">
        <v>2020</v>
      </c>
      <c r="D128" s="1"/>
      <c r="E128" s="1"/>
      <c r="F128" s="1"/>
      <c r="G128" s="1"/>
      <c r="H128" s="1">
        <f>127+25</f>
        <v>152</v>
      </c>
      <c r="I128" s="1"/>
      <c r="J128" s="1">
        <f>349+110</f>
        <v>459</v>
      </c>
      <c r="K128" s="1"/>
      <c r="L128" s="1"/>
      <c r="M128" s="3">
        <f t="shared" si="68"/>
        <v>611</v>
      </c>
      <c r="P128" s="1" t="s">
        <v>37</v>
      </c>
      <c r="Q128" s="1" t="s">
        <v>14</v>
      </c>
      <c r="R128" s="1">
        <v>2020</v>
      </c>
      <c r="S128" s="1"/>
      <c r="T128" s="1"/>
      <c r="U128" s="1"/>
      <c r="V128" s="1"/>
      <c r="W128" s="1">
        <f>11+5</f>
        <v>16</v>
      </c>
      <c r="X128" s="1"/>
      <c r="Y128" s="1">
        <f>160+89</f>
        <v>249</v>
      </c>
      <c r="Z128" s="1"/>
      <c r="AA128" s="1"/>
      <c r="AB128" s="3">
        <f t="shared" si="69"/>
        <v>265</v>
      </c>
      <c r="AD128">
        <f t="shared" si="78"/>
        <v>0.69748858447488582</v>
      </c>
      <c r="AE128">
        <f t="shared" si="79"/>
        <v>876</v>
      </c>
      <c r="AG128" s="24">
        <v>0.75061752597529896</v>
      </c>
      <c r="AH128" s="24">
        <v>6.3941803872386569E-4</v>
      </c>
      <c r="AI128">
        <f t="shared" si="80"/>
        <v>2.5286716645777991E-2</v>
      </c>
      <c r="AJ128">
        <f t="shared" si="81"/>
        <v>4.9561964625724861E-2</v>
      </c>
      <c r="AK128">
        <f t="shared" si="82"/>
        <v>0.70105556134957414</v>
      </c>
      <c r="AL128">
        <f t="shared" si="83"/>
        <v>0.80017949060102378</v>
      </c>
    </row>
    <row r="129" spans="1:38" x14ac:dyDescent="0.3">
      <c r="A129" s="2" t="s">
        <v>22</v>
      </c>
      <c r="B129" s="2"/>
      <c r="C129" s="2"/>
      <c r="D129" s="2"/>
      <c r="E129" s="2">
        <f>SUM(E101:E128)</f>
        <v>166</v>
      </c>
      <c r="F129" s="2">
        <f t="shared" ref="F129:M129" si="84">SUM(F101:F128)</f>
        <v>0</v>
      </c>
      <c r="G129" s="2">
        <f t="shared" si="84"/>
        <v>0</v>
      </c>
      <c r="H129" s="2">
        <f>SUM(H101:H128)</f>
        <v>6009</v>
      </c>
      <c r="I129" s="2">
        <f t="shared" si="84"/>
        <v>0</v>
      </c>
      <c r="J129" s="2">
        <f t="shared" si="84"/>
        <v>11373</v>
      </c>
      <c r="K129" s="2">
        <f t="shared" si="84"/>
        <v>0</v>
      </c>
      <c r="L129" s="2">
        <f t="shared" si="84"/>
        <v>0</v>
      </c>
      <c r="M129" s="2">
        <f t="shared" si="84"/>
        <v>17548</v>
      </c>
      <c r="P129" s="2" t="s">
        <v>22</v>
      </c>
      <c r="Q129" s="2"/>
      <c r="R129" s="2"/>
      <c r="S129" s="2"/>
      <c r="T129" s="2"/>
      <c r="U129" s="2"/>
      <c r="V129" s="2"/>
      <c r="W129" s="2">
        <f>SUM(W101:W128)</f>
        <v>695</v>
      </c>
      <c r="X129" s="2">
        <f t="shared" ref="X129:AA129" si="85">SUM(X101:X128)</f>
        <v>0</v>
      </c>
      <c r="Y129" s="2">
        <f>SUM(Y101:Y128)</f>
        <v>7761</v>
      </c>
      <c r="Z129" s="2">
        <f t="shared" si="85"/>
        <v>0</v>
      </c>
      <c r="AA129" s="2">
        <f t="shared" si="85"/>
        <v>16</v>
      </c>
      <c r="AB129" s="2">
        <f>SUM(AB101:AB128)</f>
        <v>8472</v>
      </c>
    </row>
    <row r="130" spans="1:38" x14ac:dyDescent="0.3">
      <c r="A130" s="2" t="s">
        <v>32</v>
      </c>
      <c r="B130" s="2"/>
      <c r="C130" s="2"/>
      <c r="D130" s="2"/>
      <c r="E130" s="5">
        <f>E129/$M129</f>
        <v>9.4597674948712109E-3</v>
      </c>
      <c r="F130" s="5"/>
      <c r="G130" s="5">
        <f>G129/$M129</f>
        <v>0</v>
      </c>
      <c r="H130" s="5">
        <f>H129/$M129</f>
        <v>0.34243218600410302</v>
      </c>
      <c r="I130" s="5">
        <f>I129/$M129</f>
        <v>0</v>
      </c>
      <c r="J130" s="5">
        <f>J129/$M129</f>
        <v>0.64810804650102571</v>
      </c>
      <c r="K130" s="2"/>
      <c r="L130" s="2"/>
      <c r="M130" s="2"/>
      <c r="P130" s="2" t="s">
        <v>32</v>
      </c>
      <c r="Q130" s="2"/>
      <c r="R130" s="2"/>
      <c r="S130" s="5">
        <f t="shared" ref="S130" si="86">S129/$AB129</f>
        <v>0</v>
      </c>
      <c r="T130" s="5">
        <f t="shared" ref="T130" si="87">T129/$AB129</f>
        <v>0</v>
      </c>
      <c r="U130" s="5">
        <f t="shared" ref="U130" si="88">U129/$AB129</f>
        <v>0</v>
      </c>
      <c r="V130" s="5">
        <f t="shared" ref="V130" si="89">V129/$AB129</f>
        <v>0</v>
      </c>
      <c r="W130" s="5">
        <f>W129/$AB129</f>
        <v>8.2034938621340883E-2</v>
      </c>
      <c r="X130" s="5">
        <f t="shared" ref="X130" si="90">X129/$AB129</f>
        <v>0</v>
      </c>
      <c r="Y130" s="5">
        <f t="shared" ref="Y130" si="91">Y129/$AB129</f>
        <v>0.91607648725212465</v>
      </c>
      <c r="Z130" s="5">
        <f t="shared" ref="Z130" si="92">Z129/$AB129</f>
        <v>0</v>
      </c>
      <c r="AA130" s="5">
        <f t="shared" ref="AA130" si="93">AA129/$AB129</f>
        <v>1.8885741265344666E-3</v>
      </c>
      <c r="AB130" s="2"/>
    </row>
    <row r="132" spans="1:38" x14ac:dyDescent="0.3">
      <c r="A132" s="3" t="s">
        <v>1</v>
      </c>
      <c r="B132" s="3" t="s">
        <v>26</v>
      </c>
      <c r="C132" s="3" t="s">
        <v>0</v>
      </c>
      <c r="D132" s="3" t="s">
        <v>29</v>
      </c>
      <c r="E132" s="3" t="s">
        <v>30</v>
      </c>
      <c r="F132" s="3" t="s">
        <v>35</v>
      </c>
      <c r="G132" s="3" t="s">
        <v>31</v>
      </c>
      <c r="H132" s="3" t="s">
        <v>27</v>
      </c>
      <c r="I132" s="3" t="s">
        <v>28</v>
      </c>
      <c r="J132" s="3" t="s">
        <v>24</v>
      </c>
      <c r="K132" s="3" t="s">
        <v>19</v>
      </c>
      <c r="L132" s="3" t="s">
        <v>20</v>
      </c>
      <c r="M132" s="3" t="s">
        <v>21</v>
      </c>
      <c r="P132" s="3" t="s">
        <v>1</v>
      </c>
      <c r="Q132" s="3" t="s">
        <v>26</v>
      </c>
      <c r="R132" s="3" t="s">
        <v>0</v>
      </c>
      <c r="S132" s="3" t="s">
        <v>29</v>
      </c>
      <c r="T132" s="3" t="s">
        <v>30</v>
      </c>
      <c r="U132" s="3" t="s">
        <v>35</v>
      </c>
      <c r="V132" s="3" t="s">
        <v>31</v>
      </c>
      <c r="W132" s="3" t="s">
        <v>27</v>
      </c>
      <c r="X132" s="3" t="s">
        <v>28</v>
      </c>
      <c r="Y132" s="3" t="s">
        <v>24</v>
      </c>
      <c r="Z132" s="3" t="s">
        <v>19</v>
      </c>
      <c r="AA132" s="3" t="s">
        <v>20</v>
      </c>
      <c r="AB132" s="3" t="s">
        <v>21</v>
      </c>
      <c r="AD132" t="s">
        <v>89</v>
      </c>
      <c r="AE132" s="2" t="s">
        <v>90</v>
      </c>
      <c r="AF132" s="2"/>
      <c r="AG132" s="2" t="s">
        <v>91</v>
      </c>
      <c r="AH132" s="2" t="s">
        <v>92</v>
      </c>
      <c r="AI132" s="2" t="s">
        <v>93</v>
      </c>
      <c r="AJ132" s="2" t="s">
        <v>94</v>
      </c>
      <c r="AK132" s="2" t="s">
        <v>95</v>
      </c>
      <c r="AL132" s="2" t="s">
        <v>96</v>
      </c>
    </row>
    <row r="133" spans="1:38" x14ac:dyDescent="0.3">
      <c r="A133" t="s">
        <v>23</v>
      </c>
      <c r="B133" t="s">
        <v>34</v>
      </c>
      <c r="C133">
        <v>1993</v>
      </c>
      <c r="I133">
        <v>78</v>
      </c>
      <c r="M133" s="2">
        <f t="shared" ref="M133:M160" si="94">SUM(D133:L133)</f>
        <v>78</v>
      </c>
      <c r="P133" t="s">
        <v>37</v>
      </c>
      <c r="Q133" t="s">
        <v>34</v>
      </c>
      <c r="R133">
        <v>1993</v>
      </c>
      <c r="X133">
        <v>186</v>
      </c>
      <c r="AB133" s="2">
        <f t="shared" ref="AB133:AB160" si="95">SUM(S133:AA133)</f>
        <v>186</v>
      </c>
      <c r="AD133">
        <f>M133/(M133+AB133)</f>
        <v>0.29545454545454547</v>
      </c>
      <c r="AE133">
        <f>AB133+M133</f>
        <v>264</v>
      </c>
    </row>
    <row r="134" spans="1:38" x14ac:dyDescent="0.3">
      <c r="A134" t="s">
        <v>23</v>
      </c>
      <c r="B134" t="s">
        <v>34</v>
      </c>
      <c r="C134">
        <v>1994</v>
      </c>
      <c r="I134">
        <v>127</v>
      </c>
      <c r="M134" s="2">
        <f t="shared" si="94"/>
        <v>127</v>
      </c>
      <c r="P134" t="s">
        <v>37</v>
      </c>
      <c r="Q134" t="s">
        <v>34</v>
      </c>
      <c r="R134">
        <v>1994</v>
      </c>
      <c r="X134">
        <v>73</v>
      </c>
      <c r="AB134" s="2">
        <f t="shared" si="95"/>
        <v>73</v>
      </c>
      <c r="AD134">
        <f t="shared" ref="AD134:AD158" si="96">M134/(M134+AB134)</f>
        <v>0.63500000000000001</v>
      </c>
      <c r="AE134">
        <f t="shared" ref="AE134:AE158" si="97">AB134+M134</f>
        <v>200</v>
      </c>
    </row>
    <row r="135" spans="1:38" x14ac:dyDescent="0.3">
      <c r="A135" t="s">
        <v>23</v>
      </c>
      <c r="B135" t="s">
        <v>34</v>
      </c>
      <c r="C135">
        <v>1995</v>
      </c>
      <c r="I135">
        <v>156</v>
      </c>
      <c r="M135" s="2">
        <f t="shared" si="94"/>
        <v>156</v>
      </c>
      <c r="P135" t="s">
        <v>37</v>
      </c>
      <c r="Q135" t="s">
        <v>34</v>
      </c>
      <c r="R135">
        <v>1995</v>
      </c>
      <c r="X135">
        <v>106</v>
      </c>
      <c r="AB135" s="2">
        <f t="shared" si="95"/>
        <v>106</v>
      </c>
      <c r="AD135">
        <f t="shared" si="96"/>
        <v>0.59541984732824427</v>
      </c>
      <c r="AE135">
        <f t="shared" si="97"/>
        <v>262</v>
      </c>
    </row>
    <row r="136" spans="1:38" x14ac:dyDescent="0.3">
      <c r="A136" t="s">
        <v>23</v>
      </c>
      <c r="B136" t="s">
        <v>34</v>
      </c>
      <c r="C136">
        <v>1996</v>
      </c>
      <c r="I136">
        <v>81</v>
      </c>
      <c r="M136" s="2">
        <f t="shared" si="94"/>
        <v>81</v>
      </c>
      <c r="P136" t="s">
        <v>37</v>
      </c>
      <c r="Q136" t="s">
        <v>34</v>
      </c>
      <c r="R136">
        <v>1996</v>
      </c>
      <c r="X136">
        <v>74</v>
      </c>
      <c r="AB136" s="2">
        <f t="shared" si="95"/>
        <v>74</v>
      </c>
      <c r="AD136">
        <f t="shared" si="96"/>
        <v>0.52258064516129032</v>
      </c>
      <c r="AE136">
        <f t="shared" si="97"/>
        <v>155</v>
      </c>
    </row>
    <row r="137" spans="1:38" x14ac:dyDescent="0.3">
      <c r="A137" t="s">
        <v>23</v>
      </c>
      <c r="B137" t="s">
        <v>34</v>
      </c>
      <c r="C137">
        <v>1997</v>
      </c>
      <c r="I137">
        <v>38</v>
      </c>
      <c r="M137" s="2">
        <f t="shared" si="94"/>
        <v>38</v>
      </c>
      <c r="P137" t="s">
        <v>37</v>
      </c>
      <c r="Q137" t="s">
        <v>34</v>
      </c>
      <c r="R137">
        <v>1997</v>
      </c>
      <c r="X137">
        <v>28</v>
      </c>
      <c r="AB137" s="2">
        <f t="shared" si="95"/>
        <v>28</v>
      </c>
      <c r="AD137">
        <f t="shared" si="96"/>
        <v>0.5757575757575758</v>
      </c>
      <c r="AE137">
        <f t="shared" si="97"/>
        <v>66</v>
      </c>
    </row>
    <row r="138" spans="1:38" x14ac:dyDescent="0.3">
      <c r="A138" t="s">
        <v>23</v>
      </c>
      <c r="B138" t="s">
        <v>34</v>
      </c>
      <c r="C138">
        <v>1998</v>
      </c>
      <c r="I138">
        <v>119</v>
      </c>
      <c r="M138" s="2">
        <f t="shared" si="94"/>
        <v>119</v>
      </c>
      <c r="P138" t="s">
        <v>37</v>
      </c>
      <c r="Q138" t="s">
        <v>34</v>
      </c>
      <c r="R138">
        <v>1998</v>
      </c>
      <c r="X138">
        <v>91</v>
      </c>
      <c r="AB138" s="2">
        <f t="shared" si="95"/>
        <v>91</v>
      </c>
      <c r="AD138">
        <f t="shared" si="96"/>
        <v>0.56666666666666665</v>
      </c>
      <c r="AE138">
        <f t="shared" si="97"/>
        <v>210</v>
      </c>
    </row>
    <row r="139" spans="1:38" x14ac:dyDescent="0.3">
      <c r="A139" t="s">
        <v>23</v>
      </c>
      <c r="B139" t="s">
        <v>34</v>
      </c>
      <c r="C139">
        <v>1999</v>
      </c>
      <c r="I139">
        <v>110</v>
      </c>
      <c r="M139" s="2">
        <f t="shared" si="94"/>
        <v>110</v>
      </c>
      <c r="P139" t="s">
        <v>37</v>
      </c>
      <c r="Q139" t="s">
        <v>34</v>
      </c>
      <c r="R139">
        <v>1999</v>
      </c>
      <c r="X139">
        <v>223</v>
      </c>
      <c r="AB139" s="2">
        <f t="shared" si="95"/>
        <v>223</v>
      </c>
      <c r="AD139">
        <f t="shared" si="96"/>
        <v>0.33033033033033032</v>
      </c>
      <c r="AE139">
        <f t="shared" si="97"/>
        <v>333</v>
      </c>
    </row>
    <row r="140" spans="1:38" x14ac:dyDescent="0.3">
      <c r="A140" t="s">
        <v>23</v>
      </c>
      <c r="B140" t="s">
        <v>34</v>
      </c>
      <c r="C140">
        <v>2000</v>
      </c>
      <c r="I140">
        <v>112</v>
      </c>
      <c r="M140" s="2">
        <f t="shared" si="94"/>
        <v>112</v>
      </c>
      <c r="P140" t="s">
        <v>37</v>
      </c>
      <c r="Q140" t="s">
        <v>34</v>
      </c>
      <c r="R140">
        <v>2000</v>
      </c>
      <c r="X140">
        <v>195</v>
      </c>
      <c r="AB140" s="2">
        <f t="shared" si="95"/>
        <v>195</v>
      </c>
      <c r="AD140">
        <f t="shared" si="96"/>
        <v>0.36482084690553745</v>
      </c>
      <c r="AE140">
        <f t="shared" si="97"/>
        <v>307</v>
      </c>
    </row>
    <row r="141" spans="1:38" x14ac:dyDescent="0.3">
      <c r="A141" t="s">
        <v>23</v>
      </c>
      <c r="B141" t="s">
        <v>34</v>
      </c>
      <c r="C141">
        <v>2001</v>
      </c>
      <c r="I141">
        <v>66</v>
      </c>
      <c r="M141" s="2">
        <f t="shared" si="94"/>
        <v>66</v>
      </c>
      <c r="P141" t="s">
        <v>37</v>
      </c>
      <c r="Q141" t="s">
        <v>34</v>
      </c>
      <c r="R141">
        <v>2001</v>
      </c>
      <c r="X141">
        <v>89</v>
      </c>
      <c r="AB141" s="2">
        <f t="shared" si="95"/>
        <v>89</v>
      </c>
      <c r="AD141">
        <f t="shared" si="96"/>
        <v>0.4258064516129032</v>
      </c>
      <c r="AE141">
        <f t="shared" si="97"/>
        <v>155</v>
      </c>
    </row>
    <row r="142" spans="1:38" x14ac:dyDescent="0.3">
      <c r="A142" t="s">
        <v>23</v>
      </c>
      <c r="B142" t="s">
        <v>34</v>
      </c>
      <c r="C142">
        <v>2002</v>
      </c>
      <c r="I142">
        <v>60</v>
      </c>
      <c r="M142" s="2">
        <f t="shared" si="94"/>
        <v>60</v>
      </c>
      <c r="P142" t="s">
        <v>37</v>
      </c>
      <c r="Q142" t="s">
        <v>34</v>
      </c>
      <c r="R142">
        <v>2002</v>
      </c>
      <c r="X142">
        <v>166</v>
      </c>
      <c r="AB142" s="2">
        <f t="shared" si="95"/>
        <v>166</v>
      </c>
      <c r="AD142">
        <f t="shared" si="96"/>
        <v>0.26548672566371684</v>
      </c>
      <c r="AE142">
        <f t="shared" si="97"/>
        <v>226</v>
      </c>
    </row>
    <row r="143" spans="1:38" x14ac:dyDescent="0.3">
      <c r="A143" t="s">
        <v>23</v>
      </c>
      <c r="B143" t="s">
        <v>34</v>
      </c>
      <c r="C143">
        <v>2003</v>
      </c>
      <c r="I143">
        <v>100</v>
      </c>
      <c r="M143" s="2">
        <f t="shared" si="94"/>
        <v>100</v>
      </c>
      <c r="P143" t="s">
        <v>37</v>
      </c>
      <c r="Q143" t="s">
        <v>34</v>
      </c>
      <c r="R143">
        <v>2003</v>
      </c>
      <c r="X143">
        <v>187</v>
      </c>
      <c r="AB143" s="2">
        <f t="shared" si="95"/>
        <v>187</v>
      </c>
      <c r="AD143">
        <f t="shared" si="96"/>
        <v>0.34843205574912894</v>
      </c>
      <c r="AE143">
        <f t="shared" si="97"/>
        <v>287</v>
      </c>
    </row>
    <row r="144" spans="1:38" x14ac:dyDescent="0.3">
      <c r="A144" t="s">
        <v>23</v>
      </c>
      <c r="B144" t="s">
        <v>34</v>
      </c>
      <c r="C144">
        <v>2004</v>
      </c>
      <c r="I144">
        <v>175</v>
      </c>
      <c r="M144" s="2">
        <f t="shared" si="94"/>
        <v>175</v>
      </c>
      <c r="P144" t="s">
        <v>37</v>
      </c>
      <c r="Q144" t="s">
        <v>34</v>
      </c>
      <c r="R144">
        <v>2004</v>
      </c>
      <c r="X144">
        <v>118</v>
      </c>
      <c r="AB144" s="2">
        <f t="shared" si="95"/>
        <v>118</v>
      </c>
      <c r="AD144">
        <f t="shared" si="96"/>
        <v>0.59726962457337884</v>
      </c>
      <c r="AE144">
        <f t="shared" si="97"/>
        <v>293</v>
      </c>
    </row>
    <row r="145" spans="1:38" x14ac:dyDescent="0.3">
      <c r="A145" t="s">
        <v>23</v>
      </c>
      <c r="B145" t="s">
        <v>34</v>
      </c>
      <c r="C145">
        <v>2005</v>
      </c>
      <c r="I145">
        <v>155</v>
      </c>
      <c r="M145" s="2">
        <f t="shared" si="94"/>
        <v>155</v>
      </c>
      <c r="P145" t="s">
        <v>37</v>
      </c>
      <c r="Q145" t="s">
        <v>34</v>
      </c>
      <c r="R145">
        <v>2005</v>
      </c>
      <c r="X145">
        <v>174</v>
      </c>
      <c r="AB145" s="2">
        <f t="shared" si="95"/>
        <v>174</v>
      </c>
      <c r="AD145">
        <f t="shared" si="96"/>
        <v>0.47112462006079026</v>
      </c>
      <c r="AE145">
        <f t="shared" si="97"/>
        <v>329</v>
      </c>
    </row>
    <row r="146" spans="1:38" x14ac:dyDescent="0.3">
      <c r="A146" t="s">
        <v>23</v>
      </c>
      <c r="B146" t="s">
        <v>34</v>
      </c>
      <c r="C146">
        <v>2006</v>
      </c>
      <c r="I146">
        <v>142</v>
      </c>
      <c r="M146" s="2">
        <f t="shared" si="94"/>
        <v>142</v>
      </c>
      <c r="P146" t="s">
        <v>37</v>
      </c>
      <c r="Q146" t="s">
        <v>34</v>
      </c>
      <c r="R146">
        <v>2006</v>
      </c>
      <c r="X146">
        <v>104</v>
      </c>
      <c r="AB146" s="2">
        <f t="shared" si="95"/>
        <v>104</v>
      </c>
      <c r="AD146">
        <f t="shared" si="96"/>
        <v>0.57723577235772361</v>
      </c>
      <c r="AE146">
        <f t="shared" si="97"/>
        <v>246</v>
      </c>
    </row>
    <row r="147" spans="1:38" x14ac:dyDescent="0.3">
      <c r="A147" t="s">
        <v>23</v>
      </c>
      <c r="B147" t="s">
        <v>34</v>
      </c>
      <c r="C147">
        <v>2007</v>
      </c>
      <c r="I147">
        <v>80</v>
      </c>
      <c r="M147" s="2">
        <f t="shared" si="94"/>
        <v>80</v>
      </c>
      <c r="P147" t="s">
        <v>37</v>
      </c>
      <c r="Q147" t="s">
        <v>34</v>
      </c>
      <c r="R147">
        <v>2007</v>
      </c>
      <c r="X147">
        <v>85</v>
      </c>
      <c r="AB147" s="2">
        <f t="shared" si="95"/>
        <v>85</v>
      </c>
      <c r="AD147">
        <f t="shared" si="96"/>
        <v>0.48484848484848486</v>
      </c>
      <c r="AE147">
        <f t="shared" si="97"/>
        <v>165</v>
      </c>
    </row>
    <row r="148" spans="1:38" x14ac:dyDescent="0.3">
      <c r="A148" t="s">
        <v>23</v>
      </c>
      <c r="B148" t="s">
        <v>34</v>
      </c>
      <c r="C148">
        <v>2008</v>
      </c>
      <c r="I148">
        <v>144</v>
      </c>
      <c r="M148" s="2">
        <f t="shared" si="94"/>
        <v>144</v>
      </c>
      <c r="P148" t="s">
        <v>37</v>
      </c>
      <c r="Q148" t="s">
        <v>34</v>
      </c>
      <c r="R148">
        <v>2008</v>
      </c>
      <c r="X148">
        <v>75</v>
      </c>
      <c r="AB148" s="2">
        <f t="shared" si="95"/>
        <v>75</v>
      </c>
      <c r="AD148">
        <f t="shared" si="96"/>
        <v>0.65753424657534243</v>
      </c>
      <c r="AE148">
        <f t="shared" si="97"/>
        <v>219</v>
      </c>
    </row>
    <row r="149" spans="1:38" x14ac:dyDescent="0.3">
      <c r="A149" t="s">
        <v>23</v>
      </c>
      <c r="B149" t="s">
        <v>34</v>
      </c>
      <c r="C149">
        <v>2009</v>
      </c>
      <c r="I149">
        <v>90</v>
      </c>
      <c r="M149" s="2">
        <f t="shared" si="94"/>
        <v>90</v>
      </c>
      <c r="P149" t="s">
        <v>37</v>
      </c>
      <c r="Q149" t="s">
        <v>34</v>
      </c>
      <c r="R149">
        <v>2009</v>
      </c>
      <c r="X149">
        <v>68</v>
      </c>
      <c r="AB149" s="2">
        <f t="shared" si="95"/>
        <v>68</v>
      </c>
      <c r="AD149">
        <f t="shared" si="96"/>
        <v>0.569620253164557</v>
      </c>
      <c r="AE149">
        <f t="shared" si="97"/>
        <v>158</v>
      </c>
    </row>
    <row r="150" spans="1:38" x14ac:dyDescent="0.3">
      <c r="A150" t="s">
        <v>23</v>
      </c>
      <c r="B150" t="s">
        <v>34</v>
      </c>
      <c r="C150">
        <v>2010</v>
      </c>
      <c r="I150">
        <v>116</v>
      </c>
      <c r="M150" s="2">
        <f t="shared" si="94"/>
        <v>116</v>
      </c>
      <c r="P150" t="s">
        <v>37</v>
      </c>
      <c r="Q150" t="s">
        <v>34</v>
      </c>
      <c r="R150">
        <v>2010</v>
      </c>
      <c r="X150">
        <v>48</v>
      </c>
      <c r="AB150" s="2">
        <f t="shared" si="95"/>
        <v>48</v>
      </c>
      <c r="AD150">
        <f t="shared" si="96"/>
        <v>0.70731707317073167</v>
      </c>
      <c r="AE150">
        <f t="shared" si="97"/>
        <v>164</v>
      </c>
    </row>
    <row r="151" spans="1:38" x14ac:dyDescent="0.3">
      <c r="A151" t="s">
        <v>23</v>
      </c>
      <c r="B151" t="s">
        <v>34</v>
      </c>
      <c r="C151">
        <v>2011</v>
      </c>
      <c r="I151">
        <v>145</v>
      </c>
      <c r="M151" s="2">
        <f t="shared" si="94"/>
        <v>145</v>
      </c>
      <c r="P151" t="s">
        <v>37</v>
      </c>
      <c r="Q151" t="s">
        <v>34</v>
      </c>
      <c r="R151">
        <v>2011</v>
      </c>
      <c r="X151">
        <v>71</v>
      </c>
      <c r="AB151" s="2">
        <f t="shared" si="95"/>
        <v>71</v>
      </c>
      <c r="AD151" s="15">
        <f t="shared" si="96"/>
        <v>0.67129629629629628</v>
      </c>
      <c r="AE151">
        <f t="shared" si="97"/>
        <v>216</v>
      </c>
      <c r="AG151">
        <v>0.53500622545733167</v>
      </c>
      <c r="AH151">
        <v>3.6488943526685616E-3</v>
      </c>
      <c r="AI151">
        <f>SQRT(AH151)</f>
        <v>6.040607877249244E-2</v>
      </c>
      <c r="AJ151">
        <f>1.96*AI151</f>
        <v>0.11839591439408519</v>
      </c>
      <c r="AK151">
        <f>AG151-AJ151</f>
        <v>0.41661031106324647</v>
      </c>
      <c r="AL151">
        <f>AG151+AJ151</f>
        <v>0.65340213985141682</v>
      </c>
    </row>
    <row r="152" spans="1:38" x14ac:dyDescent="0.3">
      <c r="A152" t="s">
        <v>23</v>
      </c>
      <c r="B152" t="s">
        <v>34</v>
      </c>
      <c r="C152">
        <v>2012</v>
      </c>
      <c r="I152">
        <v>144</v>
      </c>
      <c r="M152" s="2">
        <f t="shared" si="94"/>
        <v>144</v>
      </c>
      <c r="P152" t="s">
        <v>37</v>
      </c>
      <c r="Q152" t="s">
        <v>34</v>
      </c>
      <c r="R152">
        <v>2012</v>
      </c>
      <c r="X152">
        <v>153</v>
      </c>
      <c r="AB152" s="2">
        <f t="shared" si="95"/>
        <v>153</v>
      </c>
      <c r="AD152">
        <f t="shared" si="96"/>
        <v>0.48484848484848486</v>
      </c>
      <c r="AE152">
        <f t="shared" si="97"/>
        <v>297</v>
      </c>
      <c r="AG152">
        <v>0.57975679542203151</v>
      </c>
      <c r="AH152">
        <v>4.9242328730077552E-3</v>
      </c>
      <c r="AI152">
        <f t="shared" ref="AI152:AI158" si="98">SQRT(AH152)</f>
        <v>7.0172878471726916E-2</v>
      </c>
      <c r="AJ152">
        <f t="shared" ref="AJ152:AJ158" si="99">1.96*AI152</f>
        <v>0.13753884180458475</v>
      </c>
      <c r="AK152">
        <f t="shared" ref="AK152:AK158" si="100">AG152-AJ152</f>
        <v>0.44221795361744676</v>
      </c>
      <c r="AL152">
        <f t="shared" ref="AL152:AL158" si="101">AG152+AJ152</f>
        <v>0.71729563722661627</v>
      </c>
    </row>
    <row r="153" spans="1:38" x14ac:dyDescent="0.3">
      <c r="A153" t="s">
        <v>23</v>
      </c>
      <c r="B153" t="s">
        <v>34</v>
      </c>
      <c r="C153">
        <v>2013</v>
      </c>
      <c r="I153">
        <v>472</v>
      </c>
      <c r="M153" s="2">
        <f t="shared" si="94"/>
        <v>472</v>
      </c>
      <c r="P153" t="s">
        <v>37</v>
      </c>
      <c r="Q153" t="s">
        <v>34</v>
      </c>
      <c r="R153">
        <v>2013</v>
      </c>
      <c r="X153">
        <v>163</v>
      </c>
      <c r="AB153" s="2">
        <f t="shared" si="95"/>
        <v>163</v>
      </c>
      <c r="AD153" s="15">
        <f t="shared" si="96"/>
        <v>0.74330708661417322</v>
      </c>
      <c r="AE153">
        <f t="shared" si="97"/>
        <v>635</v>
      </c>
      <c r="AG153">
        <v>0.53601694915254239</v>
      </c>
      <c r="AH153">
        <v>3.957957805243259E-3</v>
      </c>
      <c r="AI153">
        <f t="shared" si="98"/>
        <v>6.2912302495165912E-2</v>
      </c>
      <c r="AJ153">
        <f t="shared" si="99"/>
        <v>0.12330811289052518</v>
      </c>
      <c r="AK153">
        <f t="shared" si="100"/>
        <v>0.41270883626201721</v>
      </c>
      <c r="AL153">
        <f t="shared" si="101"/>
        <v>0.65932506204306751</v>
      </c>
    </row>
    <row r="154" spans="1:38" x14ac:dyDescent="0.3">
      <c r="A154" t="s">
        <v>23</v>
      </c>
      <c r="B154" t="s">
        <v>34</v>
      </c>
      <c r="C154">
        <v>2014</v>
      </c>
      <c r="I154">
        <v>322</v>
      </c>
      <c r="M154" s="2">
        <f t="shared" si="94"/>
        <v>322</v>
      </c>
      <c r="P154" t="s">
        <v>37</v>
      </c>
      <c r="Q154" t="s">
        <v>34</v>
      </c>
      <c r="R154">
        <v>2014</v>
      </c>
      <c r="X154">
        <v>126</v>
      </c>
      <c r="AB154" s="2">
        <f t="shared" si="95"/>
        <v>126</v>
      </c>
      <c r="AD154">
        <f t="shared" si="96"/>
        <v>0.71875</v>
      </c>
      <c r="AE154">
        <f t="shared" si="97"/>
        <v>448</v>
      </c>
      <c r="AG154">
        <v>0.68735164462529674</v>
      </c>
      <c r="AH154">
        <v>2.5759559707076319E-3</v>
      </c>
      <c r="AI154">
        <f t="shared" si="98"/>
        <v>5.0753876410650961E-2</v>
      </c>
      <c r="AJ154">
        <f t="shared" si="99"/>
        <v>9.9477597764875886E-2</v>
      </c>
      <c r="AK154">
        <f t="shared" si="100"/>
        <v>0.58787404686042088</v>
      </c>
      <c r="AL154">
        <f t="shared" si="101"/>
        <v>0.7868292423901726</v>
      </c>
    </row>
    <row r="155" spans="1:38" x14ac:dyDescent="0.3">
      <c r="A155" t="s">
        <v>23</v>
      </c>
      <c r="B155" t="s">
        <v>34</v>
      </c>
      <c r="C155">
        <v>2015</v>
      </c>
      <c r="I155">
        <v>112</v>
      </c>
      <c r="M155" s="2">
        <f t="shared" si="94"/>
        <v>112</v>
      </c>
      <c r="P155" t="s">
        <v>37</v>
      </c>
      <c r="Q155" t="s">
        <v>34</v>
      </c>
      <c r="R155">
        <v>2015</v>
      </c>
      <c r="X155">
        <v>380</v>
      </c>
      <c r="AB155" s="2">
        <f t="shared" si="95"/>
        <v>380</v>
      </c>
      <c r="AD155">
        <f t="shared" si="96"/>
        <v>0.22764227642276422</v>
      </c>
      <c r="AE155">
        <f t="shared" si="97"/>
        <v>492</v>
      </c>
      <c r="AG155">
        <v>0.53456333070340478</v>
      </c>
      <c r="AH155">
        <v>5.3893198139838491E-3</v>
      </c>
      <c r="AI155">
        <f t="shared" si="98"/>
        <v>7.34119868548989E-2</v>
      </c>
      <c r="AJ155">
        <f t="shared" si="99"/>
        <v>0.14388749423560185</v>
      </c>
      <c r="AK155">
        <f t="shared" si="100"/>
        <v>0.39067583646780291</v>
      </c>
      <c r="AL155">
        <f t="shared" si="101"/>
        <v>0.67845082493900666</v>
      </c>
    </row>
    <row r="156" spans="1:38" x14ac:dyDescent="0.3">
      <c r="A156" t="s">
        <v>23</v>
      </c>
      <c r="B156" t="s">
        <v>34</v>
      </c>
      <c r="C156">
        <v>2016</v>
      </c>
      <c r="I156">
        <v>332</v>
      </c>
      <c r="M156" s="2">
        <f t="shared" si="94"/>
        <v>332</v>
      </c>
      <c r="P156" t="s">
        <v>37</v>
      </c>
      <c r="Q156" t="s">
        <v>34</v>
      </c>
      <c r="R156">
        <v>2016</v>
      </c>
      <c r="X156">
        <v>320</v>
      </c>
      <c r="AB156" s="2">
        <f t="shared" si="95"/>
        <v>320</v>
      </c>
      <c r="AD156">
        <f t="shared" si="96"/>
        <v>0.50920245398773001</v>
      </c>
      <c r="AE156">
        <f t="shared" si="97"/>
        <v>652</v>
      </c>
      <c r="AG156">
        <v>0.48976883860604792</v>
      </c>
      <c r="AH156">
        <v>7.0484655615102388E-3</v>
      </c>
      <c r="AI156">
        <f t="shared" si="98"/>
        <v>8.3955140173251092E-2</v>
      </c>
      <c r="AJ156">
        <f t="shared" si="99"/>
        <v>0.16455207473957215</v>
      </c>
      <c r="AK156">
        <f t="shared" si="100"/>
        <v>0.3252167638664758</v>
      </c>
      <c r="AL156">
        <f t="shared" si="101"/>
        <v>0.65432091334562004</v>
      </c>
    </row>
    <row r="157" spans="1:38" x14ac:dyDescent="0.3">
      <c r="A157" t="s">
        <v>23</v>
      </c>
      <c r="B157" t="s">
        <v>34</v>
      </c>
      <c r="C157">
        <v>2017</v>
      </c>
      <c r="I157">
        <v>245</v>
      </c>
      <c r="M157" s="2">
        <f t="shared" si="94"/>
        <v>245</v>
      </c>
      <c r="P157" t="s">
        <v>37</v>
      </c>
      <c r="Q157" t="s">
        <v>34</v>
      </c>
      <c r="R157">
        <v>2017</v>
      </c>
      <c r="X157">
        <v>330</v>
      </c>
      <c r="AB157" s="2">
        <f t="shared" si="95"/>
        <v>330</v>
      </c>
      <c r="AD157">
        <f t="shared" si="96"/>
        <v>0.42608695652173911</v>
      </c>
      <c r="AE157">
        <f t="shared" si="97"/>
        <v>575</v>
      </c>
      <c r="AG157">
        <v>0.64129223913850719</v>
      </c>
      <c r="AH157">
        <v>3.8806092747841916E-3</v>
      </c>
      <c r="AI157">
        <f t="shared" si="98"/>
        <v>6.2294536476196621E-2</v>
      </c>
      <c r="AJ157">
        <f t="shared" si="99"/>
        <v>0.12209729149334538</v>
      </c>
      <c r="AK157">
        <f t="shared" si="100"/>
        <v>0.51919494764516183</v>
      </c>
      <c r="AL157">
        <f t="shared" si="101"/>
        <v>0.76338953063185255</v>
      </c>
    </row>
    <row r="158" spans="1:38" x14ac:dyDescent="0.3">
      <c r="A158" t="s">
        <v>23</v>
      </c>
      <c r="B158" t="s">
        <v>34</v>
      </c>
      <c r="C158">
        <v>2018</v>
      </c>
      <c r="I158">
        <v>343</v>
      </c>
      <c r="M158" s="2">
        <f t="shared" si="94"/>
        <v>343</v>
      </c>
      <c r="P158" t="s">
        <v>37</v>
      </c>
      <c r="Q158" t="s">
        <v>34</v>
      </c>
      <c r="R158">
        <v>2018</v>
      </c>
      <c r="X158">
        <v>299</v>
      </c>
      <c r="AB158" s="2">
        <f t="shared" si="95"/>
        <v>299</v>
      </c>
      <c r="AD158">
        <f t="shared" si="96"/>
        <v>0.53426791277258567</v>
      </c>
      <c r="AE158">
        <f t="shared" si="97"/>
        <v>642</v>
      </c>
      <c r="AG158">
        <v>0.49383280036546368</v>
      </c>
      <c r="AH158">
        <v>5.0385983484752166E-3</v>
      </c>
      <c r="AI158">
        <f t="shared" si="98"/>
        <v>7.0983084946170213E-2</v>
      </c>
      <c r="AJ158">
        <f t="shared" si="99"/>
        <v>0.13912684649449361</v>
      </c>
      <c r="AK158">
        <f t="shared" si="100"/>
        <v>0.35470595387097004</v>
      </c>
      <c r="AL158">
        <f t="shared" si="101"/>
        <v>0.63295964685995731</v>
      </c>
    </row>
    <row r="159" spans="1:38" x14ac:dyDescent="0.3">
      <c r="A159" t="s">
        <v>23</v>
      </c>
      <c r="B159" t="s">
        <v>34</v>
      </c>
      <c r="C159">
        <v>2019</v>
      </c>
      <c r="I159">
        <v>229</v>
      </c>
      <c r="M159" s="2">
        <f t="shared" ref="M159" si="102">SUM(D159:L159)</f>
        <v>229</v>
      </c>
      <c r="P159" t="s">
        <v>37</v>
      </c>
      <c r="Q159" t="s">
        <v>34</v>
      </c>
      <c r="R159">
        <v>2019</v>
      </c>
      <c r="X159">
        <v>240</v>
      </c>
      <c r="AB159" s="2">
        <f t="shared" ref="AB159" si="103">SUM(S159:AA159)</f>
        <v>240</v>
      </c>
      <c r="AD159">
        <f t="shared" ref="AD159:AD160" si="104">M159/(M159+AB159)</f>
        <v>0.48827292110874199</v>
      </c>
      <c r="AE159">
        <f t="shared" ref="AE159:AE160" si="105">AB159+M159</f>
        <v>469</v>
      </c>
      <c r="AG159">
        <v>0.48953016620861145</v>
      </c>
      <c r="AH159">
        <v>2.9585929682643991E-3</v>
      </c>
      <c r="AI159">
        <f t="shared" ref="AI159:AI160" si="106">SQRT(AH159)</f>
        <v>5.4392949619085737E-2</v>
      </c>
      <c r="AJ159">
        <f t="shared" ref="AJ159:AJ160" si="107">1.96*AI159</f>
        <v>0.10661018125340804</v>
      </c>
      <c r="AK159">
        <f t="shared" ref="AK159:AK160" si="108">AG159-AJ159</f>
        <v>0.38291998495520341</v>
      </c>
      <c r="AL159">
        <f t="shared" ref="AL159:AL160" si="109">AG159+AJ159</f>
        <v>0.59614034746201949</v>
      </c>
    </row>
    <row r="160" spans="1:38" x14ac:dyDescent="0.3">
      <c r="A160" s="1" t="s">
        <v>23</v>
      </c>
      <c r="B160" s="1" t="s">
        <v>34</v>
      </c>
      <c r="C160" s="1">
        <v>2020</v>
      </c>
      <c r="D160" s="1"/>
      <c r="E160" s="1"/>
      <c r="F160" s="1"/>
      <c r="G160" s="1"/>
      <c r="H160" s="1"/>
      <c r="I160" s="1">
        <f>74+3</f>
        <v>77</v>
      </c>
      <c r="J160" s="1"/>
      <c r="K160" s="1"/>
      <c r="L160" s="1"/>
      <c r="M160" s="3">
        <f t="shared" si="94"/>
        <v>77</v>
      </c>
      <c r="P160" s="1" t="s">
        <v>37</v>
      </c>
      <c r="Q160" s="1" t="s">
        <v>34</v>
      </c>
      <c r="R160" s="1">
        <v>2020</v>
      </c>
      <c r="S160" s="1"/>
      <c r="T160" s="1"/>
      <c r="U160" s="1"/>
      <c r="V160" s="1"/>
      <c r="W160" s="1"/>
      <c r="X160" s="1">
        <f>97+11</f>
        <v>108</v>
      </c>
      <c r="Y160" s="1"/>
      <c r="Z160" s="1"/>
      <c r="AA160" s="1"/>
      <c r="AB160" s="3">
        <f t="shared" si="95"/>
        <v>108</v>
      </c>
      <c r="AD160">
        <f t="shared" si="104"/>
        <v>0.41621621621621624</v>
      </c>
      <c r="AE160">
        <f t="shared" si="105"/>
        <v>185</v>
      </c>
      <c r="AG160" s="24">
        <v>0.4521972492452197</v>
      </c>
      <c r="AH160" s="24">
        <v>5.5080225992613554E-3</v>
      </c>
      <c r="AI160">
        <f t="shared" si="106"/>
        <v>7.4216053514461117E-2</v>
      </c>
      <c r="AJ160">
        <f t="shared" si="107"/>
        <v>0.14546346488834377</v>
      </c>
      <c r="AK160">
        <f t="shared" si="108"/>
        <v>0.30673378435687593</v>
      </c>
      <c r="AL160">
        <f t="shared" si="109"/>
        <v>0.59766071413356348</v>
      </c>
    </row>
    <row r="161" spans="1:38" x14ac:dyDescent="0.3">
      <c r="A161" s="2" t="s">
        <v>22</v>
      </c>
      <c r="B161" s="2"/>
      <c r="C161" s="2"/>
      <c r="D161" s="2"/>
      <c r="E161" s="2">
        <f>SUM(E133:E160)</f>
        <v>0</v>
      </c>
      <c r="F161" s="2">
        <f t="shared" ref="F161:M161" si="110">SUM(F133:F160)</f>
        <v>0</v>
      </c>
      <c r="G161" s="2">
        <f t="shared" si="110"/>
        <v>0</v>
      </c>
      <c r="H161" s="2">
        <f t="shared" si="110"/>
        <v>0</v>
      </c>
      <c r="I161" s="2">
        <f t="shared" si="110"/>
        <v>4370</v>
      </c>
      <c r="J161" s="2">
        <f t="shared" si="110"/>
        <v>0</v>
      </c>
      <c r="K161" s="2">
        <f t="shared" si="110"/>
        <v>0</v>
      </c>
      <c r="L161" s="2">
        <f t="shared" si="110"/>
        <v>0</v>
      </c>
      <c r="M161" s="2">
        <f t="shared" si="110"/>
        <v>4370</v>
      </c>
      <c r="P161" s="2" t="s">
        <v>22</v>
      </c>
      <c r="Q161" s="2"/>
      <c r="R161" s="2"/>
      <c r="S161" s="2"/>
      <c r="T161" s="2"/>
      <c r="U161" s="2"/>
      <c r="V161" s="2"/>
      <c r="W161" s="2">
        <f>SUM(W133:W158)</f>
        <v>0</v>
      </c>
      <c r="X161" s="2">
        <f>SUM(X133:X160)</f>
        <v>4280</v>
      </c>
      <c r="Y161" s="2">
        <f t="shared" ref="Y161" si="111">SUM(Y133:Y158)</f>
        <v>0</v>
      </c>
      <c r="Z161" s="2">
        <f t="shared" ref="Z161" si="112">SUM(Z133:Z158)</f>
        <v>0</v>
      </c>
      <c r="AA161" s="2">
        <f t="shared" ref="AA161" si="113">SUM(AA133:AA158)</f>
        <v>0</v>
      </c>
      <c r="AB161" s="2">
        <f>SUM(S161:AA161)</f>
        <v>4280</v>
      </c>
    </row>
    <row r="162" spans="1:38" x14ac:dyDescent="0.3">
      <c r="A162" s="2" t="s">
        <v>32</v>
      </c>
      <c r="B162" s="2"/>
      <c r="C162" s="2"/>
      <c r="D162" s="2"/>
      <c r="E162" s="5">
        <f>E161/$M161</f>
        <v>0</v>
      </c>
      <c r="F162" s="5"/>
      <c r="G162" s="5">
        <f>G161/$M161</f>
        <v>0</v>
      </c>
      <c r="H162" s="5">
        <f>H161/$M161</f>
        <v>0</v>
      </c>
      <c r="I162" s="5">
        <f>I161/$M161</f>
        <v>1</v>
      </c>
      <c r="J162" s="5">
        <f>J161/$M161</f>
        <v>0</v>
      </c>
      <c r="K162" s="2"/>
      <c r="L162" s="2"/>
      <c r="M162" s="2"/>
      <c r="P162" s="2" t="s">
        <v>32</v>
      </c>
      <c r="Q162" s="2"/>
      <c r="R162" s="2"/>
      <c r="S162" s="5">
        <f t="shared" ref="S162:V162" si="114">S161/$AB161</f>
        <v>0</v>
      </c>
      <c r="T162" s="5">
        <f t="shared" si="114"/>
        <v>0</v>
      </c>
      <c r="U162" s="5">
        <f t="shared" si="114"/>
        <v>0</v>
      </c>
      <c r="V162" s="5">
        <f t="shared" si="114"/>
        <v>0</v>
      </c>
      <c r="W162" s="5">
        <f>W161/$AB161</f>
        <v>0</v>
      </c>
      <c r="X162" s="5">
        <f t="shared" ref="X162:AA162" si="115">X161/$AB161</f>
        <v>1</v>
      </c>
      <c r="Y162" s="5">
        <f t="shared" si="115"/>
        <v>0</v>
      </c>
      <c r="Z162" s="5">
        <f t="shared" si="115"/>
        <v>0</v>
      </c>
      <c r="AA162" s="5">
        <f t="shared" si="115"/>
        <v>0</v>
      </c>
      <c r="AB162" s="2"/>
    </row>
    <row r="164" spans="1:38" x14ac:dyDescent="0.3">
      <c r="A164" s="3" t="s">
        <v>1</v>
      </c>
      <c r="B164" s="3" t="s">
        <v>26</v>
      </c>
      <c r="C164" s="3" t="s">
        <v>0</v>
      </c>
      <c r="D164" s="3" t="s">
        <v>29</v>
      </c>
      <c r="E164" s="3" t="s">
        <v>30</v>
      </c>
      <c r="F164" s="3" t="s">
        <v>35</v>
      </c>
      <c r="G164" s="3" t="s">
        <v>31</v>
      </c>
      <c r="H164" s="3" t="s">
        <v>27</v>
      </c>
      <c r="I164" s="3" t="s">
        <v>28</v>
      </c>
      <c r="J164" s="3" t="s">
        <v>24</v>
      </c>
      <c r="K164" s="3" t="s">
        <v>19</v>
      </c>
      <c r="L164" s="3" t="s">
        <v>20</v>
      </c>
      <c r="M164" s="3" t="s">
        <v>21</v>
      </c>
      <c r="P164" s="3" t="s">
        <v>1</v>
      </c>
      <c r="Q164" s="3" t="s">
        <v>26</v>
      </c>
      <c r="R164" s="3" t="s">
        <v>0</v>
      </c>
      <c r="S164" s="3" t="s">
        <v>29</v>
      </c>
      <c r="T164" s="3" t="s">
        <v>30</v>
      </c>
      <c r="U164" s="3" t="s">
        <v>35</v>
      </c>
      <c r="V164" s="3" t="s">
        <v>31</v>
      </c>
      <c r="W164" s="3" t="s">
        <v>27</v>
      </c>
      <c r="X164" s="3" t="s">
        <v>28</v>
      </c>
      <c r="Y164" s="3" t="s">
        <v>24</v>
      </c>
      <c r="Z164" s="3" t="s">
        <v>19</v>
      </c>
      <c r="AA164" s="3" t="s">
        <v>20</v>
      </c>
      <c r="AB164" s="3" t="s">
        <v>21</v>
      </c>
      <c r="AD164" t="s">
        <v>89</v>
      </c>
      <c r="AE164" s="2" t="s">
        <v>90</v>
      </c>
      <c r="AF164" s="2"/>
      <c r="AG164" s="2" t="s">
        <v>91</v>
      </c>
      <c r="AH164" s="2" t="s">
        <v>92</v>
      </c>
      <c r="AI164" s="2" t="s">
        <v>93</v>
      </c>
      <c r="AJ164" s="2" t="s">
        <v>94</v>
      </c>
      <c r="AK164" s="2" t="s">
        <v>95</v>
      </c>
      <c r="AL164" s="2" t="s">
        <v>96</v>
      </c>
    </row>
    <row r="165" spans="1:38" x14ac:dyDescent="0.3">
      <c r="A165" t="s">
        <v>23</v>
      </c>
      <c r="B165" t="s">
        <v>16</v>
      </c>
      <c r="C165">
        <v>1993</v>
      </c>
      <c r="J165">
        <v>28</v>
      </c>
      <c r="K165">
        <v>80</v>
      </c>
      <c r="M165" s="2">
        <f t="shared" ref="M165:M192" si="116">SUM(D165:L165)</f>
        <v>108</v>
      </c>
      <c r="P165" t="s">
        <v>37</v>
      </c>
      <c r="Q165" t="s">
        <v>16</v>
      </c>
      <c r="R165">
        <v>1993</v>
      </c>
      <c r="Z165">
        <v>24</v>
      </c>
      <c r="AB165" s="2">
        <f t="shared" ref="AB165:AB192" si="117">SUM(S165:AA165)</f>
        <v>24</v>
      </c>
      <c r="AD165">
        <f>M165/(M165+AB165)</f>
        <v>0.81818181818181823</v>
      </c>
      <c r="AE165">
        <f>AB165+M165</f>
        <v>132</v>
      </c>
    </row>
    <row r="166" spans="1:38" x14ac:dyDescent="0.3">
      <c r="A166" t="s">
        <v>23</v>
      </c>
      <c r="B166" t="s">
        <v>16</v>
      </c>
      <c r="C166">
        <v>1994</v>
      </c>
      <c r="J166">
        <v>59</v>
      </c>
      <c r="K166">
        <v>90</v>
      </c>
      <c r="M166" s="2">
        <f t="shared" si="116"/>
        <v>149</v>
      </c>
      <c r="P166" t="s">
        <v>37</v>
      </c>
      <c r="Q166" t="s">
        <v>16</v>
      </c>
      <c r="R166">
        <v>1994</v>
      </c>
      <c r="Z166">
        <v>14</v>
      </c>
      <c r="AB166" s="2">
        <f t="shared" si="117"/>
        <v>14</v>
      </c>
      <c r="AD166">
        <f t="shared" ref="AD166:AD181" si="118">M166/(M166+AB166)</f>
        <v>0.91411042944785281</v>
      </c>
      <c r="AE166">
        <f t="shared" ref="AE166:AE190" si="119">AB166+M166</f>
        <v>163</v>
      </c>
    </row>
    <row r="167" spans="1:38" x14ac:dyDescent="0.3">
      <c r="A167" t="s">
        <v>23</v>
      </c>
      <c r="B167" t="s">
        <v>16</v>
      </c>
      <c r="C167">
        <v>1995</v>
      </c>
      <c r="J167">
        <v>94</v>
      </c>
      <c r="K167">
        <v>64</v>
      </c>
      <c r="M167" s="2">
        <f t="shared" si="116"/>
        <v>158</v>
      </c>
      <c r="P167" t="s">
        <v>37</v>
      </c>
      <c r="Q167" t="s">
        <v>16</v>
      </c>
      <c r="R167">
        <v>1995</v>
      </c>
      <c r="Z167">
        <v>9</v>
      </c>
      <c r="AB167" s="2">
        <f t="shared" si="117"/>
        <v>9</v>
      </c>
      <c r="AD167">
        <f t="shared" si="118"/>
        <v>0.94610778443113774</v>
      </c>
      <c r="AE167">
        <f t="shared" si="119"/>
        <v>167</v>
      </c>
    </row>
    <row r="168" spans="1:38" x14ac:dyDescent="0.3">
      <c r="A168" t="s">
        <v>23</v>
      </c>
      <c r="B168" t="s">
        <v>16</v>
      </c>
      <c r="C168">
        <v>1996</v>
      </c>
      <c r="J168">
        <v>25</v>
      </c>
      <c r="K168">
        <v>13</v>
      </c>
      <c r="M168" s="2">
        <f t="shared" si="116"/>
        <v>38</v>
      </c>
      <c r="P168" t="s">
        <v>37</v>
      </c>
      <c r="Q168" t="s">
        <v>16</v>
      </c>
      <c r="R168">
        <v>1996</v>
      </c>
      <c r="Y168">
        <v>7</v>
      </c>
      <c r="Z168">
        <v>37</v>
      </c>
      <c r="AB168" s="2">
        <f t="shared" si="117"/>
        <v>44</v>
      </c>
      <c r="AD168">
        <f t="shared" si="118"/>
        <v>0.46341463414634149</v>
      </c>
      <c r="AE168">
        <f t="shared" si="119"/>
        <v>82</v>
      </c>
    </row>
    <row r="169" spans="1:38" x14ac:dyDescent="0.3">
      <c r="A169" t="s">
        <v>23</v>
      </c>
      <c r="B169" t="s">
        <v>16</v>
      </c>
      <c r="C169">
        <v>1997</v>
      </c>
      <c r="K169">
        <v>50</v>
      </c>
      <c r="M169" s="2">
        <f t="shared" si="116"/>
        <v>50</v>
      </c>
      <c r="P169" t="s">
        <v>37</v>
      </c>
      <c r="Q169" t="s">
        <v>16</v>
      </c>
      <c r="R169">
        <v>1997</v>
      </c>
      <c r="Y169">
        <v>3</v>
      </c>
      <c r="Z169">
        <v>76</v>
      </c>
      <c r="AB169" s="2">
        <f t="shared" si="117"/>
        <v>79</v>
      </c>
      <c r="AD169">
        <f t="shared" si="118"/>
        <v>0.38759689922480622</v>
      </c>
      <c r="AE169">
        <f t="shared" si="119"/>
        <v>129</v>
      </c>
    </row>
    <row r="170" spans="1:38" x14ac:dyDescent="0.3">
      <c r="A170" t="s">
        <v>23</v>
      </c>
      <c r="B170" t="s">
        <v>16</v>
      </c>
      <c r="C170">
        <v>1998</v>
      </c>
      <c r="J170">
        <v>75</v>
      </c>
      <c r="K170">
        <v>59</v>
      </c>
      <c r="L170">
        <v>47</v>
      </c>
      <c r="M170" s="2">
        <f t="shared" si="116"/>
        <v>181</v>
      </c>
      <c r="P170" t="s">
        <v>37</v>
      </c>
      <c r="Q170" t="s">
        <v>16</v>
      </c>
      <c r="R170">
        <v>1998</v>
      </c>
      <c r="Y170">
        <v>2</v>
      </c>
      <c r="Z170">
        <v>45</v>
      </c>
      <c r="AA170">
        <v>1</v>
      </c>
      <c r="AB170" s="2">
        <f t="shared" si="117"/>
        <v>48</v>
      </c>
      <c r="AD170">
        <f t="shared" si="118"/>
        <v>0.79039301310043664</v>
      </c>
      <c r="AE170">
        <f t="shared" si="119"/>
        <v>229</v>
      </c>
    </row>
    <row r="171" spans="1:38" x14ac:dyDescent="0.3">
      <c r="A171" t="s">
        <v>23</v>
      </c>
      <c r="B171" t="s">
        <v>16</v>
      </c>
      <c r="C171">
        <v>1999</v>
      </c>
      <c r="F171">
        <v>30</v>
      </c>
      <c r="J171">
        <v>76</v>
      </c>
      <c r="K171">
        <v>72</v>
      </c>
      <c r="L171">
        <v>202</v>
      </c>
      <c r="M171" s="2">
        <f t="shared" si="116"/>
        <v>380</v>
      </c>
      <c r="P171" t="s">
        <v>37</v>
      </c>
      <c r="Q171" t="s">
        <v>16</v>
      </c>
      <c r="R171">
        <v>1999</v>
      </c>
      <c r="U171">
        <v>3</v>
      </c>
      <c r="Y171">
        <v>3</v>
      </c>
      <c r="Z171">
        <v>83</v>
      </c>
      <c r="AA171">
        <v>105</v>
      </c>
      <c r="AB171" s="2">
        <f t="shared" si="117"/>
        <v>194</v>
      </c>
      <c r="AD171">
        <f t="shared" si="118"/>
        <v>0.66202090592334495</v>
      </c>
      <c r="AE171">
        <f t="shared" si="119"/>
        <v>574</v>
      </c>
    </row>
    <row r="172" spans="1:38" x14ac:dyDescent="0.3">
      <c r="A172" t="s">
        <v>23</v>
      </c>
      <c r="B172" t="s">
        <v>16</v>
      </c>
      <c r="C172">
        <v>2000</v>
      </c>
      <c r="J172">
        <v>36</v>
      </c>
      <c r="K172">
        <v>77</v>
      </c>
      <c r="L172">
        <v>286</v>
      </c>
      <c r="M172" s="2">
        <f t="shared" si="116"/>
        <v>399</v>
      </c>
      <c r="P172" t="s">
        <v>37</v>
      </c>
      <c r="Q172" t="s">
        <v>16</v>
      </c>
      <c r="R172">
        <v>2000</v>
      </c>
      <c r="Y172">
        <v>18</v>
      </c>
      <c r="Z172">
        <v>117</v>
      </c>
      <c r="AA172">
        <v>42</v>
      </c>
      <c r="AB172" s="2">
        <f t="shared" si="117"/>
        <v>177</v>
      </c>
      <c r="AD172">
        <f t="shared" si="118"/>
        <v>0.69270833333333337</v>
      </c>
      <c r="AE172">
        <f t="shared" si="119"/>
        <v>576</v>
      </c>
    </row>
    <row r="173" spans="1:38" x14ac:dyDescent="0.3">
      <c r="A173" t="s">
        <v>23</v>
      </c>
      <c r="B173" t="s">
        <v>16</v>
      </c>
      <c r="C173">
        <v>2001</v>
      </c>
      <c r="J173">
        <v>65</v>
      </c>
      <c r="K173">
        <v>50</v>
      </c>
      <c r="L173">
        <v>190</v>
      </c>
      <c r="M173" s="2">
        <f t="shared" si="116"/>
        <v>305</v>
      </c>
      <c r="P173" t="s">
        <v>37</v>
      </c>
      <c r="Q173" t="s">
        <v>16</v>
      </c>
      <c r="R173">
        <v>2001</v>
      </c>
      <c r="Y173">
        <v>1</v>
      </c>
      <c r="Z173">
        <v>126</v>
      </c>
      <c r="AA173">
        <v>116</v>
      </c>
      <c r="AB173" s="2">
        <f t="shared" si="117"/>
        <v>243</v>
      </c>
      <c r="AD173">
        <f t="shared" si="118"/>
        <v>0.55656934306569339</v>
      </c>
      <c r="AE173">
        <f t="shared" si="119"/>
        <v>548</v>
      </c>
    </row>
    <row r="174" spans="1:38" x14ac:dyDescent="0.3">
      <c r="A174" t="s">
        <v>23</v>
      </c>
      <c r="B174" t="s">
        <v>16</v>
      </c>
      <c r="C174">
        <v>2002</v>
      </c>
      <c r="J174">
        <v>62</v>
      </c>
      <c r="K174">
        <v>34</v>
      </c>
      <c r="L174">
        <v>161</v>
      </c>
      <c r="M174" s="2">
        <f t="shared" si="116"/>
        <v>257</v>
      </c>
      <c r="P174" t="s">
        <v>37</v>
      </c>
      <c r="Q174" t="s">
        <v>16</v>
      </c>
      <c r="R174">
        <v>2002</v>
      </c>
      <c r="Y174">
        <v>3</v>
      </c>
      <c r="Z174">
        <v>133</v>
      </c>
      <c r="AA174">
        <v>57</v>
      </c>
      <c r="AB174" s="2">
        <f t="shared" si="117"/>
        <v>193</v>
      </c>
      <c r="AD174">
        <f t="shared" si="118"/>
        <v>0.57111111111111112</v>
      </c>
      <c r="AE174">
        <f t="shared" si="119"/>
        <v>450</v>
      </c>
    </row>
    <row r="175" spans="1:38" x14ac:dyDescent="0.3">
      <c r="A175" t="s">
        <v>23</v>
      </c>
      <c r="B175" t="s">
        <v>16</v>
      </c>
      <c r="C175">
        <v>2003</v>
      </c>
      <c r="J175">
        <v>91</v>
      </c>
      <c r="K175">
        <v>78</v>
      </c>
      <c r="L175">
        <v>301</v>
      </c>
      <c r="M175" s="2">
        <f t="shared" si="116"/>
        <v>470</v>
      </c>
      <c r="P175" t="s">
        <v>37</v>
      </c>
      <c r="Q175" t="s">
        <v>16</v>
      </c>
      <c r="R175">
        <v>2003</v>
      </c>
      <c r="Y175">
        <v>30</v>
      </c>
      <c r="Z175">
        <v>156</v>
      </c>
      <c r="AA175">
        <v>194</v>
      </c>
      <c r="AB175" s="2">
        <f t="shared" si="117"/>
        <v>380</v>
      </c>
      <c r="AD175">
        <f t="shared" si="118"/>
        <v>0.55294117647058827</v>
      </c>
      <c r="AE175">
        <f t="shared" si="119"/>
        <v>850</v>
      </c>
    </row>
    <row r="176" spans="1:38" x14ac:dyDescent="0.3">
      <c r="A176" t="s">
        <v>23</v>
      </c>
      <c r="B176" t="s">
        <v>16</v>
      </c>
      <c r="C176">
        <v>2004</v>
      </c>
      <c r="J176">
        <v>217</v>
      </c>
      <c r="K176">
        <v>76</v>
      </c>
      <c r="L176">
        <v>213</v>
      </c>
      <c r="M176" s="2">
        <f t="shared" si="116"/>
        <v>506</v>
      </c>
      <c r="P176" t="s">
        <v>37</v>
      </c>
      <c r="Q176" t="s">
        <v>16</v>
      </c>
      <c r="R176">
        <v>2004</v>
      </c>
      <c r="Y176">
        <v>4</v>
      </c>
      <c r="Z176">
        <v>104</v>
      </c>
      <c r="AA176">
        <v>135</v>
      </c>
      <c r="AB176" s="2">
        <f t="shared" si="117"/>
        <v>243</v>
      </c>
      <c r="AD176">
        <f t="shared" si="118"/>
        <v>0.67556742323097463</v>
      </c>
      <c r="AE176">
        <f t="shared" si="119"/>
        <v>749</v>
      </c>
    </row>
    <row r="177" spans="1:38" x14ac:dyDescent="0.3">
      <c r="A177" t="s">
        <v>23</v>
      </c>
      <c r="B177" t="s">
        <v>16</v>
      </c>
      <c r="C177">
        <v>2005</v>
      </c>
      <c r="J177">
        <v>45</v>
      </c>
      <c r="K177">
        <v>43</v>
      </c>
      <c r="L177">
        <v>228</v>
      </c>
      <c r="M177" s="2">
        <f t="shared" si="116"/>
        <v>316</v>
      </c>
      <c r="P177" t="s">
        <v>37</v>
      </c>
      <c r="Q177" t="s">
        <v>16</v>
      </c>
      <c r="R177">
        <v>2005</v>
      </c>
      <c r="Z177">
        <v>39</v>
      </c>
      <c r="AA177">
        <v>239</v>
      </c>
      <c r="AB177" s="2">
        <f t="shared" si="117"/>
        <v>278</v>
      </c>
      <c r="AD177">
        <f t="shared" si="118"/>
        <v>0.53198653198653201</v>
      </c>
      <c r="AE177">
        <f t="shared" si="119"/>
        <v>594</v>
      </c>
    </row>
    <row r="178" spans="1:38" x14ac:dyDescent="0.3">
      <c r="A178" t="s">
        <v>23</v>
      </c>
      <c r="B178" t="s">
        <v>16</v>
      </c>
      <c r="C178">
        <v>2006</v>
      </c>
      <c r="J178">
        <v>107</v>
      </c>
      <c r="K178">
        <v>63</v>
      </c>
      <c r="L178">
        <v>218</v>
      </c>
      <c r="M178" s="2">
        <f t="shared" si="116"/>
        <v>388</v>
      </c>
      <c r="P178" t="s">
        <v>37</v>
      </c>
      <c r="Q178" t="s">
        <v>16</v>
      </c>
      <c r="R178">
        <v>2006</v>
      </c>
      <c r="Y178">
        <v>18</v>
      </c>
      <c r="Z178">
        <v>52</v>
      </c>
      <c r="AA178">
        <v>264</v>
      </c>
      <c r="AB178" s="2">
        <f t="shared" si="117"/>
        <v>334</v>
      </c>
      <c r="AD178">
        <f t="shared" si="118"/>
        <v>0.53739612188365649</v>
      </c>
      <c r="AE178">
        <f t="shared" si="119"/>
        <v>722</v>
      </c>
    </row>
    <row r="179" spans="1:38" x14ac:dyDescent="0.3">
      <c r="A179" t="s">
        <v>23</v>
      </c>
      <c r="B179" t="s">
        <v>16</v>
      </c>
      <c r="C179">
        <v>2007</v>
      </c>
      <c r="J179">
        <v>190</v>
      </c>
      <c r="K179">
        <v>52</v>
      </c>
      <c r="L179">
        <v>132</v>
      </c>
      <c r="M179" s="2">
        <f t="shared" si="116"/>
        <v>374</v>
      </c>
      <c r="P179" t="s">
        <v>37</v>
      </c>
      <c r="Q179" t="s">
        <v>16</v>
      </c>
      <c r="R179">
        <v>2007</v>
      </c>
      <c r="Y179">
        <v>1</v>
      </c>
      <c r="Z179">
        <v>35</v>
      </c>
      <c r="AA179">
        <v>282</v>
      </c>
      <c r="AB179" s="2">
        <f t="shared" si="117"/>
        <v>318</v>
      </c>
      <c r="AD179">
        <f t="shared" si="118"/>
        <v>0.54046242774566478</v>
      </c>
      <c r="AE179">
        <f t="shared" si="119"/>
        <v>692</v>
      </c>
    </row>
    <row r="180" spans="1:38" x14ac:dyDescent="0.3">
      <c r="A180" t="s">
        <v>23</v>
      </c>
      <c r="B180" t="s">
        <v>16</v>
      </c>
      <c r="C180">
        <v>2008</v>
      </c>
      <c r="J180">
        <v>90</v>
      </c>
      <c r="K180">
        <v>73</v>
      </c>
      <c r="L180">
        <v>164</v>
      </c>
      <c r="M180" s="2">
        <f t="shared" si="116"/>
        <v>327</v>
      </c>
      <c r="P180" t="s">
        <v>37</v>
      </c>
      <c r="Q180" t="s">
        <v>16</v>
      </c>
      <c r="R180">
        <v>2008</v>
      </c>
      <c r="Y180">
        <v>9</v>
      </c>
      <c r="Z180">
        <v>97</v>
      </c>
      <c r="AA180">
        <v>427</v>
      </c>
      <c r="AB180" s="2">
        <f t="shared" si="117"/>
        <v>533</v>
      </c>
      <c r="AD180">
        <f t="shared" si="118"/>
        <v>0.38023255813953488</v>
      </c>
      <c r="AE180">
        <f t="shared" si="119"/>
        <v>860</v>
      </c>
    </row>
    <row r="181" spans="1:38" x14ac:dyDescent="0.3">
      <c r="A181" t="s">
        <v>23</v>
      </c>
      <c r="B181" t="s">
        <v>16</v>
      </c>
      <c r="C181">
        <v>2009</v>
      </c>
      <c r="J181">
        <v>241</v>
      </c>
      <c r="K181">
        <v>31</v>
      </c>
      <c r="L181">
        <v>95</v>
      </c>
      <c r="M181" s="2">
        <f t="shared" si="116"/>
        <v>367</v>
      </c>
      <c r="P181" t="s">
        <v>37</v>
      </c>
      <c r="Q181" t="s">
        <v>16</v>
      </c>
      <c r="R181">
        <v>2009</v>
      </c>
      <c r="Y181">
        <v>14</v>
      </c>
      <c r="Z181">
        <v>288</v>
      </c>
      <c r="AA181">
        <v>177</v>
      </c>
      <c r="AB181" s="2">
        <f t="shared" si="117"/>
        <v>479</v>
      </c>
      <c r="AD181">
        <f t="shared" si="118"/>
        <v>0.43380614657210403</v>
      </c>
      <c r="AE181">
        <f t="shared" si="119"/>
        <v>846</v>
      </c>
    </row>
    <row r="182" spans="1:38" x14ac:dyDescent="0.3">
      <c r="A182" t="s">
        <v>23</v>
      </c>
      <c r="B182" t="s">
        <v>16</v>
      </c>
      <c r="C182">
        <v>2010</v>
      </c>
      <c r="J182">
        <v>211</v>
      </c>
      <c r="K182">
        <v>99</v>
      </c>
      <c r="L182">
        <v>141</v>
      </c>
      <c r="M182" s="2">
        <f t="shared" si="116"/>
        <v>451</v>
      </c>
      <c r="P182" t="s">
        <v>37</v>
      </c>
      <c r="Q182" t="s">
        <v>16</v>
      </c>
      <c r="R182">
        <v>2010</v>
      </c>
      <c r="Y182">
        <v>30</v>
      </c>
      <c r="Z182">
        <v>228</v>
      </c>
      <c r="AA182">
        <v>208</v>
      </c>
      <c r="AB182" s="2">
        <f t="shared" si="117"/>
        <v>466</v>
      </c>
      <c r="AD182">
        <f t="shared" ref="AD182:AD190" si="120">M182/(M182+AB182)</f>
        <v>0.49182115594329334</v>
      </c>
      <c r="AE182">
        <f t="shared" si="119"/>
        <v>917</v>
      </c>
    </row>
    <row r="183" spans="1:38" x14ac:dyDescent="0.3">
      <c r="A183" t="s">
        <v>23</v>
      </c>
      <c r="B183" t="s">
        <v>16</v>
      </c>
      <c r="C183">
        <v>2011</v>
      </c>
      <c r="J183">
        <v>275</v>
      </c>
      <c r="K183">
        <v>108</v>
      </c>
      <c r="L183">
        <v>90</v>
      </c>
      <c r="M183" s="2">
        <f t="shared" si="116"/>
        <v>473</v>
      </c>
      <c r="P183" t="s">
        <v>37</v>
      </c>
      <c r="Q183" t="s">
        <v>16</v>
      </c>
      <c r="R183">
        <v>2011</v>
      </c>
      <c r="Y183">
        <v>28</v>
      </c>
      <c r="Z183">
        <v>188</v>
      </c>
      <c r="AA183">
        <v>283</v>
      </c>
      <c r="AB183" s="2">
        <f t="shared" si="117"/>
        <v>499</v>
      </c>
      <c r="AD183" s="15">
        <f t="shared" si="120"/>
        <v>0.48662551440329216</v>
      </c>
      <c r="AE183">
        <f t="shared" si="119"/>
        <v>972</v>
      </c>
      <c r="AG183">
        <v>0.16246233318984071</v>
      </c>
      <c r="AH183">
        <v>5.3951772928738536E-4</v>
      </c>
      <c r="AI183">
        <f>SQRT(AH183)</f>
        <v>2.322752094579586E-2</v>
      </c>
      <c r="AJ183">
        <f>1.96*AI183</f>
        <v>4.5525941053759886E-2</v>
      </c>
      <c r="AK183">
        <f>AG183-AJ183</f>
        <v>0.11693639213608083</v>
      </c>
      <c r="AL183">
        <f>AG183+AJ183</f>
        <v>0.20798827424360061</v>
      </c>
    </row>
    <row r="184" spans="1:38" x14ac:dyDescent="0.3">
      <c r="A184" t="s">
        <v>23</v>
      </c>
      <c r="B184" t="s">
        <v>16</v>
      </c>
      <c r="C184">
        <v>2012</v>
      </c>
      <c r="J184">
        <v>329</v>
      </c>
      <c r="K184">
        <v>78</v>
      </c>
      <c r="L184">
        <v>194</v>
      </c>
      <c r="M184" s="2">
        <f t="shared" si="116"/>
        <v>601</v>
      </c>
      <c r="P184" t="s">
        <v>37</v>
      </c>
      <c r="Q184" t="s">
        <v>16</v>
      </c>
      <c r="R184">
        <v>2012</v>
      </c>
      <c r="Y184">
        <v>8</v>
      </c>
      <c r="Z184">
        <v>173</v>
      </c>
      <c r="AA184">
        <v>273</v>
      </c>
      <c r="AB184" s="2">
        <f t="shared" si="117"/>
        <v>454</v>
      </c>
      <c r="AD184" s="15">
        <f t="shared" si="120"/>
        <v>0.56966824644549763</v>
      </c>
      <c r="AE184">
        <f t="shared" si="119"/>
        <v>1055</v>
      </c>
      <c r="AG184">
        <v>0.30382247542038043</v>
      </c>
      <c r="AH184">
        <v>1.3590054729676565E-3</v>
      </c>
      <c r="AI184">
        <f t="shared" ref="AI184:AI190" si="121">SQRT(AH184)</f>
        <v>3.6864691412890692E-2</v>
      </c>
      <c r="AJ184">
        <f t="shared" ref="AJ184:AJ190" si="122">1.96*AI184</f>
        <v>7.2254795169265751E-2</v>
      </c>
      <c r="AK184">
        <f t="shared" ref="AK184:AK190" si="123">AG184-AJ184</f>
        <v>0.23156768025111468</v>
      </c>
      <c r="AL184">
        <f t="shared" ref="AL184:AL190" si="124">AG184+AJ184</f>
        <v>0.37607727058964618</v>
      </c>
    </row>
    <row r="185" spans="1:38" x14ac:dyDescent="0.3">
      <c r="A185" t="s">
        <v>23</v>
      </c>
      <c r="B185" t="s">
        <v>16</v>
      </c>
      <c r="C185">
        <v>2013</v>
      </c>
      <c r="J185">
        <v>157</v>
      </c>
      <c r="K185">
        <v>57</v>
      </c>
      <c r="L185">
        <v>331</v>
      </c>
      <c r="M185" s="2">
        <f t="shared" si="116"/>
        <v>545</v>
      </c>
      <c r="P185" t="s">
        <v>37</v>
      </c>
      <c r="Q185" t="s">
        <v>16</v>
      </c>
      <c r="R185">
        <v>2013</v>
      </c>
      <c r="Y185">
        <v>12</v>
      </c>
      <c r="Z185">
        <v>239</v>
      </c>
      <c r="AA185">
        <v>400</v>
      </c>
      <c r="AB185" s="2">
        <f t="shared" si="117"/>
        <v>651</v>
      </c>
      <c r="AD185" s="15">
        <f t="shared" si="120"/>
        <v>0.45568561872909696</v>
      </c>
      <c r="AE185">
        <f t="shared" si="119"/>
        <v>1196</v>
      </c>
      <c r="AG185">
        <v>0.2350267688633825</v>
      </c>
      <c r="AH185">
        <v>7.4961048927422666E-4</v>
      </c>
      <c r="AI185">
        <f t="shared" si="121"/>
        <v>2.7379015491325227E-2</v>
      </c>
      <c r="AJ185">
        <f t="shared" si="122"/>
        <v>5.3662870362997446E-2</v>
      </c>
      <c r="AK185">
        <f t="shared" si="123"/>
        <v>0.18136389850038506</v>
      </c>
      <c r="AL185">
        <f t="shared" si="124"/>
        <v>0.28868963922637997</v>
      </c>
    </row>
    <row r="186" spans="1:38" x14ac:dyDescent="0.3">
      <c r="A186" t="s">
        <v>23</v>
      </c>
      <c r="B186" t="s">
        <v>16</v>
      </c>
      <c r="C186">
        <v>2014</v>
      </c>
      <c r="J186">
        <v>248</v>
      </c>
      <c r="K186">
        <v>214</v>
      </c>
      <c r="L186">
        <v>238</v>
      </c>
      <c r="M186" s="2">
        <f t="shared" si="116"/>
        <v>700</v>
      </c>
      <c r="P186" t="s">
        <v>37</v>
      </c>
      <c r="Q186" t="s">
        <v>16</v>
      </c>
      <c r="R186">
        <v>2014</v>
      </c>
      <c r="Y186">
        <v>5</v>
      </c>
      <c r="Z186">
        <v>291</v>
      </c>
      <c r="AA186">
        <v>199</v>
      </c>
      <c r="AB186" s="2">
        <f t="shared" si="117"/>
        <v>495</v>
      </c>
      <c r="AD186" s="15">
        <f t="shared" si="120"/>
        <v>0.58577405857740583</v>
      </c>
      <c r="AE186">
        <f t="shared" si="119"/>
        <v>1195</v>
      </c>
      <c r="AG186">
        <v>0.28208806286640886</v>
      </c>
      <c r="AH186">
        <v>1.3409298742526547E-3</v>
      </c>
      <c r="AI186">
        <f t="shared" si="121"/>
        <v>3.6618709347171902E-2</v>
      </c>
      <c r="AJ186">
        <f t="shared" si="122"/>
        <v>7.1772670320456922E-2</v>
      </c>
      <c r="AK186">
        <f t="shared" si="123"/>
        <v>0.21031539254595194</v>
      </c>
      <c r="AL186">
        <f t="shared" si="124"/>
        <v>0.35386073318686578</v>
      </c>
    </row>
    <row r="187" spans="1:38" x14ac:dyDescent="0.3">
      <c r="A187" t="s">
        <v>23</v>
      </c>
      <c r="B187" t="s">
        <v>16</v>
      </c>
      <c r="C187">
        <v>2015</v>
      </c>
      <c r="J187">
        <v>169</v>
      </c>
      <c r="K187">
        <v>98</v>
      </c>
      <c r="L187">
        <v>251</v>
      </c>
      <c r="M187" s="2">
        <f t="shared" si="116"/>
        <v>518</v>
      </c>
      <c r="P187" t="s">
        <v>37</v>
      </c>
      <c r="Q187" t="s">
        <v>16</v>
      </c>
      <c r="R187">
        <v>2015</v>
      </c>
      <c r="Y187">
        <v>7</v>
      </c>
      <c r="Z187">
        <v>272</v>
      </c>
      <c r="AA187">
        <v>214</v>
      </c>
      <c r="AB187" s="2">
        <f t="shared" si="117"/>
        <v>493</v>
      </c>
      <c r="AD187" s="15">
        <f t="shared" si="120"/>
        <v>0.51236399604352123</v>
      </c>
      <c r="AE187">
        <f t="shared" si="119"/>
        <v>1011</v>
      </c>
      <c r="AG187">
        <v>0.27800611885410548</v>
      </c>
      <c r="AH187">
        <v>8.8682038814212507E-4</v>
      </c>
      <c r="AI187">
        <f t="shared" si="121"/>
        <v>2.9779529683024296E-2</v>
      </c>
      <c r="AJ187">
        <f t="shared" si="122"/>
        <v>5.8367878178727621E-2</v>
      </c>
      <c r="AK187">
        <f t="shared" si="123"/>
        <v>0.21963824067537785</v>
      </c>
      <c r="AL187">
        <f t="shared" si="124"/>
        <v>0.33637399703283311</v>
      </c>
    </row>
    <row r="188" spans="1:38" x14ac:dyDescent="0.3">
      <c r="A188" t="s">
        <v>23</v>
      </c>
      <c r="B188" t="s">
        <v>16</v>
      </c>
      <c r="C188">
        <v>2016</v>
      </c>
      <c r="J188">
        <v>443</v>
      </c>
      <c r="K188">
        <v>155</v>
      </c>
      <c r="L188">
        <v>218</v>
      </c>
      <c r="M188" s="2">
        <f t="shared" si="116"/>
        <v>816</v>
      </c>
      <c r="P188" t="s">
        <v>37</v>
      </c>
      <c r="Q188" t="s">
        <v>16</v>
      </c>
      <c r="R188">
        <v>2016</v>
      </c>
      <c r="Y188">
        <v>15</v>
      </c>
      <c r="Z188">
        <v>85</v>
      </c>
      <c r="AA188">
        <v>27</v>
      </c>
      <c r="AB188" s="2">
        <f t="shared" si="117"/>
        <v>127</v>
      </c>
      <c r="AD188" s="15">
        <f t="shared" si="120"/>
        <v>0.86532343584305405</v>
      </c>
      <c r="AE188">
        <f t="shared" si="119"/>
        <v>943</v>
      </c>
      <c r="AG188">
        <v>0.30829542734019633</v>
      </c>
      <c r="AH188">
        <v>1.2362953617843812E-3</v>
      </c>
      <c r="AI188">
        <f t="shared" si="121"/>
        <v>3.516099204778473E-2</v>
      </c>
      <c r="AJ188">
        <f t="shared" si="122"/>
        <v>6.8915544413658075E-2</v>
      </c>
      <c r="AK188">
        <f t="shared" si="123"/>
        <v>0.23937988292653825</v>
      </c>
      <c r="AL188">
        <f t="shared" si="124"/>
        <v>0.37721097175385443</v>
      </c>
    </row>
    <row r="189" spans="1:38" x14ac:dyDescent="0.3">
      <c r="A189" t="s">
        <v>23</v>
      </c>
      <c r="B189" t="s">
        <v>16</v>
      </c>
      <c r="C189">
        <v>2017</v>
      </c>
      <c r="J189">
        <v>182</v>
      </c>
      <c r="K189">
        <v>33</v>
      </c>
      <c r="L189">
        <v>337</v>
      </c>
      <c r="M189" s="2">
        <f t="shared" si="116"/>
        <v>552</v>
      </c>
      <c r="P189" t="s">
        <v>37</v>
      </c>
      <c r="Q189" t="s">
        <v>16</v>
      </c>
      <c r="R189">
        <v>2017</v>
      </c>
      <c r="Y189">
        <v>1</v>
      </c>
      <c r="Z189">
        <v>17</v>
      </c>
      <c r="AA189">
        <v>94</v>
      </c>
      <c r="AB189" s="2">
        <f t="shared" si="117"/>
        <v>112</v>
      </c>
      <c r="AD189" s="15">
        <f t="shared" si="120"/>
        <v>0.83132530120481929</v>
      </c>
      <c r="AE189">
        <f t="shared" si="119"/>
        <v>664</v>
      </c>
      <c r="AG189">
        <v>0.32720559040736918</v>
      </c>
      <c r="AH189">
        <v>1.2654477718482876E-3</v>
      </c>
      <c r="AI189">
        <f t="shared" si="121"/>
        <v>3.5573132724688268E-2</v>
      </c>
      <c r="AJ189">
        <f t="shared" si="122"/>
        <v>6.9723340140389001E-2</v>
      </c>
      <c r="AK189">
        <f t="shared" si="123"/>
        <v>0.25748225026698018</v>
      </c>
      <c r="AL189">
        <f t="shared" si="124"/>
        <v>0.39692893054775819</v>
      </c>
    </row>
    <row r="190" spans="1:38" x14ac:dyDescent="0.3">
      <c r="A190" t="s">
        <v>23</v>
      </c>
      <c r="B190" t="s">
        <v>16</v>
      </c>
      <c r="C190">
        <v>2018</v>
      </c>
      <c r="J190">
        <v>195</v>
      </c>
      <c r="K190">
        <v>7</v>
      </c>
      <c r="L190">
        <v>246</v>
      </c>
      <c r="M190" s="2">
        <f t="shared" si="116"/>
        <v>448</v>
      </c>
      <c r="P190" t="s">
        <v>37</v>
      </c>
      <c r="Q190" t="s">
        <v>16</v>
      </c>
      <c r="R190">
        <v>2018</v>
      </c>
      <c r="Y190">
        <v>5</v>
      </c>
      <c r="Z190">
        <v>100</v>
      </c>
      <c r="AA190">
        <v>139</v>
      </c>
      <c r="AB190" s="2">
        <f t="shared" si="117"/>
        <v>244</v>
      </c>
      <c r="AD190" s="15">
        <f t="shared" si="120"/>
        <v>0.64739884393063585</v>
      </c>
      <c r="AE190">
        <f t="shared" si="119"/>
        <v>692</v>
      </c>
      <c r="AG190">
        <v>0.35250092626898849</v>
      </c>
      <c r="AH190">
        <v>1.9406684433297616E-3</v>
      </c>
      <c r="AI190">
        <f t="shared" si="121"/>
        <v>4.4053018549581387E-2</v>
      </c>
      <c r="AJ190">
        <f t="shared" si="122"/>
        <v>8.6343916357179515E-2</v>
      </c>
      <c r="AK190">
        <f t="shared" si="123"/>
        <v>0.26615700991180896</v>
      </c>
      <c r="AL190">
        <f t="shared" si="124"/>
        <v>0.43884484262616802</v>
      </c>
    </row>
    <row r="191" spans="1:38" x14ac:dyDescent="0.3">
      <c r="A191" t="s">
        <v>23</v>
      </c>
      <c r="B191" t="s">
        <v>16</v>
      </c>
      <c r="C191">
        <v>2019</v>
      </c>
      <c r="J191">
        <v>81</v>
      </c>
      <c r="K191">
        <v>36</v>
      </c>
      <c r="L191">
        <f>190+167</f>
        <v>357</v>
      </c>
      <c r="M191" s="2">
        <f t="shared" ref="M191" si="125">SUM(D191:L191)</f>
        <v>474</v>
      </c>
      <c r="P191" t="s">
        <v>37</v>
      </c>
      <c r="Q191" t="s">
        <v>16</v>
      </c>
      <c r="R191">
        <v>2019</v>
      </c>
      <c r="Y191">
        <v>0</v>
      </c>
      <c r="Z191">
        <f>86+72</f>
        <v>158</v>
      </c>
      <c r="AA191">
        <v>159</v>
      </c>
      <c r="AB191" s="2">
        <f t="shared" ref="AB191" si="126">SUM(S191:AA191)</f>
        <v>317</v>
      </c>
      <c r="AD191">
        <f t="shared" ref="AD191:AD192" si="127">M191/(M191+AB191)</f>
        <v>0.59924146649810361</v>
      </c>
      <c r="AE191">
        <f t="shared" ref="AE191:AE192" si="128">AB191+M191</f>
        <v>791</v>
      </c>
      <c r="AG191">
        <v>0.32033745397800695</v>
      </c>
      <c r="AH191">
        <v>1.2042187379813071E-3</v>
      </c>
      <c r="AI191">
        <f t="shared" ref="AI191:AI192" si="129">SQRT(AH191)</f>
        <v>3.4701854964559277E-2</v>
      </c>
      <c r="AJ191">
        <f t="shared" ref="AJ191:AJ192" si="130">1.96*AI191</f>
        <v>6.8015635730536178E-2</v>
      </c>
      <c r="AK191">
        <f t="shared" ref="AK191:AK192" si="131">AG191-AJ191</f>
        <v>0.2523218182474708</v>
      </c>
      <c r="AL191">
        <f t="shared" ref="AL191:AL192" si="132">AG191+AJ191</f>
        <v>0.3883530897085431</v>
      </c>
    </row>
    <row r="192" spans="1:38" x14ac:dyDescent="0.3">
      <c r="A192" s="1" t="s">
        <v>23</v>
      </c>
      <c r="B192" s="1" t="s">
        <v>16</v>
      </c>
      <c r="C192" s="1">
        <v>2020</v>
      </c>
      <c r="D192" s="1"/>
      <c r="E192" s="1"/>
      <c r="F192" s="1"/>
      <c r="G192" s="1"/>
      <c r="H192" s="1">
        <v>20</v>
      </c>
      <c r="I192" s="1"/>
      <c r="J192" s="1">
        <f>43+10</f>
        <v>53</v>
      </c>
      <c r="K192" s="1">
        <f>68+38</f>
        <v>106</v>
      </c>
      <c r="L192" s="1">
        <f>181+133</f>
        <v>314</v>
      </c>
      <c r="M192" s="3">
        <f t="shared" si="116"/>
        <v>493</v>
      </c>
      <c r="P192" s="1" t="s">
        <v>37</v>
      </c>
      <c r="Q192" s="1" t="s">
        <v>16</v>
      </c>
      <c r="R192" s="1">
        <v>2020</v>
      </c>
      <c r="S192" s="1"/>
      <c r="T192" s="1"/>
      <c r="U192" s="1"/>
      <c r="V192" s="1"/>
      <c r="W192" s="1"/>
      <c r="X192" s="1"/>
      <c r="Y192" s="1">
        <v>9</v>
      </c>
      <c r="Z192" s="1">
        <f>52+65</f>
        <v>117</v>
      </c>
      <c r="AA192" s="1">
        <f>50+87</f>
        <v>137</v>
      </c>
      <c r="AB192" s="3">
        <f t="shared" si="117"/>
        <v>263</v>
      </c>
      <c r="AD192">
        <f t="shared" si="127"/>
        <v>0.65211640211640209</v>
      </c>
      <c r="AE192">
        <f t="shared" si="128"/>
        <v>756</v>
      </c>
      <c r="AG192" s="24">
        <v>0.32604186309636057</v>
      </c>
      <c r="AH192" s="24">
        <v>1.3760591941410019E-3</v>
      </c>
      <c r="AI192">
        <f t="shared" si="129"/>
        <v>3.7095271856949663E-2</v>
      </c>
      <c r="AJ192">
        <f t="shared" si="130"/>
        <v>7.2706732839621341E-2</v>
      </c>
      <c r="AK192">
        <f t="shared" si="131"/>
        <v>0.25333513025673926</v>
      </c>
      <c r="AL192">
        <f t="shared" si="132"/>
        <v>0.39874859593598189</v>
      </c>
    </row>
    <row r="193" spans="1:38" x14ac:dyDescent="0.3">
      <c r="A193" s="2" t="s">
        <v>22</v>
      </c>
      <c r="B193" s="2"/>
      <c r="C193" s="2"/>
      <c r="D193" s="2"/>
      <c r="E193" s="2">
        <f>SUM(E165:E192)</f>
        <v>0</v>
      </c>
      <c r="F193" s="2">
        <f t="shared" ref="F193:M193" si="133">SUM(F165:F192)</f>
        <v>30</v>
      </c>
      <c r="G193" s="2">
        <f t="shared" si="133"/>
        <v>0</v>
      </c>
      <c r="H193" s="2">
        <f t="shared" si="133"/>
        <v>20</v>
      </c>
      <c r="I193" s="2">
        <f t="shared" si="133"/>
        <v>0</v>
      </c>
      <c r="J193" s="2">
        <f t="shared" si="133"/>
        <v>3844</v>
      </c>
      <c r="K193" s="2">
        <f t="shared" si="133"/>
        <v>1996</v>
      </c>
      <c r="L193" s="2">
        <f t="shared" si="133"/>
        <v>4954</v>
      </c>
      <c r="M193" s="2">
        <f t="shared" si="133"/>
        <v>10844</v>
      </c>
      <c r="P193" s="2" t="s">
        <v>22</v>
      </c>
      <c r="Q193" s="2"/>
      <c r="R193" s="2"/>
      <c r="S193" s="2"/>
      <c r="T193" s="2"/>
      <c r="U193" s="2">
        <f t="shared" ref="U193:V193" si="134">SUM(U165:U190)</f>
        <v>3</v>
      </c>
      <c r="V193" s="2">
        <f t="shared" si="134"/>
        <v>0</v>
      </c>
      <c r="W193" s="2">
        <f>SUM(W165:W190)</f>
        <v>0</v>
      </c>
      <c r="X193" s="2">
        <f>SUM(X165:X190)</f>
        <v>0</v>
      </c>
      <c r="Y193" s="2">
        <f>SUM(Y165:Y192)</f>
        <v>233</v>
      </c>
      <c r="Z193" s="2">
        <f t="shared" ref="Z193:AA193" si="135">SUM(Z165:Z192)</f>
        <v>3303</v>
      </c>
      <c r="AA193" s="2">
        <f t="shared" si="135"/>
        <v>4172</v>
      </c>
      <c r="AB193" s="2">
        <f>SUM(S193:AA193)</f>
        <v>7711</v>
      </c>
    </row>
    <row r="194" spans="1:38" x14ac:dyDescent="0.3">
      <c r="A194" s="2" t="s">
        <v>32</v>
      </c>
      <c r="B194" s="2"/>
      <c r="C194" s="2"/>
      <c r="D194" s="2"/>
      <c r="E194" s="5">
        <f t="shared" ref="E194:L194" si="136">E193/$M193</f>
        <v>0</v>
      </c>
      <c r="F194" s="5">
        <f t="shared" si="136"/>
        <v>2.766506824050166E-3</v>
      </c>
      <c r="G194" s="5">
        <f t="shared" si="136"/>
        <v>0</v>
      </c>
      <c r="H194" s="5">
        <f t="shared" si="136"/>
        <v>1.8443378827001106E-3</v>
      </c>
      <c r="I194" s="5">
        <f t="shared" si="136"/>
        <v>0</v>
      </c>
      <c r="J194" s="5">
        <f t="shared" si="136"/>
        <v>0.35448174105496127</v>
      </c>
      <c r="K194" s="5">
        <f t="shared" si="136"/>
        <v>0.18406492069347105</v>
      </c>
      <c r="L194" s="5">
        <f t="shared" si="136"/>
        <v>0.45684249354481743</v>
      </c>
      <c r="M194" s="2"/>
      <c r="P194" s="2" t="s">
        <v>32</v>
      </c>
      <c r="Q194" s="2"/>
      <c r="R194" s="2"/>
      <c r="S194" s="5">
        <f t="shared" ref="S194:V194" si="137">S193/$AB193</f>
        <v>0</v>
      </c>
      <c r="T194" s="5">
        <f t="shared" si="137"/>
        <v>0</v>
      </c>
      <c r="U194" s="5">
        <f t="shared" si="137"/>
        <v>3.8905459732849174E-4</v>
      </c>
      <c r="V194" s="5">
        <f t="shared" si="137"/>
        <v>0</v>
      </c>
      <c r="W194" s="5">
        <f>W193/$AB193</f>
        <v>0</v>
      </c>
      <c r="X194" s="5">
        <f t="shared" ref="X194:AA194" si="138">X193/$AB193</f>
        <v>0</v>
      </c>
      <c r="Y194" s="5">
        <f t="shared" si="138"/>
        <v>3.0216573725846192E-2</v>
      </c>
      <c r="Z194" s="5">
        <f t="shared" si="138"/>
        <v>0.42834911165866946</v>
      </c>
      <c r="AA194" s="5">
        <f t="shared" si="138"/>
        <v>0.54104526001815589</v>
      </c>
      <c r="AB194" s="2"/>
    </row>
    <row r="196" spans="1:38" x14ac:dyDescent="0.3">
      <c r="A196" s="3" t="s">
        <v>1</v>
      </c>
      <c r="B196" s="3" t="s">
        <v>26</v>
      </c>
      <c r="C196" s="3" t="s">
        <v>0</v>
      </c>
      <c r="D196" s="3" t="s">
        <v>29</v>
      </c>
      <c r="E196" s="3" t="s">
        <v>30</v>
      </c>
      <c r="F196" s="3" t="s">
        <v>35</v>
      </c>
      <c r="G196" s="3" t="s">
        <v>31</v>
      </c>
      <c r="H196" s="3" t="s">
        <v>27</v>
      </c>
      <c r="I196" s="3" t="s">
        <v>28</v>
      </c>
      <c r="J196" s="3" t="s">
        <v>24</v>
      </c>
      <c r="K196" s="3" t="s">
        <v>19</v>
      </c>
      <c r="L196" s="3" t="s">
        <v>20</v>
      </c>
      <c r="M196" s="3" t="s">
        <v>21</v>
      </c>
      <c r="P196" s="3" t="s">
        <v>1</v>
      </c>
      <c r="Q196" s="3" t="s">
        <v>26</v>
      </c>
      <c r="R196" s="3" t="s">
        <v>0</v>
      </c>
      <c r="S196" s="3" t="s">
        <v>29</v>
      </c>
      <c r="T196" s="3" t="s">
        <v>30</v>
      </c>
      <c r="U196" s="3" t="s">
        <v>35</v>
      </c>
      <c r="V196" s="3" t="s">
        <v>31</v>
      </c>
      <c r="W196" s="3" t="s">
        <v>27</v>
      </c>
      <c r="X196" s="3" t="s">
        <v>28</v>
      </c>
      <c r="Y196" s="3" t="s">
        <v>24</v>
      </c>
      <c r="Z196" s="3" t="s">
        <v>19</v>
      </c>
      <c r="AA196" s="3" t="s">
        <v>20</v>
      </c>
      <c r="AB196" s="3" t="s">
        <v>21</v>
      </c>
      <c r="AD196" t="s">
        <v>89</v>
      </c>
      <c r="AE196" s="2" t="s">
        <v>90</v>
      </c>
      <c r="AF196" s="2"/>
      <c r="AG196" s="2" t="s">
        <v>91</v>
      </c>
      <c r="AH196" s="2" t="s">
        <v>92</v>
      </c>
      <c r="AI196" s="2" t="s">
        <v>93</v>
      </c>
      <c r="AJ196" s="2" t="s">
        <v>94</v>
      </c>
      <c r="AK196" s="2" t="s">
        <v>95</v>
      </c>
      <c r="AL196" s="2" t="s">
        <v>96</v>
      </c>
    </row>
    <row r="197" spans="1:38" x14ac:dyDescent="0.3">
      <c r="A197" t="s">
        <v>23</v>
      </c>
      <c r="B197" t="s">
        <v>17</v>
      </c>
      <c r="C197">
        <v>1993</v>
      </c>
      <c r="J197">
        <v>47</v>
      </c>
      <c r="K197">
        <v>113</v>
      </c>
      <c r="M197" s="2">
        <f t="shared" ref="M197:M224" si="139">SUM(D197:L197)</f>
        <v>160</v>
      </c>
      <c r="P197" t="s">
        <v>37</v>
      </c>
      <c r="Q197" t="s">
        <v>17</v>
      </c>
      <c r="R197">
        <v>1993</v>
      </c>
      <c r="Y197">
        <v>18</v>
      </c>
      <c r="Z197">
        <v>2</v>
      </c>
      <c r="AB197" s="2">
        <f t="shared" ref="AB197:AB224" si="140">SUM(S197:AA197)</f>
        <v>20</v>
      </c>
      <c r="AD197">
        <f>M197/(M197+AB197)</f>
        <v>0.88888888888888884</v>
      </c>
      <c r="AE197">
        <f>AB197+M197</f>
        <v>180</v>
      </c>
    </row>
    <row r="198" spans="1:38" x14ac:dyDescent="0.3">
      <c r="A198" t="s">
        <v>23</v>
      </c>
      <c r="B198" t="s">
        <v>17</v>
      </c>
      <c r="C198">
        <v>1994</v>
      </c>
      <c r="J198">
        <v>86</v>
      </c>
      <c r="K198">
        <v>91</v>
      </c>
      <c r="M198" s="2">
        <f t="shared" si="139"/>
        <v>177</v>
      </c>
      <c r="P198" t="s">
        <v>37</v>
      </c>
      <c r="Q198" t="s">
        <v>17</v>
      </c>
      <c r="R198">
        <v>1994</v>
      </c>
      <c r="Y198">
        <v>3</v>
      </c>
      <c r="AB198" s="2">
        <f t="shared" si="140"/>
        <v>3</v>
      </c>
      <c r="AD198">
        <f t="shared" ref="AD198:AD214" si="141">M198/(M198+AB198)</f>
        <v>0.98333333333333328</v>
      </c>
      <c r="AE198">
        <f t="shared" ref="AE198:AE222" si="142">AB198+M198</f>
        <v>180</v>
      </c>
    </row>
    <row r="199" spans="1:38" x14ac:dyDescent="0.3">
      <c r="A199" t="s">
        <v>23</v>
      </c>
      <c r="B199" t="s">
        <v>17</v>
      </c>
      <c r="C199">
        <v>1995</v>
      </c>
      <c r="J199">
        <v>145</v>
      </c>
      <c r="K199">
        <v>56</v>
      </c>
      <c r="M199" s="2">
        <f t="shared" si="139"/>
        <v>201</v>
      </c>
      <c r="P199" t="s">
        <v>37</v>
      </c>
      <c r="Q199" t="s">
        <v>17</v>
      </c>
      <c r="R199">
        <v>1995</v>
      </c>
      <c r="Y199">
        <v>7</v>
      </c>
      <c r="AB199" s="2">
        <f t="shared" si="140"/>
        <v>7</v>
      </c>
      <c r="AD199">
        <f t="shared" si="141"/>
        <v>0.96634615384615385</v>
      </c>
      <c r="AE199">
        <f t="shared" si="142"/>
        <v>208</v>
      </c>
    </row>
    <row r="200" spans="1:38" x14ac:dyDescent="0.3">
      <c r="A200" t="s">
        <v>23</v>
      </c>
      <c r="B200" t="s">
        <v>17</v>
      </c>
      <c r="C200">
        <v>1996</v>
      </c>
      <c r="J200">
        <v>43</v>
      </c>
      <c r="K200">
        <v>63</v>
      </c>
      <c r="M200" s="2">
        <f t="shared" si="139"/>
        <v>106</v>
      </c>
      <c r="P200" t="s">
        <v>37</v>
      </c>
      <c r="Q200" t="s">
        <v>17</v>
      </c>
      <c r="R200">
        <v>1996</v>
      </c>
      <c r="Z200">
        <v>3</v>
      </c>
      <c r="AB200" s="2">
        <f t="shared" si="140"/>
        <v>3</v>
      </c>
      <c r="AD200">
        <f t="shared" si="141"/>
        <v>0.97247706422018354</v>
      </c>
      <c r="AE200">
        <f t="shared" si="142"/>
        <v>109</v>
      </c>
    </row>
    <row r="201" spans="1:38" x14ac:dyDescent="0.3">
      <c r="A201" t="s">
        <v>23</v>
      </c>
      <c r="B201" t="s">
        <v>17</v>
      </c>
      <c r="C201">
        <v>1997</v>
      </c>
      <c r="J201">
        <v>84</v>
      </c>
      <c r="K201">
        <v>106</v>
      </c>
      <c r="M201" s="2">
        <f t="shared" si="139"/>
        <v>190</v>
      </c>
      <c r="P201" t="s">
        <v>37</v>
      </c>
      <c r="Q201" t="s">
        <v>17</v>
      </c>
      <c r="R201">
        <v>1997</v>
      </c>
      <c r="Y201">
        <v>9</v>
      </c>
      <c r="Z201">
        <v>9</v>
      </c>
      <c r="AB201" s="2">
        <f t="shared" si="140"/>
        <v>18</v>
      </c>
      <c r="AD201">
        <f t="shared" si="141"/>
        <v>0.91346153846153844</v>
      </c>
      <c r="AE201">
        <f t="shared" si="142"/>
        <v>208</v>
      </c>
    </row>
    <row r="202" spans="1:38" x14ac:dyDescent="0.3">
      <c r="A202" t="s">
        <v>23</v>
      </c>
      <c r="B202" t="s">
        <v>17</v>
      </c>
      <c r="C202">
        <v>1998</v>
      </c>
      <c r="J202">
        <v>72</v>
      </c>
      <c r="K202">
        <v>123</v>
      </c>
      <c r="M202" s="2">
        <f t="shared" si="139"/>
        <v>195</v>
      </c>
      <c r="P202" t="s">
        <v>37</v>
      </c>
      <c r="Q202" t="s">
        <v>17</v>
      </c>
      <c r="R202">
        <v>1998</v>
      </c>
      <c r="Y202">
        <v>8</v>
      </c>
      <c r="Z202">
        <v>6</v>
      </c>
      <c r="AB202" s="2">
        <f t="shared" si="140"/>
        <v>14</v>
      </c>
      <c r="AD202">
        <f t="shared" si="141"/>
        <v>0.93301435406698563</v>
      </c>
      <c r="AE202">
        <f t="shared" si="142"/>
        <v>209</v>
      </c>
    </row>
    <row r="203" spans="1:38" x14ac:dyDescent="0.3">
      <c r="A203" t="s">
        <v>23</v>
      </c>
      <c r="B203" t="s">
        <v>17</v>
      </c>
      <c r="C203">
        <v>1999</v>
      </c>
      <c r="J203">
        <v>33</v>
      </c>
      <c r="K203">
        <v>233</v>
      </c>
      <c r="L203">
        <v>67</v>
      </c>
      <c r="M203" s="2">
        <f t="shared" si="139"/>
        <v>333</v>
      </c>
      <c r="P203" t="s">
        <v>37</v>
      </c>
      <c r="Q203" t="s">
        <v>17</v>
      </c>
      <c r="R203">
        <v>1999</v>
      </c>
      <c r="Y203">
        <v>12</v>
      </c>
      <c r="Z203">
        <v>17</v>
      </c>
      <c r="AA203">
        <v>3</v>
      </c>
      <c r="AB203" s="2">
        <f t="shared" si="140"/>
        <v>32</v>
      </c>
      <c r="AD203">
        <f t="shared" si="141"/>
        <v>0.9123287671232877</v>
      </c>
      <c r="AE203">
        <f t="shared" si="142"/>
        <v>365</v>
      </c>
    </row>
    <row r="204" spans="1:38" x14ac:dyDescent="0.3">
      <c r="A204" t="s">
        <v>23</v>
      </c>
      <c r="B204" t="s">
        <v>17</v>
      </c>
      <c r="C204">
        <v>2000</v>
      </c>
      <c r="J204">
        <v>42</v>
      </c>
      <c r="K204">
        <v>252</v>
      </c>
      <c r="L204">
        <v>71</v>
      </c>
      <c r="M204" s="2">
        <f t="shared" si="139"/>
        <v>365</v>
      </c>
      <c r="P204" t="s">
        <v>37</v>
      </c>
      <c r="Q204" t="s">
        <v>17</v>
      </c>
      <c r="R204">
        <v>2000</v>
      </c>
      <c r="Y204">
        <v>28</v>
      </c>
      <c r="Z204">
        <v>8</v>
      </c>
      <c r="AA204">
        <v>2</v>
      </c>
      <c r="AB204" s="2">
        <f t="shared" si="140"/>
        <v>38</v>
      </c>
      <c r="AD204">
        <f t="shared" si="141"/>
        <v>0.90570719602977667</v>
      </c>
      <c r="AE204">
        <f t="shared" si="142"/>
        <v>403</v>
      </c>
    </row>
    <row r="205" spans="1:38" x14ac:dyDescent="0.3">
      <c r="A205" t="s">
        <v>23</v>
      </c>
      <c r="B205" t="s">
        <v>17</v>
      </c>
      <c r="C205">
        <v>2001</v>
      </c>
      <c r="J205">
        <v>118</v>
      </c>
      <c r="K205">
        <v>245</v>
      </c>
      <c r="L205">
        <v>122</v>
      </c>
      <c r="M205" s="2">
        <f t="shared" si="139"/>
        <v>485</v>
      </c>
      <c r="P205" t="s">
        <v>37</v>
      </c>
      <c r="Q205" t="s">
        <v>17</v>
      </c>
      <c r="R205">
        <v>2001</v>
      </c>
      <c r="Y205">
        <v>39</v>
      </c>
      <c r="Z205">
        <v>13</v>
      </c>
      <c r="AB205" s="2">
        <f t="shared" si="140"/>
        <v>52</v>
      </c>
      <c r="AD205">
        <f t="shared" si="141"/>
        <v>0.9031657355679702</v>
      </c>
      <c r="AE205">
        <f t="shared" si="142"/>
        <v>537</v>
      </c>
    </row>
    <row r="206" spans="1:38" x14ac:dyDescent="0.3">
      <c r="A206" t="s">
        <v>23</v>
      </c>
      <c r="B206" t="s">
        <v>17</v>
      </c>
      <c r="C206">
        <v>2002</v>
      </c>
      <c r="J206">
        <v>88</v>
      </c>
      <c r="K206">
        <v>301</v>
      </c>
      <c r="L206">
        <v>91</v>
      </c>
      <c r="M206" s="2">
        <f t="shared" si="139"/>
        <v>480</v>
      </c>
      <c r="P206" t="s">
        <v>37</v>
      </c>
      <c r="Q206" t="s">
        <v>17</v>
      </c>
      <c r="R206">
        <v>2002</v>
      </c>
      <c r="Y206">
        <v>6</v>
      </c>
      <c r="Z206">
        <v>26</v>
      </c>
      <c r="AB206" s="2">
        <f t="shared" si="140"/>
        <v>32</v>
      </c>
      <c r="AD206">
        <f t="shared" si="141"/>
        <v>0.9375</v>
      </c>
      <c r="AE206">
        <f t="shared" si="142"/>
        <v>512</v>
      </c>
    </row>
    <row r="207" spans="1:38" x14ac:dyDescent="0.3">
      <c r="A207" t="s">
        <v>23</v>
      </c>
      <c r="B207" t="s">
        <v>17</v>
      </c>
      <c r="C207">
        <v>2003</v>
      </c>
      <c r="J207">
        <v>230</v>
      </c>
      <c r="K207">
        <v>336</v>
      </c>
      <c r="L207">
        <v>34</v>
      </c>
      <c r="M207" s="2">
        <f t="shared" si="139"/>
        <v>600</v>
      </c>
      <c r="P207" t="s">
        <v>37</v>
      </c>
      <c r="Q207" t="s">
        <v>17</v>
      </c>
      <c r="R207">
        <v>2003</v>
      </c>
      <c r="Y207">
        <v>44</v>
      </c>
      <c r="Z207">
        <v>17</v>
      </c>
      <c r="AB207" s="2">
        <f t="shared" si="140"/>
        <v>61</v>
      </c>
      <c r="AD207">
        <f t="shared" si="141"/>
        <v>0.90771558245083206</v>
      </c>
      <c r="AE207">
        <f t="shared" si="142"/>
        <v>661</v>
      </c>
    </row>
    <row r="208" spans="1:38" x14ac:dyDescent="0.3">
      <c r="A208" t="s">
        <v>23</v>
      </c>
      <c r="B208" t="s">
        <v>17</v>
      </c>
      <c r="C208">
        <v>2004</v>
      </c>
      <c r="J208">
        <v>304</v>
      </c>
      <c r="K208">
        <v>293</v>
      </c>
      <c r="L208">
        <v>87</v>
      </c>
      <c r="M208" s="2">
        <f t="shared" si="139"/>
        <v>684</v>
      </c>
      <c r="P208" t="s">
        <v>37</v>
      </c>
      <c r="Q208" t="s">
        <v>17</v>
      </c>
      <c r="R208">
        <v>2004</v>
      </c>
      <c r="Y208">
        <v>34</v>
      </c>
      <c r="Z208">
        <v>17</v>
      </c>
      <c r="AA208">
        <v>4</v>
      </c>
      <c r="AB208" s="2">
        <f t="shared" si="140"/>
        <v>55</v>
      </c>
      <c r="AD208">
        <f t="shared" si="141"/>
        <v>0.92557510148849798</v>
      </c>
      <c r="AE208">
        <f t="shared" si="142"/>
        <v>739</v>
      </c>
    </row>
    <row r="209" spans="1:38" x14ac:dyDescent="0.3">
      <c r="A209" t="s">
        <v>23</v>
      </c>
      <c r="B209" t="s">
        <v>17</v>
      </c>
      <c r="C209">
        <v>2005</v>
      </c>
      <c r="J209">
        <v>164</v>
      </c>
      <c r="K209">
        <v>165</v>
      </c>
      <c r="L209">
        <v>10</v>
      </c>
      <c r="M209" s="2">
        <f t="shared" si="139"/>
        <v>339</v>
      </c>
      <c r="P209" t="s">
        <v>37</v>
      </c>
      <c r="Q209" t="s">
        <v>17</v>
      </c>
      <c r="R209">
        <v>2005</v>
      </c>
      <c r="Y209">
        <v>16</v>
      </c>
      <c r="Z209">
        <v>5</v>
      </c>
      <c r="AA209">
        <v>38</v>
      </c>
      <c r="AB209" s="2">
        <f t="shared" si="140"/>
        <v>59</v>
      </c>
      <c r="AD209">
        <f t="shared" si="141"/>
        <v>0.85175879396984921</v>
      </c>
      <c r="AE209">
        <f t="shared" si="142"/>
        <v>398</v>
      </c>
    </row>
    <row r="210" spans="1:38" x14ac:dyDescent="0.3">
      <c r="A210" t="s">
        <v>23</v>
      </c>
      <c r="B210" t="s">
        <v>17</v>
      </c>
      <c r="C210">
        <v>2006</v>
      </c>
      <c r="J210">
        <v>270</v>
      </c>
      <c r="K210">
        <v>200</v>
      </c>
      <c r="L210">
        <v>13</v>
      </c>
      <c r="M210" s="2">
        <f t="shared" si="139"/>
        <v>483</v>
      </c>
      <c r="P210" t="s">
        <v>37</v>
      </c>
      <c r="Q210" t="s">
        <v>17</v>
      </c>
      <c r="R210">
        <v>2006</v>
      </c>
      <c r="Y210">
        <v>21</v>
      </c>
      <c r="AA210">
        <v>22</v>
      </c>
      <c r="AB210" s="2">
        <f t="shared" si="140"/>
        <v>43</v>
      </c>
      <c r="AD210">
        <f t="shared" si="141"/>
        <v>0.91825095057034223</v>
      </c>
      <c r="AE210">
        <f t="shared" si="142"/>
        <v>526</v>
      </c>
    </row>
    <row r="211" spans="1:38" x14ac:dyDescent="0.3">
      <c r="A211" t="s">
        <v>23</v>
      </c>
      <c r="B211" t="s">
        <v>17</v>
      </c>
      <c r="C211">
        <v>2007</v>
      </c>
      <c r="J211">
        <v>288</v>
      </c>
      <c r="K211">
        <v>330</v>
      </c>
      <c r="M211" s="2">
        <f t="shared" si="139"/>
        <v>618</v>
      </c>
      <c r="P211" t="s">
        <v>37</v>
      </c>
      <c r="Q211" t="s">
        <v>17</v>
      </c>
      <c r="R211">
        <v>2007</v>
      </c>
      <c r="Y211">
        <v>27</v>
      </c>
      <c r="AA211">
        <v>1</v>
      </c>
      <c r="AB211" s="2">
        <f t="shared" si="140"/>
        <v>28</v>
      </c>
      <c r="AD211">
        <f t="shared" si="141"/>
        <v>0.95665634674922606</v>
      </c>
      <c r="AE211">
        <f t="shared" si="142"/>
        <v>646</v>
      </c>
    </row>
    <row r="212" spans="1:38" x14ac:dyDescent="0.3">
      <c r="A212" t="s">
        <v>23</v>
      </c>
      <c r="B212" t="s">
        <v>17</v>
      </c>
      <c r="C212">
        <v>2008</v>
      </c>
      <c r="J212">
        <v>262</v>
      </c>
      <c r="K212">
        <v>303</v>
      </c>
      <c r="L212">
        <v>3</v>
      </c>
      <c r="M212" s="2">
        <f t="shared" si="139"/>
        <v>568</v>
      </c>
      <c r="P212" t="s">
        <v>37</v>
      </c>
      <c r="Q212" t="s">
        <v>17</v>
      </c>
      <c r="R212">
        <v>2008</v>
      </c>
      <c r="Y212">
        <v>18</v>
      </c>
      <c r="Z212">
        <v>11</v>
      </c>
      <c r="AA212">
        <v>3</v>
      </c>
      <c r="AB212" s="2">
        <f t="shared" si="140"/>
        <v>32</v>
      </c>
      <c r="AD212">
        <f t="shared" si="141"/>
        <v>0.94666666666666666</v>
      </c>
      <c r="AE212">
        <f t="shared" si="142"/>
        <v>600</v>
      </c>
    </row>
    <row r="213" spans="1:38" x14ac:dyDescent="0.3">
      <c r="A213" t="s">
        <v>23</v>
      </c>
      <c r="B213" t="s">
        <v>17</v>
      </c>
      <c r="C213">
        <v>2009</v>
      </c>
      <c r="J213">
        <v>693</v>
      </c>
      <c r="K213">
        <v>393</v>
      </c>
      <c r="L213">
        <v>25</v>
      </c>
      <c r="M213" s="2">
        <f t="shared" si="139"/>
        <v>1111</v>
      </c>
      <c r="P213" t="s">
        <v>37</v>
      </c>
      <c r="Q213" t="s">
        <v>17</v>
      </c>
      <c r="R213">
        <v>2009</v>
      </c>
      <c r="Y213">
        <v>43</v>
      </c>
      <c r="Z213">
        <v>37</v>
      </c>
      <c r="AA213">
        <v>20</v>
      </c>
      <c r="AB213" s="2">
        <f t="shared" si="140"/>
        <v>100</v>
      </c>
      <c r="AD213">
        <f t="shared" si="141"/>
        <v>0.91742361684558216</v>
      </c>
      <c r="AE213">
        <f t="shared" si="142"/>
        <v>1211</v>
      </c>
    </row>
    <row r="214" spans="1:38" x14ac:dyDescent="0.3">
      <c r="A214" t="s">
        <v>23</v>
      </c>
      <c r="B214" t="s">
        <v>17</v>
      </c>
      <c r="C214">
        <v>2010</v>
      </c>
      <c r="J214">
        <v>415</v>
      </c>
      <c r="K214">
        <v>347</v>
      </c>
      <c r="L214">
        <v>4</v>
      </c>
      <c r="M214" s="2">
        <f t="shared" si="139"/>
        <v>766</v>
      </c>
      <c r="P214" t="s">
        <v>37</v>
      </c>
      <c r="Q214" t="s">
        <v>17</v>
      </c>
      <c r="R214">
        <v>2010</v>
      </c>
      <c r="Y214">
        <v>69</v>
      </c>
      <c r="Z214">
        <v>23</v>
      </c>
      <c r="AA214">
        <v>11</v>
      </c>
      <c r="AB214" s="2">
        <f t="shared" si="140"/>
        <v>103</v>
      </c>
      <c r="AD214">
        <f t="shared" si="141"/>
        <v>0.88147295742232457</v>
      </c>
      <c r="AE214">
        <f t="shared" si="142"/>
        <v>869</v>
      </c>
    </row>
    <row r="215" spans="1:38" x14ac:dyDescent="0.3">
      <c r="A215" t="s">
        <v>23</v>
      </c>
      <c r="B215" t="s">
        <v>17</v>
      </c>
      <c r="C215">
        <v>2011</v>
      </c>
      <c r="J215">
        <v>377</v>
      </c>
      <c r="K215">
        <v>323</v>
      </c>
      <c r="L215">
        <v>49</v>
      </c>
      <c r="M215" s="2">
        <f t="shared" si="139"/>
        <v>749</v>
      </c>
      <c r="P215" t="s">
        <v>37</v>
      </c>
      <c r="Q215" t="s">
        <v>17</v>
      </c>
      <c r="R215">
        <v>2011</v>
      </c>
      <c r="Y215">
        <v>96</v>
      </c>
      <c r="Z215">
        <v>43</v>
      </c>
      <c r="AB215" s="2">
        <f t="shared" si="140"/>
        <v>139</v>
      </c>
      <c r="AD215">
        <f t="shared" ref="AD215:AD222" si="143">M215/(M215+AB215)</f>
        <v>0.84346846846846846</v>
      </c>
      <c r="AE215">
        <f t="shared" si="142"/>
        <v>888</v>
      </c>
      <c r="AG215">
        <v>0.80847270566261986</v>
      </c>
      <c r="AH215">
        <v>2.3592697276234669E-3</v>
      </c>
      <c r="AI215">
        <f>SQRT(AH215)</f>
        <v>4.8572314414936694E-2</v>
      </c>
      <c r="AJ215">
        <f>1.96*AI215</f>
        <v>9.5201736253275923E-2</v>
      </c>
      <c r="AK215">
        <f>AG215-AJ215</f>
        <v>0.71327096940934398</v>
      </c>
      <c r="AL215">
        <f>AG215+AJ215</f>
        <v>0.90367444191589574</v>
      </c>
    </row>
    <row r="216" spans="1:38" x14ac:dyDescent="0.3">
      <c r="A216" t="s">
        <v>23</v>
      </c>
      <c r="B216" t="s">
        <v>17</v>
      </c>
      <c r="C216">
        <v>2012</v>
      </c>
      <c r="J216">
        <v>528</v>
      </c>
      <c r="K216">
        <v>340</v>
      </c>
      <c r="L216">
        <v>21</v>
      </c>
      <c r="M216" s="2">
        <f t="shared" si="139"/>
        <v>889</v>
      </c>
      <c r="P216" t="s">
        <v>37</v>
      </c>
      <c r="Q216" t="s">
        <v>17</v>
      </c>
      <c r="R216">
        <v>2012</v>
      </c>
      <c r="Y216">
        <v>153</v>
      </c>
      <c r="Z216">
        <v>121</v>
      </c>
      <c r="AA216">
        <v>7</v>
      </c>
      <c r="AB216" s="2">
        <f t="shared" si="140"/>
        <v>281</v>
      </c>
      <c r="AD216" s="15">
        <f t="shared" si="143"/>
        <v>0.75982905982905979</v>
      </c>
      <c r="AE216">
        <f t="shared" si="142"/>
        <v>1170</v>
      </c>
      <c r="AG216">
        <v>0.89208193213084686</v>
      </c>
      <c r="AH216">
        <v>8.6674943721456565E-4</v>
      </c>
      <c r="AI216">
        <f t="shared" ref="AI216:AI222" si="144">SQRT(AH216)</f>
        <v>2.9440608642053678E-2</v>
      </c>
      <c r="AJ216">
        <f t="shared" ref="AJ216:AJ222" si="145">1.96*AI216</f>
        <v>5.7703592938425211E-2</v>
      </c>
      <c r="AK216">
        <f t="shared" ref="AK216:AK222" si="146">AG216-AJ216</f>
        <v>0.83437833919242166</v>
      </c>
      <c r="AL216">
        <f t="shared" ref="AL216:AL222" si="147">AG216+AJ216</f>
        <v>0.94978552506927205</v>
      </c>
    </row>
    <row r="217" spans="1:38" x14ac:dyDescent="0.3">
      <c r="A217" t="s">
        <v>23</v>
      </c>
      <c r="B217" t="s">
        <v>17</v>
      </c>
      <c r="C217">
        <v>2013</v>
      </c>
      <c r="J217">
        <v>359</v>
      </c>
      <c r="K217">
        <v>464</v>
      </c>
      <c r="L217">
        <v>69</v>
      </c>
      <c r="M217" s="2">
        <f t="shared" si="139"/>
        <v>892</v>
      </c>
      <c r="P217" t="s">
        <v>37</v>
      </c>
      <c r="Q217" t="s">
        <v>17</v>
      </c>
      <c r="R217">
        <v>2013</v>
      </c>
      <c r="Y217">
        <v>132</v>
      </c>
      <c r="Z217">
        <v>147</v>
      </c>
      <c r="AA217">
        <v>48</v>
      </c>
      <c r="AB217" s="2">
        <f t="shared" si="140"/>
        <v>327</v>
      </c>
      <c r="AD217">
        <f t="shared" si="143"/>
        <v>0.73174733388022972</v>
      </c>
      <c r="AE217">
        <f t="shared" si="142"/>
        <v>1219</v>
      </c>
      <c r="AG217">
        <v>0.74214255435111731</v>
      </c>
      <c r="AH217">
        <v>3.3547215201438622E-3</v>
      </c>
      <c r="AI217">
        <f t="shared" si="144"/>
        <v>5.7919957874154764E-2</v>
      </c>
      <c r="AJ217">
        <f t="shared" si="145"/>
        <v>0.11352311743334334</v>
      </c>
      <c r="AK217">
        <f t="shared" si="146"/>
        <v>0.628619436917774</v>
      </c>
      <c r="AL217">
        <f t="shared" si="147"/>
        <v>0.85566567178446062</v>
      </c>
    </row>
    <row r="218" spans="1:38" x14ac:dyDescent="0.3">
      <c r="A218" t="s">
        <v>23</v>
      </c>
      <c r="B218" t="s">
        <v>17</v>
      </c>
      <c r="C218">
        <v>2014</v>
      </c>
      <c r="J218">
        <v>655</v>
      </c>
      <c r="K218">
        <v>294</v>
      </c>
      <c r="L218">
        <v>286</v>
      </c>
      <c r="M218" s="2">
        <f t="shared" si="139"/>
        <v>1235</v>
      </c>
      <c r="P218" t="s">
        <v>37</v>
      </c>
      <c r="Q218" t="s">
        <v>17</v>
      </c>
      <c r="R218">
        <v>2014</v>
      </c>
      <c r="Y218">
        <v>165</v>
      </c>
      <c r="Z218">
        <v>103</v>
      </c>
      <c r="AB218" s="2">
        <f t="shared" si="140"/>
        <v>268</v>
      </c>
      <c r="AD218">
        <f t="shared" si="143"/>
        <v>0.82168995342648032</v>
      </c>
      <c r="AE218">
        <f t="shared" si="142"/>
        <v>1503</v>
      </c>
      <c r="AG218">
        <v>0.74336161114559629</v>
      </c>
      <c r="AH218">
        <v>2.5977502461180862E-3</v>
      </c>
      <c r="AI218">
        <f t="shared" si="144"/>
        <v>5.09681297098303E-2</v>
      </c>
      <c r="AJ218">
        <f t="shared" si="145"/>
        <v>9.989753423126739E-2</v>
      </c>
      <c r="AK218">
        <f t="shared" si="146"/>
        <v>0.64346407691432894</v>
      </c>
      <c r="AL218">
        <f t="shared" si="147"/>
        <v>0.84325914537686364</v>
      </c>
    </row>
    <row r="219" spans="1:38" x14ac:dyDescent="0.3">
      <c r="A219" t="s">
        <v>23</v>
      </c>
      <c r="B219" t="s">
        <v>17</v>
      </c>
      <c r="C219">
        <v>2015</v>
      </c>
      <c r="J219">
        <v>267</v>
      </c>
      <c r="K219">
        <v>693</v>
      </c>
      <c r="L219">
        <v>245</v>
      </c>
      <c r="M219" s="2">
        <f t="shared" si="139"/>
        <v>1205</v>
      </c>
      <c r="P219" t="s">
        <v>37</v>
      </c>
      <c r="Q219" t="s">
        <v>17</v>
      </c>
      <c r="R219">
        <v>2015</v>
      </c>
      <c r="Y219">
        <v>35</v>
      </c>
      <c r="Z219">
        <v>138</v>
      </c>
      <c r="AA219">
        <v>28</v>
      </c>
      <c r="AB219" s="2">
        <f t="shared" si="140"/>
        <v>201</v>
      </c>
      <c r="AD219" s="15">
        <f t="shared" si="143"/>
        <v>0.85704125177809387</v>
      </c>
      <c r="AE219">
        <f t="shared" si="142"/>
        <v>1406</v>
      </c>
      <c r="AG219">
        <v>0.9036836129683361</v>
      </c>
      <c r="AH219">
        <v>5.5637715833237872E-4</v>
      </c>
      <c r="AI219">
        <f t="shared" si="144"/>
        <v>2.3587648427352368E-2</v>
      </c>
      <c r="AJ219">
        <f t="shared" si="145"/>
        <v>4.6231790917610642E-2</v>
      </c>
      <c r="AK219">
        <f t="shared" si="146"/>
        <v>0.85745182205072545</v>
      </c>
      <c r="AL219">
        <f t="shared" si="147"/>
        <v>0.94991540388594675</v>
      </c>
    </row>
    <row r="220" spans="1:38" x14ac:dyDescent="0.3">
      <c r="A220" t="s">
        <v>23</v>
      </c>
      <c r="B220" t="s">
        <v>17</v>
      </c>
      <c r="C220">
        <v>2016</v>
      </c>
      <c r="J220">
        <v>416</v>
      </c>
      <c r="K220">
        <v>348</v>
      </c>
      <c r="L220">
        <v>339</v>
      </c>
      <c r="M220" s="2">
        <f t="shared" si="139"/>
        <v>1103</v>
      </c>
      <c r="P220" t="s">
        <v>37</v>
      </c>
      <c r="Q220" t="s">
        <v>17</v>
      </c>
      <c r="R220">
        <v>2016</v>
      </c>
      <c r="Y220">
        <v>98</v>
      </c>
      <c r="Z220">
        <v>121</v>
      </c>
      <c r="AA220">
        <v>4</v>
      </c>
      <c r="AB220" s="2">
        <f t="shared" si="140"/>
        <v>223</v>
      </c>
      <c r="AD220" s="15">
        <f>M220/(M220+AB220)</f>
        <v>0.83182503770739069</v>
      </c>
      <c r="AE220">
        <f t="shared" si="142"/>
        <v>1326</v>
      </c>
      <c r="AG220">
        <v>0.88727354059494523</v>
      </c>
      <c r="AH220">
        <v>4.9684411267634739E-4</v>
      </c>
      <c r="AI220">
        <f t="shared" si="144"/>
        <v>2.2290000284350544E-2</v>
      </c>
      <c r="AJ220">
        <f t="shared" si="145"/>
        <v>4.3688400557327069E-2</v>
      </c>
      <c r="AK220">
        <f t="shared" si="146"/>
        <v>0.8435851400376182</v>
      </c>
      <c r="AL220">
        <f t="shared" si="147"/>
        <v>0.93096194115227227</v>
      </c>
    </row>
    <row r="221" spans="1:38" x14ac:dyDescent="0.3">
      <c r="A221" t="s">
        <v>23</v>
      </c>
      <c r="B221" t="s">
        <v>17</v>
      </c>
      <c r="C221">
        <v>2017</v>
      </c>
      <c r="J221">
        <v>300</v>
      </c>
      <c r="K221">
        <v>349</v>
      </c>
      <c r="L221">
        <v>186</v>
      </c>
      <c r="M221" s="2">
        <f t="shared" si="139"/>
        <v>835</v>
      </c>
      <c r="P221" t="s">
        <v>37</v>
      </c>
      <c r="Q221" t="s">
        <v>17</v>
      </c>
      <c r="R221">
        <v>2017</v>
      </c>
      <c r="Y221">
        <v>104</v>
      </c>
      <c r="Z221">
        <v>36</v>
      </c>
      <c r="AB221" s="2">
        <f t="shared" si="140"/>
        <v>140</v>
      </c>
      <c r="AD221">
        <f t="shared" si="143"/>
        <v>0.85641025641025637</v>
      </c>
      <c r="AE221">
        <f t="shared" si="142"/>
        <v>975</v>
      </c>
      <c r="AG221">
        <v>0.79672682777607828</v>
      </c>
      <c r="AH221">
        <v>2.9146655203077854E-3</v>
      </c>
      <c r="AI221">
        <f t="shared" si="144"/>
        <v>5.3987642292544928E-2</v>
      </c>
      <c r="AJ221">
        <f t="shared" si="145"/>
        <v>0.10581577889338806</v>
      </c>
      <c r="AK221">
        <f t="shared" si="146"/>
        <v>0.69091104888269017</v>
      </c>
      <c r="AL221">
        <f t="shared" si="147"/>
        <v>0.9025426066694664</v>
      </c>
    </row>
    <row r="222" spans="1:38" x14ac:dyDescent="0.3">
      <c r="A222" t="s">
        <v>23</v>
      </c>
      <c r="B222" t="s">
        <v>17</v>
      </c>
      <c r="C222">
        <v>2018</v>
      </c>
      <c r="J222">
        <v>273</v>
      </c>
      <c r="K222">
        <v>461</v>
      </c>
      <c r="L222">
        <v>107</v>
      </c>
      <c r="M222" s="2">
        <f t="shared" si="139"/>
        <v>841</v>
      </c>
      <c r="P222" t="s">
        <v>37</v>
      </c>
      <c r="Q222" t="s">
        <v>17</v>
      </c>
      <c r="R222">
        <v>2018</v>
      </c>
      <c r="Y222">
        <v>59</v>
      </c>
      <c r="Z222">
        <v>45</v>
      </c>
      <c r="AA222">
        <v>9</v>
      </c>
      <c r="AB222" s="2">
        <f t="shared" si="140"/>
        <v>113</v>
      </c>
      <c r="AD222">
        <f t="shared" si="143"/>
        <v>0.88155136268343814</v>
      </c>
      <c r="AE222">
        <f t="shared" si="142"/>
        <v>954</v>
      </c>
      <c r="AG222">
        <v>0.85165413533834589</v>
      </c>
      <c r="AH222">
        <v>1.5976753451220466E-3</v>
      </c>
      <c r="AI222">
        <f t="shared" si="144"/>
        <v>3.9970931251623931E-2</v>
      </c>
      <c r="AJ222">
        <f t="shared" si="145"/>
        <v>7.8343025253182902E-2</v>
      </c>
      <c r="AK222">
        <f t="shared" si="146"/>
        <v>0.77331111008516296</v>
      </c>
      <c r="AL222">
        <f t="shared" si="147"/>
        <v>0.92999716059152882</v>
      </c>
    </row>
    <row r="223" spans="1:38" x14ac:dyDescent="0.3">
      <c r="A223" t="s">
        <v>23</v>
      </c>
      <c r="B223" t="s">
        <v>17</v>
      </c>
      <c r="C223">
        <v>2019</v>
      </c>
      <c r="J223">
        <v>389</v>
      </c>
      <c r="K223">
        <v>714</v>
      </c>
      <c r="L223">
        <v>154</v>
      </c>
      <c r="M223" s="2">
        <f t="shared" ref="M223" si="148">SUM(D223:L223)</f>
        <v>1257</v>
      </c>
      <c r="P223" t="s">
        <v>37</v>
      </c>
      <c r="Q223" t="s">
        <v>17</v>
      </c>
      <c r="R223">
        <v>2019</v>
      </c>
      <c r="Y223">
        <v>121</v>
      </c>
      <c r="Z223">
        <v>105</v>
      </c>
      <c r="AA223">
        <v>20</v>
      </c>
      <c r="AB223" s="2">
        <f t="shared" ref="AB223" si="149">SUM(S223:AA223)</f>
        <v>246</v>
      </c>
      <c r="AD223">
        <f t="shared" ref="AD223:AD224" si="150">M223/(M223+AB223)</f>
        <v>0.83632734530938124</v>
      </c>
      <c r="AE223">
        <f t="shared" ref="AE223:AE224" si="151">AB223+M223</f>
        <v>1503</v>
      </c>
      <c r="AG223">
        <v>0.82802833318389668</v>
      </c>
      <c r="AH223">
        <v>2.2072561687664395E-3</v>
      </c>
      <c r="AI223">
        <f t="shared" ref="AI223:AI224" si="152">SQRT(AH223)</f>
        <v>4.698144494123653E-2</v>
      </c>
      <c r="AJ223">
        <f t="shared" ref="AJ223:AJ224" si="153">1.96*AI223</f>
        <v>9.2083632084823591E-2</v>
      </c>
      <c r="AK223">
        <f t="shared" ref="AK223:AK224" si="154">AG223-AJ223</f>
        <v>0.73594470109907306</v>
      </c>
      <c r="AL223">
        <f t="shared" ref="AL223:AL224" si="155">AG223+AJ223</f>
        <v>0.9201119652687203</v>
      </c>
    </row>
    <row r="224" spans="1:38" x14ac:dyDescent="0.3">
      <c r="A224" s="1" t="s">
        <v>23</v>
      </c>
      <c r="B224" s="1" t="s">
        <v>17</v>
      </c>
      <c r="C224" s="1">
        <v>2020</v>
      </c>
      <c r="D224" s="1"/>
      <c r="E224" s="1"/>
      <c r="F224" s="1"/>
      <c r="G224" s="1"/>
      <c r="H224" s="1"/>
      <c r="I224" s="1"/>
      <c r="J224" s="1">
        <f>229+83</f>
        <v>312</v>
      </c>
      <c r="K224" s="1">
        <f>725+123</f>
        <v>848</v>
      </c>
      <c r="L224" s="1">
        <f>80+15</f>
        <v>95</v>
      </c>
      <c r="M224" s="3">
        <f t="shared" si="139"/>
        <v>1255</v>
      </c>
      <c r="P224" s="1" t="s">
        <v>37</v>
      </c>
      <c r="Q224" s="1" t="s">
        <v>17</v>
      </c>
      <c r="R224" s="1">
        <v>2020</v>
      </c>
      <c r="S224" s="1"/>
      <c r="T224" s="1"/>
      <c r="U224" s="1"/>
      <c r="V224" s="1"/>
      <c r="W224" s="1"/>
      <c r="X224" s="1"/>
      <c r="Y224" s="1">
        <f>59+20</f>
        <v>79</v>
      </c>
      <c r="Z224" s="1">
        <f>62+23</f>
        <v>85</v>
      </c>
      <c r="AA224" s="1">
        <v>12</v>
      </c>
      <c r="AB224" s="3">
        <f t="shared" si="140"/>
        <v>176</v>
      </c>
      <c r="AD224">
        <f t="shared" si="150"/>
        <v>0.87700908455625437</v>
      </c>
      <c r="AE224">
        <f t="shared" si="151"/>
        <v>1431</v>
      </c>
      <c r="AG224" s="24">
        <v>0.81727611123275679</v>
      </c>
      <c r="AH224" s="24">
        <v>1.570676165585678E-3</v>
      </c>
      <c r="AI224">
        <f t="shared" si="152"/>
        <v>3.9631757033793971E-2</v>
      </c>
      <c r="AJ224">
        <f t="shared" si="153"/>
        <v>7.7678243786236181E-2</v>
      </c>
      <c r="AK224">
        <f t="shared" si="154"/>
        <v>0.73959786744652056</v>
      </c>
      <c r="AL224">
        <f t="shared" si="155"/>
        <v>0.89495435501899301</v>
      </c>
    </row>
    <row r="225" spans="1:38" x14ac:dyDescent="0.3">
      <c r="A225" s="2" t="s">
        <v>22</v>
      </c>
      <c r="B225" s="2"/>
      <c r="C225" s="2"/>
      <c r="D225" s="2"/>
      <c r="E225" s="2">
        <f>SUM(E197:E224)</f>
        <v>0</v>
      </c>
      <c r="F225" s="2">
        <f t="shared" ref="F225:M225" si="156">SUM(F197:F224)</f>
        <v>0</v>
      </c>
      <c r="G225" s="2">
        <f t="shared" si="156"/>
        <v>0</v>
      </c>
      <c r="H225" s="2">
        <f t="shared" si="156"/>
        <v>0</v>
      </c>
      <c r="I225" s="2">
        <f t="shared" si="156"/>
        <v>0</v>
      </c>
      <c r="J225" s="2">
        <f t="shared" si="156"/>
        <v>7260</v>
      </c>
      <c r="K225" s="2">
        <f t="shared" si="156"/>
        <v>8784</v>
      </c>
      <c r="L225" s="2">
        <f t="shared" si="156"/>
        <v>2078</v>
      </c>
      <c r="M225" s="2">
        <f t="shared" si="156"/>
        <v>18122</v>
      </c>
      <c r="P225" s="2" t="s">
        <v>22</v>
      </c>
      <c r="Q225" s="2"/>
      <c r="R225" s="2"/>
      <c r="S225" s="2"/>
      <c r="T225" s="2"/>
      <c r="U225" s="2"/>
      <c r="V225" s="2"/>
      <c r="W225" s="2">
        <f>SUM(W197:W222)</f>
        <v>0</v>
      </c>
      <c r="X225" s="2">
        <f>SUM(X197:X222)</f>
        <v>0</v>
      </c>
      <c r="Y225" s="2">
        <f>SUM(Y197:Y224)</f>
        <v>1444</v>
      </c>
      <c r="Z225" s="2">
        <f t="shared" ref="Z225:AA225" si="157">SUM(Z197:Z224)</f>
        <v>1138</v>
      </c>
      <c r="AA225" s="2">
        <f t="shared" si="157"/>
        <v>232</v>
      </c>
      <c r="AB225" s="2">
        <f>SUM(S225:AA225)</f>
        <v>2814</v>
      </c>
    </row>
    <row r="226" spans="1:38" x14ac:dyDescent="0.3">
      <c r="A226" s="2" t="s">
        <v>32</v>
      </c>
      <c r="B226" s="2"/>
      <c r="C226" s="2"/>
      <c r="D226" s="2"/>
      <c r="E226" s="5">
        <f t="shared" ref="E226:L226" si="158">E225/$M225</f>
        <v>0</v>
      </c>
      <c r="F226" s="5">
        <f t="shared" si="158"/>
        <v>0</v>
      </c>
      <c r="G226" s="5">
        <f t="shared" si="158"/>
        <v>0</v>
      </c>
      <c r="H226" s="5">
        <f t="shared" si="158"/>
        <v>0</v>
      </c>
      <c r="I226" s="5">
        <f t="shared" si="158"/>
        <v>0</v>
      </c>
      <c r="J226" s="5">
        <f t="shared" si="158"/>
        <v>0.40061803332965457</v>
      </c>
      <c r="K226" s="5">
        <f t="shared" si="158"/>
        <v>0.48471471140050765</v>
      </c>
      <c r="L226" s="5">
        <f t="shared" si="158"/>
        <v>0.11466725526983777</v>
      </c>
      <c r="M226" s="2"/>
      <c r="P226" s="2" t="s">
        <v>32</v>
      </c>
      <c r="Q226" s="2"/>
      <c r="R226" s="2"/>
      <c r="S226" s="5">
        <f t="shared" ref="S226:V226" si="159">S225/$AB225</f>
        <v>0</v>
      </c>
      <c r="T226" s="5">
        <f t="shared" si="159"/>
        <v>0</v>
      </c>
      <c r="U226" s="5">
        <f t="shared" si="159"/>
        <v>0</v>
      </c>
      <c r="V226" s="5">
        <f t="shared" si="159"/>
        <v>0</v>
      </c>
      <c r="W226" s="5">
        <f>W225/$AB225</f>
        <v>0</v>
      </c>
      <c r="X226" s="5">
        <f t="shared" ref="X226:AA226" si="160">X225/$AB225</f>
        <v>0</v>
      </c>
      <c r="Y226" s="5">
        <f t="shared" si="160"/>
        <v>0.51314854299928925</v>
      </c>
      <c r="Z226" s="5">
        <f t="shared" si="160"/>
        <v>0.40440653873489696</v>
      </c>
      <c r="AA226" s="5">
        <f t="shared" si="160"/>
        <v>8.2444918265813794E-2</v>
      </c>
      <c r="AB226" s="2"/>
    </row>
    <row r="228" spans="1:38" x14ac:dyDescent="0.3">
      <c r="A228" s="3" t="s">
        <v>1</v>
      </c>
      <c r="B228" s="3" t="s">
        <v>26</v>
      </c>
      <c r="C228" s="3" t="s">
        <v>0</v>
      </c>
      <c r="D228" s="3" t="s">
        <v>29</v>
      </c>
      <c r="E228" s="3" t="s">
        <v>30</v>
      </c>
      <c r="F228" s="3" t="s">
        <v>35</v>
      </c>
      <c r="G228" s="3" t="s">
        <v>31</v>
      </c>
      <c r="H228" s="3" t="s">
        <v>27</v>
      </c>
      <c r="I228" s="3" t="s">
        <v>28</v>
      </c>
      <c r="J228" s="3" t="s">
        <v>24</v>
      </c>
      <c r="K228" s="3" t="s">
        <v>19</v>
      </c>
      <c r="L228" s="3" t="s">
        <v>20</v>
      </c>
      <c r="M228" s="3" t="s">
        <v>21</v>
      </c>
      <c r="P228" s="3" t="s">
        <v>1</v>
      </c>
      <c r="Q228" s="3" t="s">
        <v>26</v>
      </c>
      <c r="R228" s="3" t="s">
        <v>0</v>
      </c>
      <c r="S228" s="3" t="s">
        <v>29</v>
      </c>
      <c r="T228" s="3" t="s">
        <v>30</v>
      </c>
      <c r="U228" s="3" t="s">
        <v>35</v>
      </c>
      <c r="V228" s="3" t="s">
        <v>31</v>
      </c>
      <c r="W228" s="3" t="s">
        <v>27</v>
      </c>
      <c r="X228" s="3" t="s">
        <v>28</v>
      </c>
      <c r="Y228" s="3" t="s">
        <v>24</v>
      </c>
      <c r="Z228" s="3" t="s">
        <v>19</v>
      </c>
      <c r="AA228" s="3" t="s">
        <v>20</v>
      </c>
      <c r="AB228" s="3" t="s">
        <v>21</v>
      </c>
      <c r="AD228" t="s">
        <v>89</v>
      </c>
      <c r="AE228" s="2" t="s">
        <v>90</v>
      </c>
      <c r="AF228" s="2"/>
      <c r="AG228" s="2"/>
      <c r="AH228" s="2"/>
      <c r="AI228" s="2"/>
      <c r="AJ228" s="2"/>
      <c r="AK228" s="2"/>
      <c r="AL228" s="2"/>
    </row>
    <row r="229" spans="1:38" x14ac:dyDescent="0.3">
      <c r="A229" t="s">
        <v>23</v>
      </c>
      <c r="B229" t="s">
        <v>36</v>
      </c>
      <c r="C229">
        <v>1993</v>
      </c>
      <c r="M229" s="2">
        <f t="shared" ref="M229:M256" si="161">SUM(D229:L229)</f>
        <v>0</v>
      </c>
      <c r="P229" t="s">
        <v>37</v>
      </c>
      <c r="Q229" t="s">
        <v>36</v>
      </c>
      <c r="R229">
        <v>1993</v>
      </c>
      <c r="AB229" s="2">
        <f t="shared" ref="AB229:AB256" si="162">SUM(S229:AA229)</f>
        <v>0</v>
      </c>
      <c r="AD229" t="e">
        <f t="shared" ref="AD229:AD245" si="163">M229/(M229+AB229)</f>
        <v>#DIV/0!</v>
      </c>
      <c r="AE229">
        <f>AB229+M229</f>
        <v>0</v>
      </c>
    </row>
    <row r="230" spans="1:38" x14ac:dyDescent="0.3">
      <c r="A230" t="s">
        <v>23</v>
      </c>
      <c r="B230" t="s">
        <v>36</v>
      </c>
      <c r="C230">
        <v>1994</v>
      </c>
      <c r="M230" s="2">
        <f t="shared" si="161"/>
        <v>0</v>
      </c>
      <c r="P230" t="s">
        <v>37</v>
      </c>
      <c r="Q230" t="s">
        <v>36</v>
      </c>
      <c r="R230">
        <v>1994</v>
      </c>
      <c r="AB230" s="2">
        <f t="shared" si="162"/>
        <v>0</v>
      </c>
      <c r="AD230" t="e">
        <f t="shared" si="163"/>
        <v>#DIV/0!</v>
      </c>
      <c r="AE230">
        <f t="shared" ref="AE230:AE254" si="164">AB230+M230</f>
        <v>0</v>
      </c>
    </row>
    <row r="231" spans="1:38" x14ac:dyDescent="0.3">
      <c r="A231" t="s">
        <v>23</v>
      </c>
      <c r="B231" t="s">
        <v>36</v>
      </c>
      <c r="C231">
        <v>1995</v>
      </c>
      <c r="M231" s="2">
        <f t="shared" si="161"/>
        <v>0</v>
      </c>
      <c r="P231" t="s">
        <v>37</v>
      </c>
      <c r="Q231" t="s">
        <v>36</v>
      </c>
      <c r="R231">
        <v>1995</v>
      </c>
      <c r="AB231" s="2">
        <f t="shared" si="162"/>
        <v>0</v>
      </c>
      <c r="AD231" t="e">
        <f t="shared" si="163"/>
        <v>#DIV/0!</v>
      </c>
      <c r="AE231">
        <f t="shared" si="164"/>
        <v>0</v>
      </c>
    </row>
    <row r="232" spans="1:38" x14ac:dyDescent="0.3">
      <c r="A232" t="s">
        <v>23</v>
      </c>
      <c r="B232" t="s">
        <v>36</v>
      </c>
      <c r="C232">
        <v>1996</v>
      </c>
      <c r="M232" s="2">
        <f t="shared" si="161"/>
        <v>0</v>
      </c>
      <c r="P232" t="s">
        <v>37</v>
      </c>
      <c r="Q232" t="s">
        <v>36</v>
      </c>
      <c r="R232">
        <v>1996</v>
      </c>
      <c r="AB232" s="2">
        <f t="shared" si="162"/>
        <v>0</v>
      </c>
      <c r="AD232" t="e">
        <f t="shared" si="163"/>
        <v>#DIV/0!</v>
      </c>
      <c r="AE232">
        <f t="shared" si="164"/>
        <v>0</v>
      </c>
    </row>
    <row r="233" spans="1:38" x14ac:dyDescent="0.3">
      <c r="A233" t="s">
        <v>23</v>
      </c>
      <c r="B233" t="s">
        <v>36</v>
      </c>
      <c r="C233">
        <v>1997</v>
      </c>
      <c r="M233" s="2">
        <f t="shared" si="161"/>
        <v>0</v>
      </c>
      <c r="P233" t="s">
        <v>37</v>
      </c>
      <c r="Q233" t="s">
        <v>36</v>
      </c>
      <c r="R233">
        <v>1997</v>
      </c>
      <c r="AB233" s="2">
        <f t="shared" si="162"/>
        <v>0</v>
      </c>
      <c r="AD233" t="e">
        <f t="shared" si="163"/>
        <v>#DIV/0!</v>
      </c>
      <c r="AE233">
        <f t="shared" si="164"/>
        <v>0</v>
      </c>
    </row>
    <row r="234" spans="1:38" x14ac:dyDescent="0.3">
      <c r="A234" t="s">
        <v>23</v>
      </c>
      <c r="B234" t="s">
        <v>36</v>
      </c>
      <c r="C234">
        <v>1998</v>
      </c>
      <c r="M234" s="2">
        <f t="shared" si="161"/>
        <v>0</v>
      </c>
      <c r="P234" t="s">
        <v>37</v>
      </c>
      <c r="Q234" t="s">
        <v>36</v>
      </c>
      <c r="R234">
        <v>1998</v>
      </c>
      <c r="AB234" s="2">
        <f t="shared" si="162"/>
        <v>0</v>
      </c>
      <c r="AD234" t="e">
        <f t="shared" si="163"/>
        <v>#DIV/0!</v>
      </c>
      <c r="AE234">
        <f t="shared" si="164"/>
        <v>0</v>
      </c>
    </row>
    <row r="235" spans="1:38" x14ac:dyDescent="0.3">
      <c r="A235" t="s">
        <v>23</v>
      </c>
      <c r="B235" t="s">
        <v>36</v>
      </c>
      <c r="C235">
        <v>1999</v>
      </c>
      <c r="M235" s="2">
        <f t="shared" si="161"/>
        <v>0</v>
      </c>
      <c r="P235" t="s">
        <v>37</v>
      </c>
      <c r="Q235" t="s">
        <v>36</v>
      </c>
      <c r="R235">
        <v>1999</v>
      </c>
      <c r="AB235" s="2">
        <f t="shared" si="162"/>
        <v>0</v>
      </c>
      <c r="AD235" t="e">
        <f t="shared" si="163"/>
        <v>#DIV/0!</v>
      </c>
      <c r="AE235">
        <f t="shared" si="164"/>
        <v>0</v>
      </c>
    </row>
    <row r="236" spans="1:38" x14ac:dyDescent="0.3">
      <c r="A236" t="s">
        <v>23</v>
      </c>
      <c r="B236" t="s">
        <v>36</v>
      </c>
      <c r="C236">
        <v>2000</v>
      </c>
      <c r="M236" s="2">
        <f t="shared" si="161"/>
        <v>0</v>
      </c>
      <c r="P236" t="s">
        <v>37</v>
      </c>
      <c r="Q236" t="s">
        <v>36</v>
      </c>
      <c r="R236">
        <v>2000</v>
      </c>
      <c r="AB236" s="2">
        <f t="shared" si="162"/>
        <v>0</v>
      </c>
      <c r="AD236" t="e">
        <f t="shared" si="163"/>
        <v>#DIV/0!</v>
      </c>
      <c r="AE236">
        <f t="shared" si="164"/>
        <v>0</v>
      </c>
    </row>
    <row r="237" spans="1:38" x14ac:dyDescent="0.3">
      <c r="A237" t="s">
        <v>23</v>
      </c>
      <c r="B237" t="s">
        <v>36</v>
      </c>
      <c r="C237">
        <v>2001</v>
      </c>
      <c r="M237" s="2">
        <f t="shared" si="161"/>
        <v>0</v>
      </c>
      <c r="P237" t="s">
        <v>37</v>
      </c>
      <c r="Q237" t="s">
        <v>36</v>
      </c>
      <c r="R237">
        <v>2001</v>
      </c>
      <c r="AB237" s="2">
        <f t="shared" si="162"/>
        <v>0</v>
      </c>
      <c r="AD237" t="e">
        <f t="shared" si="163"/>
        <v>#DIV/0!</v>
      </c>
      <c r="AE237">
        <f t="shared" si="164"/>
        <v>0</v>
      </c>
    </row>
    <row r="238" spans="1:38" x14ac:dyDescent="0.3">
      <c r="A238" t="s">
        <v>23</v>
      </c>
      <c r="B238" t="s">
        <v>36</v>
      </c>
      <c r="C238">
        <v>2002</v>
      </c>
      <c r="M238" s="2">
        <f t="shared" si="161"/>
        <v>0</v>
      </c>
      <c r="P238" t="s">
        <v>37</v>
      </c>
      <c r="Q238" t="s">
        <v>36</v>
      </c>
      <c r="R238">
        <v>2002</v>
      </c>
      <c r="AB238" s="2">
        <f t="shared" si="162"/>
        <v>0</v>
      </c>
      <c r="AD238" t="e">
        <f t="shared" si="163"/>
        <v>#DIV/0!</v>
      </c>
      <c r="AE238">
        <f t="shared" si="164"/>
        <v>0</v>
      </c>
    </row>
    <row r="239" spans="1:38" x14ac:dyDescent="0.3">
      <c r="A239" t="s">
        <v>23</v>
      </c>
      <c r="B239" t="s">
        <v>36</v>
      </c>
      <c r="C239">
        <v>2003</v>
      </c>
      <c r="M239" s="2">
        <f t="shared" si="161"/>
        <v>0</v>
      </c>
      <c r="P239" t="s">
        <v>37</v>
      </c>
      <c r="Q239" t="s">
        <v>36</v>
      </c>
      <c r="R239">
        <v>2003</v>
      </c>
      <c r="AB239" s="2">
        <f t="shared" si="162"/>
        <v>0</v>
      </c>
      <c r="AD239" t="e">
        <f t="shared" si="163"/>
        <v>#DIV/0!</v>
      </c>
      <c r="AE239">
        <f t="shared" si="164"/>
        <v>0</v>
      </c>
    </row>
    <row r="240" spans="1:38" x14ac:dyDescent="0.3">
      <c r="A240" t="s">
        <v>23</v>
      </c>
      <c r="B240" t="s">
        <v>36</v>
      </c>
      <c r="C240">
        <v>2004</v>
      </c>
      <c r="M240" s="2">
        <f t="shared" si="161"/>
        <v>0</v>
      </c>
      <c r="P240" t="s">
        <v>37</v>
      </c>
      <c r="Q240" t="s">
        <v>36</v>
      </c>
      <c r="R240">
        <v>2004</v>
      </c>
      <c r="AB240" s="2">
        <f t="shared" si="162"/>
        <v>0</v>
      </c>
      <c r="AD240" t="e">
        <f t="shared" si="163"/>
        <v>#DIV/0!</v>
      </c>
      <c r="AE240">
        <f t="shared" si="164"/>
        <v>0</v>
      </c>
    </row>
    <row r="241" spans="1:31" x14ac:dyDescent="0.3">
      <c r="A241" t="s">
        <v>23</v>
      </c>
      <c r="B241" t="s">
        <v>36</v>
      </c>
      <c r="C241">
        <v>2005</v>
      </c>
      <c r="M241" s="2">
        <f t="shared" si="161"/>
        <v>0</v>
      </c>
      <c r="P241" t="s">
        <v>37</v>
      </c>
      <c r="Q241" t="s">
        <v>36</v>
      </c>
      <c r="R241">
        <v>2005</v>
      </c>
      <c r="AB241" s="2">
        <f t="shared" si="162"/>
        <v>0</v>
      </c>
      <c r="AD241" t="e">
        <f t="shared" si="163"/>
        <v>#DIV/0!</v>
      </c>
      <c r="AE241">
        <f t="shared" si="164"/>
        <v>0</v>
      </c>
    </row>
    <row r="242" spans="1:31" x14ac:dyDescent="0.3">
      <c r="A242" t="s">
        <v>23</v>
      </c>
      <c r="B242" t="s">
        <v>36</v>
      </c>
      <c r="C242">
        <v>2006</v>
      </c>
      <c r="M242" s="2">
        <f t="shared" si="161"/>
        <v>0</v>
      </c>
      <c r="P242" t="s">
        <v>37</v>
      </c>
      <c r="Q242" t="s">
        <v>36</v>
      </c>
      <c r="R242">
        <v>2006</v>
      </c>
      <c r="AB242" s="2">
        <f t="shared" si="162"/>
        <v>0</v>
      </c>
      <c r="AD242" t="e">
        <f t="shared" si="163"/>
        <v>#DIV/0!</v>
      </c>
      <c r="AE242">
        <f t="shared" si="164"/>
        <v>0</v>
      </c>
    </row>
    <row r="243" spans="1:31" x14ac:dyDescent="0.3">
      <c r="A243" t="s">
        <v>23</v>
      </c>
      <c r="B243" t="s">
        <v>36</v>
      </c>
      <c r="C243">
        <v>2007</v>
      </c>
      <c r="M243" s="2">
        <f t="shared" si="161"/>
        <v>0</v>
      </c>
      <c r="P243" t="s">
        <v>37</v>
      </c>
      <c r="Q243" t="s">
        <v>36</v>
      </c>
      <c r="R243">
        <v>2007</v>
      </c>
      <c r="AB243" s="2">
        <f t="shared" si="162"/>
        <v>0</v>
      </c>
      <c r="AD243" t="e">
        <f t="shared" si="163"/>
        <v>#DIV/0!</v>
      </c>
      <c r="AE243">
        <f t="shared" si="164"/>
        <v>0</v>
      </c>
    </row>
    <row r="244" spans="1:31" x14ac:dyDescent="0.3">
      <c r="A244" t="s">
        <v>23</v>
      </c>
      <c r="B244" t="s">
        <v>36</v>
      </c>
      <c r="C244">
        <v>2008</v>
      </c>
      <c r="M244" s="2">
        <f t="shared" si="161"/>
        <v>0</v>
      </c>
      <c r="P244" t="s">
        <v>37</v>
      </c>
      <c r="Q244" t="s">
        <v>36</v>
      </c>
      <c r="R244">
        <v>2008</v>
      </c>
      <c r="AB244" s="2">
        <f t="shared" si="162"/>
        <v>0</v>
      </c>
      <c r="AD244" t="e">
        <f t="shared" si="163"/>
        <v>#DIV/0!</v>
      </c>
      <c r="AE244">
        <f t="shared" si="164"/>
        <v>0</v>
      </c>
    </row>
    <row r="245" spans="1:31" x14ac:dyDescent="0.3">
      <c r="A245" t="s">
        <v>23</v>
      </c>
      <c r="B245" t="s">
        <v>36</v>
      </c>
      <c r="C245">
        <v>2009</v>
      </c>
      <c r="I245">
        <v>9</v>
      </c>
      <c r="M245" s="2">
        <f t="shared" si="161"/>
        <v>9</v>
      </c>
      <c r="P245" t="s">
        <v>37</v>
      </c>
      <c r="Q245" t="s">
        <v>36</v>
      </c>
      <c r="R245">
        <v>2009</v>
      </c>
      <c r="AB245" s="2">
        <f t="shared" si="162"/>
        <v>0</v>
      </c>
      <c r="AD245">
        <f t="shared" si="163"/>
        <v>1</v>
      </c>
      <c r="AE245">
        <f t="shared" si="164"/>
        <v>9</v>
      </c>
    </row>
    <row r="246" spans="1:31" x14ac:dyDescent="0.3">
      <c r="A246" t="s">
        <v>23</v>
      </c>
      <c r="B246" t="s">
        <v>36</v>
      </c>
      <c r="C246">
        <v>2010</v>
      </c>
      <c r="M246" s="2">
        <f t="shared" si="161"/>
        <v>0</v>
      </c>
      <c r="P246" t="s">
        <v>37</v>
      </c>
      <c r="Q246" t="s">
        <v>36</v>
      </c>
      <c r="R246">
        <v>2010</v>
      </c>
      <c r="X246">
        <v>1</v>
      </c>
      <c r="AB246" s="2">
        <f t="shared" si="162"/>
        <v>1</v>
      </c>
      <c r="AD246">
        <f t="shared" ref="AD246:AD254" si="165">M246/(M246+AB246)</f>
        <v>0</v>
      </c>
      <c r="AE246">
        <f t="shared" si="164"/>
        <v>1</v>
      </c>
    </row>
    <row r="247" spans="1:31" x14ac:dyDescent="0.3">
      <c r="A247" t="s">
        <v>23</v>
      </c>
      <c r="B247" t="s">
        <v>36</v>
      </c>
      <c r="C247">
        <v>2011</v>
      </c>
      <c r="M247" s="2">
        <f t="shared" si="161"/>
        <v>0</v>
      </c>
      <c r="P247" t="s">
        <v>37</v>
      </c>
      <c r="Q247" t="s">
        <v>36</v>
      </c>
      <c r="R247">
        <v>2011</v>
      </c>
      <c r="AB247" s="2">
        <f t="shared" si="162"/>
        <v>0</v>
      </c>
      <c r="AD247" t="e">
        <f t="shared" si="165"/>
        <v>#DIV/0!</v>
      </c>
      <c r="AE247">
        <f t="shared" si="164"/>
        <v>0</v>
      </c>
    </row>
    <row r="248" spans="1:31" x14ac:dyDescent="0.3">
      <c r="A248" t="s">
        <v>23</v>
      </c>
      <c r="B248" t="s">
        <v>36</v>
      </c>
      <c r="C248">
        <v>2012</v>
      </c>
      <c r="M248" s="2">
        <f t="shared" si="161"/>
        <v>0</v>
      </c>
      <c r="P248" t="s">
        <v>37</v>
      </c>
      <c r="Q248" t="s">
        <v>36</v>
      </c>
      <c r="R248">
        <v>2012</v>
      </c>
      <c r="AB248" s="2">
        <f t="shared" si="162"/>
        <v>0</v>
      </c>
      <c r="AD248" t="e">
        <f t="shared" si="165"/>
        <v>#DIV/0!</v>
      </c>
      <c r="AE248">
        <f t="shared" si="164"/>
        <v>0</v>
      </c>
    </row>
    <row r="249" spans="1:31" x14ac:dyDescent="0.3">
      <c r="A249" t="s">
        <v>23</v>
      </c>
      <c r="B249" t="s">
        <v>36</v>
      </c>
      <c r="C249">
        <v>2013</v>
      </c>
      <c r="M249" s="2">
        <f t="shared" si="161"/>
        <v>0</v>
      </c>
      <c r="P249" t="s">
        <v>37</v>
      </c>
      <c r="Q249" t="s">
        <v>36</v>
      </c>
      <c r="R249">
        <v>2013</v>
      </c>
      <c r="AB249" s="2">
        <f t="shared" si="162"/>
        <v>0</v>
      </c>
      <c r="AD249" t="e">
        <f t="shared" si="165"/>
        <v>#DIV/0!</v>
      </c>
      <c r="AE249">
        <f t="shared" si="164"/>
        <v>0</v>
      </c>
    </row>
    <row r="250" spans="1:31" x14ac:dyDescent="0.3">
      <c r="A250" t="s">
        <v>23</v>
      </c>
      <c r="B250" t="s">
        <v>36</v>
      </c>
      <c r="C250">
        <v>2014</v>
      </c>
      <c r="M250" s="2">
        <f t="shared" si="161"/>
        <v>0</v>
      </c>
      <c r="P250" t="s">
        <v>37</v>
      </c>
      <c r="Q250" t="s">
        <v>36</v>
      </c>
      <c r="R250">
        <v>2014</v>
      </c>
      <c r="AB250" s="2">
        <f t="shared" si="162"/>
        <v>0</v>
      </c>
      <c r="AD250" t="e">
        <f t="shared" si="165"/>
        <v>#DIV/0!</v>
      </c>
      <c r="AE250">
        <f t="shared" si="164"/>
        <v>0</v>
      </c>
    </row>
    <row r="251" spans="1:31" x14ac:dyDescent="0.3">
      <c r="A251" t="s">
        <v>23</v>
      </c>
      <c r="B251" t="s">
        <v>36</v>
      </c>
      <c r="C251">
        <v>2015</v>
      </c>
      <c r="M251" s="2">
        <f t="shared" si="161"/>
        <v>0</v>
      </c>
      <c r="P251" t="s">
        <v>37</v>
      </c>
      <c r="Q251" t="s">
        <v>36</v>
      </c>
      <c r="R251">
        <v>2015</v>
      </c>
      <c r="AB251" s="2">
        <f t="shared" si="162"/>
        <v>0</v>
      </c>
      <c r="AD251" t="e">
        <f t="shared" si="165"/>
        <v>#DIV/0!</v>
      </c>
      <c r="AE251">
        <f t="shared" si="164"/>
        <v>0</v>
      </c>
    </row>
    <row r="252" spans="1:31" x14ac:dyDescent="0.3">
      <c r="A252" t="s">
        <v>23</v>
      </c>
      <c r="B252" t="s">
        <v>36</v>
      </c>
      <c r="C252">
        <v>2016</v>
      </c>
      <c r="M252" s="2">
        <f t="shared" si="161"/>
        <v>0</v>
      </c>
      <c r="P252" t="s">
        <v>37</v>
      </c>
      <c r="Q252" t="s">
        <v>36</v>
      </c>
      <c r="R252">
        <v>2016</v>
      </c>
      <c r="AB252" s="2">
        <f t="shared" si="162"/>
        <v>0</v>
      </c>
      <c r="AD252" t="e">
        <f t="shared" si="165"/>
        <v>#DIV/0!</v>
      </c>
      <c r="AE252">
        <f t="shared" si="164"/>
        <v>0</v>
      </c>
    </row>
    <row r="253" spans="1:31" x14ac:dyDescent="0.3">
      <c r="A253" t="s">
        <v>23</v>
      </c>
      <c r="B253" t="s">
        <v>36</v>
      </c>
      <c r="C253">
        <v>2017</v>
      </c>
      <c r="M253" s="2">
        <f t="shared" si="161"/>
        <v>0</v>
      </c>
      <c r="P253" t="s">
        <v>37</v>
      </c>
      <c r="Q253" t="s">
        <v>36</v>
      </c>
      <c r="R253">
        <v>2017</v>
      </c>
      <c r="AB253" s="2">
        <f t="shared" si="162"/>
        <v>0</v>
      </c>
      <c r="AD253" t="e">
        <f t="shared" si="165"/>
        <v>#DIV/0!</v>
      </c>
      <c r="AE253">
        <f t="shared" si="164"/>
        <v>0</v>
      </c>
    </row>
    <row r="254" spans="1:31" x14ac:dyDescent="0.3">
      <c r="A254" t="s">
        <v>23</v>
      </c>
      <c r="B254" t="s">
        <v>36</v>
      </c>
      <c r="C254">
        <v>2018</v>
      </c>
      <c r="M254" s="2">
        <f t="shared" si="161"/>
        <v>0</v>
      </c>
      <c r="P254" t="s">
        <v>37</v>
      </c>
      <c r="Q254" t="s">
        <v>36</v>
      </c>
      <c r="R254">
        <v>2018</v>
      </c>
      <c r="AB254" s="2">
        <f t="shared" si="162"/>
        <v>0</v>
      </c>
      <c r="AD254" t="e">
        <f t="shared" si="165"/>
        <v>#DIV/0!</v>
      </c>
      <c r="AE254">
        <f t="shared" si="164"/>
        <v>0</v>
      </c>
    </row>
    <row r="255" spans="1:31" x14ac:dyDescent="0.3">
      <c r="A255" t="s">
        <v>23</v>
      </c>
      <c r="B255" t="s">
        <v>36</v>
      </c>
      <c r="C255">
        <v>2019</v>
      </c>
      <c r="M255" s="2">
        <f t="shared" ref="M255" si="166">SUM(D255:L255)</f>
        <v>0</v>
      </c>
      <c r="P255" t="s">
        <v>37</v>
      </c>
      <c r="Q255" t="s">
        <v>36</v>
      </c>
      <c r="R255">
        <v>2019</v>
      </c>
      <c r="AB255" s="2">
        <f t="shared" ref="AB255" si="167">SUM(S255:AA255)</f>
        <v>0</v>
      </c>
      <c r="AD255" t="e">
        <f t="shared" ref="AD255:AD256" si="168">M255/(M255+AB255)</f>
        <v>#DIV/0!</v>
      </c>
      <c r="AE255">
        <f t="shared" ref="AE255:AE256" si="169">AB255+M255</f>
        <v>0</v>
      </c>
    </row>
    <row r="256" spans="1:31" x14ac:dyDescent="0.3">
      <c r="A256" s="1" t="s">
        <v>23</v>
      </c>
      <c r="B256" s="1" t="s">
        <v>36</v>
      </c>
      <c r="C256" s="1">
        <v>2020</v>
      </c>
      <c r="D256" s="1"/>
      <c r="E256" s="1"/>
      <c r="F256" s="1"/>
      <c r="G256" s="1"/>
      <c r="H256" s="1"/>
      <c r="I256" s="1"/>
      <c r="J256" s="1"/>
      <c r="K256" s="1"/>
      <c r="L256" s="1"/>
      <c r="M256" s="2">
        <f t="shared" si="161"/>
        <v>0</v>
      </c>
      <c r="P256" s="1" t="s">
        <v>37</v>
      </c>
      <c r="Q256" s="1" t="s">
        <v>36</v>
      </c>
      <c r="R256" s="1">
        <v>2020</v>
      </c>
      <c r="S256" s="1"/>
      <c r="T256" s="1"/>
      <c r="U256" s="1"/>
      <c r="V256" s="1"/>
      <c r="W256" s="1"/>
      <c r="X256" s="1"/>
      <c r="Y256" s="1"/>
      <c r="Z256" s="1"/>
      <c r="AA256" s="1"/>
      <c r="AB256" s="3">
        <f t="shared" si="162"/>
        <v>0</v>
      </c>
      <c r="AD256" t="e">
        <f t="shared" si="168"/>
        <v>#DIV/0!</v>
      </c>
      <c r="AE256">
        <f t="shared" si="169"/>
        <v>0</v>
      </c>
    </row>
    <row r="257" spans="1:28" x14ac:dyDescent="0.3">
      <c r="A257" s="2" t="s">
        <v>22</v>
      </c>
      <c r="B257" s="2"/>
      <c r="C257" s="2"/>
      <c r="D257" s="2"/>
      <c r="E257" s="2">
        <f>SUM(E229:E256)</f>
        <v>0</v>
      </c>
      <c r="F257" s="2">
        <f t="shared" ref="F257:M257" si="170">SUM(F229:F256)</f>
        <v>0</v>
      </c>
      <c r="G257" s="2">
        <f t="shared" si="170"/>
        <v>0</v>
      </c>
      <c r="H257" s="2">
        <f t="shared" si="170"/>
        <v>0</v>
      </c>
      <c r="I257" s="2">
        <f t="shared" si="170"/>
        <v>9</v>
      </c>
      <c r="J257" s="2">
        <f t="shared" si="170"/>
        <v>0</v>
      </c>
      <c r="K257" s="2">
        <f t="shared" si="170"/>
        <v>0</v>
      </c>
      <c r="L257" s="2">
        <f t="shared" si="170"/>
        <v>0</v>
      </c>
      <c r="M257" s="2">
        <f t="shared" si="170"/>
        <v>9</v>
      </c>
      <c r="P257" s="2" t="s">
        <v>22</v>
      </c>
      <c r="Q257" s="2"/>
      <c r="R257" s="2"/>
      <c r="S257" s="2"/>
      <c r="T257" s="2"/>
      <c r="U257" s="2"/>
      <c r="V257" s="2"/>
      <c r="W257" s="2">
        <f>SUM(W229:W254)</f>
        <v>0</v>
      </c>
      <c r="X257" s="2">
        <f>SUM(X229:X254)</f>
        <v>1</v>
      </c>
      <c r="Y257" s="2">
        <f t="shared" ref="Y257" si="171">SUM(Y229:Y254)</f>
        <v>0</v>
      </c>
      <c r="Z257" s="2">
        <f t="shared" ref="Z257" si="172">SUM(Z229:Z254)</f>
        <v>0</v>
      </c>
      <c r="AA257" s="2">
        <f t="shared" ref="AA257" si="173">SUM(AA229:AA254)</f>
        <v>0</v>
      </c>
      <c r="AB257" s="2">
        <f>SUM(S257:AA257)</f>
        <v>1</v>
      </c>
    </row>
    <row r="258" spans="1:28" x14ac:dyDescent="0.3">
      <c r="A258" s="2" t="s">
        <v>32</v>
      </c>
      <c r="B258" s="2"/>
      <c r="C258" s="2"/>
      <c r="D258" s="2"/>
      <c r="E258" s="5">
        <f t="shared" ref="E258:L258" si="174">E257/$M257</f>
        <v>0</v>
      </c>
      <c r="F258" s="5">
        <f t="shared" si="174"/>
        <v>0</v>
      </c>
      <c r="G258" s="5">
        <f t="shared" si="174"/>
        <v>0</v>
      </c>
      <c r="H258" s="5">
        <f t="shared" si="174"/>
        <v>0</v>
      </c>
      <c r="I258" s="5">
        <f t="shared" si="174"/>
        <v>1</v>
      </c>
      <c r="J258" s="5">
        <f t="shared" si="174"/>
        <v>0</v>
      </c>
      <c r="K258" s="5">
        <f t="shared" si="174"/>
        <v>0</v>
      </c>
      <c r="L258" s="5">
        <f t="shared" si="174"/>
        <v>0</v>
      </c>
      <c r="M258" s="2"/>
      <c r="P258" s="2" t="s">
        <v>32</v>
      </c>
      <c r="Q258" s="2"/>
      <c r="R258" s="2"/>
      <c r="S258" s="5">
        <f t="shared" ref="S258:V258" si="175">S257/$AB257</f>
        <v>0</v>
      </c>
      <c r="T258" s="5">
        <f t="shared" si="175"/>
        <v>0</v>
      </c>
      <c r="U258" s="5">
        <f t="shared" si="175"/>
        <v>0</v>
      </c>
      <c r="V258" s="5">
        <f t="shared" si="175"/>
        <v>0</v>
      </c>
      <c r="W258" s="5">
        <f>W257/$AB257</f>
        <v>0</v>
      </c>
      <c r="X258" s="5">
        <f t="shared" ref="X258:AA258" si="176">X257/$AB257</f>
        <v>1</v>
      </c>
      <c r="Y258" s="5">
        <f t="shared" si="176"/>
        <v>0</v>
      </c>
      <c r="Z258" s="5">
        <f t="shared" si="176"/>
        <v>0</v>
      </c>
      <c r="AA258" s="5">
        <f t="shared" si="176"/>
        <v>0</v>
      </c>
      <c r="AB258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2613-83A0-4B13-ADEB-B987FEA57628}">
  <dimension ref="A1:BA87"/>
  <sheetViews>
    <sheetView topLeftCell="W45" zoomScale="90" zoomScaleNormal="90" workbookViewId="0">
      <selection activeCell="AV29" sqref="AV29"/>
    </sheetView>
  </sheetViews>
  <sheetFormatPr defaultRowHeight="14.4" x14ac:dyDescent="0.3"/>
  <cols>
    <col min="19" max="19" width="10.77734375" customWidth="1"/>
    <col min="27" max="27" width="12.5546875" customWidth="1"/>
    <col min="30" max="30" width="8.21875" customWidth="1"/>
    <col min="41" max="41" width="8.77734375" customWidth="1"/>
  </cols>
  <sheetData>
    <row r="1" spans="1:53" x14ac:dyDescent="0.3">
      <c r="D1" s="27"/>
      <c r="E1" s="27"/>
      <c r="F1" s="27"/>
      <c r="G1" s="27"/>
      <c r="H1" s="27"/>
      <c r="I1" s="27"/>
      <c r="J1" s="27"/>
      <c r="K1" s="27"/>
      <c r="Q1" s="29" t="s">
        <v>75</v>
      </c>
      <c r="R1" s="29"/>
    </row>
    <row r="2" spans="1:53" x14ac:dyDescent="0.3">
      <c r="D2" s="31" t="s">
        <v>99</v>
      </c>
      <c r="E2" s="31"/>
      <c r="F2" s="31"/>
      <c r="G2" s="31"/>
      <c r="H2" s="31"/>
      <c r="I2" s="31"/>
      <c r="J2" s="31"/>
      <c r="K2" s="31"/>
      <c r="Q2" s="29"/>
      <c r="R2" s="29"/>
      <c r="U2" t="s">
        <v>76</v>
      </c>
      <c r="Y2" t="s">
        <v>77</v>
      </c>
      <c r="AC2" s="29" t="s">
        <v>79</v>
      </c>
      <c r="AD2" s="29"/>
      <c r="AE2" s="19"/>
      <c r="AG2" s="27" t="s">
        <v>104</v>
      </c>
      <c r="AH2" s="27"/>
      <c r="AI2" s="27"/>
      <c r="AJ2" s="27"/>
      <c r="AK2" s="27"/>
      <c r="AL2" s="27"/>
      <c r="AM2" s="27"/>
      <c r="AN2" s="27"/>
      <c r="AT2" s="27" t="s">
        <v>80</v>
      </c>
      <c r="AU2" s="27"/>
      <c r="AV2" s="27"/>
      <c r="AW2" s="27"/>
      <c r="AX2" s="27"/>
      <c r="AY2" s="27"/>
    </row>
    <row r="3" spans="1:53" x14ac:dyDescent="0.3">
      <c r="D3" s="27" t="s">
        <v>66</v>
      </c>
      <c r="E3" s="27"/>
      <c r="F3" s="27"/>
      <c r="G3" s="27"/>
      <c r="H3" s="27" t="s">
        <v>27</v>
      </c>
      <c r="I3" s="27"/>
      <c r="J3" s="27"/>
      <c r="K3" s="27"/>
      <c r="Q3" s="30" t="s">
        <v>101</v>
      </c>
      <c r="R3" s="30" t="s">
        <v>100</v>
      </c>
      <c r="U3" t="s">
        <v>24</v>
      </c>
      <c r="V3" t="s">
        <v>27</v>
      </c>
      <c r="Y3" t="s">
        <v>24</v>
      </c>
      <c r="Z3" t="s">
        <v>27</v>
      </c>
      <c r="AC3" t="s">
        <v>24</v>
      </c>
      <c r="AD3" t="s">
        <v>27</v>
      </c>
      <c r="AG3" s="27" t="s">
        <v>24</v>
      </c>
      <c r="AH3" s="27"/>
      <c r="AI3" s="27"/>
      <c r="AJ3" s="27"/>
      <c r="AK3" s="27" t="s">
        <v>27</v>
      </c>
      <c r="AL3" s="27"/>
      <c r="AM3" s="27"/>
      <c r="AN3" s="28"/>
      <c r="AO3" s="18"/>
      <c r="AP3" s="18"/>
      <c r="AQ3" s="18"/>
      <c r="AR3" s="18"/>
      <c r="AT3" s="27"/>
      <c r="AU3" s="27"/>
      <c r="AV3" s="27"/>
      <c r="AW3" s="27"/>
      <c r="AX3" s="27"/>
      <c r="AY3" s="27"/>
      <c r="AZ3" s="27"/>
      <c r="BA3" s="28"/>
    </row>
    <row r="4" spans="1:53" x14ac:dyDescent="0.3">
      <c r="A4" s="2" t="s">
        <v>1</v>
      </c>
      <c r="B4" s="2" t="s">
        <v>26</v>
      </c>
      <c r="C4" s="2" t="s">
        <v>0</v>
      </c>
      <c r="D4" s="2" t="s">
        <v>62</v>
      </c>
      <c r="E4" s="2" t="s">
        <v>63</v>
      </c>
      <c r="F4" s="2" t="s">
        <v>64</v>
      </c>
      <c r="G4" s="2" t="s">
        <v>65</v>
      </c>
      <c r="H4" s="2" t="s">
        <v>62</v>
      </c>
      <c r="I4" s="2" t="s">
        <v>63</v>
      </c>
      <c r="J4" s="2" t="s">
        <v>64</v>
      </c>
      <c r="K4" s="2" t="s">
        <v>65</v>
      </c>
      <c r="Q4" s="30"/>
      <c r="R4" s="30"/>
      <c r="S4" s="2"/>
      <c r="T4" s="2"/>
      <c r="U4" s="13"/>
      <c r="V4" s="13"/>
      <c r="W4" s="13"/>
      <c r="X4" s="13"/>
      <c r="Y4" s="13"/>
      <c r="Z4" s="13"/>
      <c r="AA4" s="13"/>
      <c r="AG4" s="2" t="s">
        <v>62</v>
      </c>
      <c r="AH4" s="2" t="s">
        <v>63</v>
      </c>
      <c r="AI4" s="2" t="s">
        <v>64</v>
      </c>
      <c r="AJ4" s="2" t="s">
        <v>65</v>
      </c>
      <c r="AK4" s="2" t="s">
        <v>62</v>
      </c>
      <c r="AL4" s="2" t="s">
        <v>63</v>
      </c>
      <c r="AM4" s="2" t="s">
        <v>64</v>
      </c>
      <c r="AN4" s="12" t="s">
        <v>65</v>
      </c>
      <c r="AO4" s="2"/>
      <c r="AP4" s="2"/>
      <c r="AQ4" s="2"/>
      <c r="AR4" s="2"/>
      <c r="AT4" s="2" t="s">
        <v>81</v>
      </c>
      <c r="AU4" s="2" t="s">
        <v>82</v>
      </c>
      <c r="AV4" s="2" t="s">
        <v>83</v>
      </c>
      <c r="AW4" s="2" t="s">
        <v>85</v>
      </c>
      <c r="AX4" s="2" t="s">
        <v>86</v>
      </c>
      <c r="AY4" s="2" t="s">
        <v>87</v>
      </c>
      <c r="AZ4" s="2"/>
      <c r="BA4" s="12"/>
    </row>
    <row r="5" spans="1:53" x14ac:dyDescent="0.3">
      <c r="A5" t="s">
        <v>23</v>
      </c>
      <c r="B5" t="s">
        <v>14</v>
      </c>
      <c r="C5">
        <v>1998</v>
      </c>
      <c r="D5">
        <v>45</v>
      </c>
      <c r="E5">
        <v>10</v>
      </c>
      <c r="F5">
        <v>40</v>
      </c>
      <c r="G5">
        <v>8</v>
      </c>
      <c r="H5">
        <v>56</v>
      </c>
      <c r="I5">
        <v>33</v>
      </c>
      <c r="J5">
        <v>49</v>
      </c>
      <c r="K5">
        <v>30</v>
      </c>
      <c r="Q5">
        <v>3732</v>
      </c>
      <c r="R5">
        <v>495</v>
      </c>
      <c r="U5" s="13">
        <f t="shared" ref="U5:U25" si="0">Q5/(Q5+R5)</f>
        <v>0.88289567068843156</v>
      </c>
      <c r="V5" s="13">
        <f>1-U5</f>
        <v>0.11710432931156844</v>
      </c>
      <c r="W5" s="13"/>
      <c r="X5" s="13"/>
      <c r="Y5" s="13">
        <f t="shared" ref="Y5:Y25" si="1">SUM(D5:E5)/SUM(D5,E5,H5,I5)</f>
        <v>0.38194444444444442</v>
      </c>
      <c r="Z5" s="13">
        <f t="shared" ref="Z5:Z24" si="2">1-Y5</f>
        <v>0.61805555555555558</v>
      </c>
      <c r="AA5" s="13"/>
      <c r="AC5" s="14">
        <f t="shared" ref="AC5:AC25" si="3">U5/Y5</f>
        <v>2.3115813923478936</v>
      </c>
      <c r="AD5" s="14">
        <f t="shared" ref="AD5:AD25" si="4">V5/Z5</f>
        <v>0.18947217326815569</v>
      </c>
      <c r="AE5" s="14"/>
      <c r="AG5" s="21">
        <f t="shared" ref="AG5:AG24" si="5">$AC5*D5</f>
        <v>104.02116265565522</v>
      </c>
      <c r="AH5" s="21">
        <f t="shared" ref="AH5:AH25" si="6">$AC5*E5</f>
        <v>23.115813923478935</v>
      </c>
      <c r="AI5" s="21">
        <f t="shared" ref="AI5:AI25" si="7">$AC5*F5</f>
        <v>92.463255693915741</v>
      </c>
      <c r="AJ5" s="21">
        <f t="shared" ref="AJ5:AJ25" si="8">$AC5*G5</f>
        <v>18.492651138783149</v>
      </c>
      <c r="AK5" s="21">
        <f t="shared" ref="AK5:AK25" si="9">$AD5*H5</f>
        <v>10.610441703016718</v>
      </c>
      <c r="AL5" s="21">
        <f t="shared" ref="AL5:AL25" si="10">$AD5*I5</f>
        <v>6.2525817178491376</v>
      </c>
      <c r="AM5" s="21">
        <f t="shared" ref="AM5:AM25" si="11">$AD5*J5</f>
        <v>9.2841364901396286</v>
      </c>
      <c r="AN5" s="21">
        <f t="shared" ref="AN5:AN25" si="12">$AD5*K5</f>
        <v>5.6841651980446706</v>
      </c>
      <c r="AT5">
        <f t="shared" ref="AT5:AT25" si="13">(AG5+AK5)/($AG5+$AH5+$AK5+$AL5)</f>
        <v>0.79605280804633294</v>
      </c>
      <c r="AU5">
        <f t="shared" ref="AU5:AU24" si="14">(AH5+AL5)/($AG5+$AH5+$AK5+$AL5)</f>
        <v>0.20394719195366717</v>
      </c>
      <c r="AV5">
        <f t="shared" ref="AV5:AV25" si="15">(AJ5+AN5)/(AG5+AH5+AK5+AL5)</f>
        <v>0.16789455789463764</v>
      </c>
      <c r="AW5">
        <f t="shared" ref="AW5:AW25" si="16">(AI5+AM5)/(AG5+AH5+AK5+AL5)</f>
        <v>0.7065791123892734</v>
      </c>
      <c r="AX5">
        <f t="shared" ref="AX5:AX25" si="17">(AN5+AJ5)/(AL5+AH5)</f>
        <v>0.82322564133552778</v>
      </c>
      <c r="AY5">
        <f t="shared" ref="AY5:AY25" si="18">(AM5+AI5)/(AG5+AK5)</f>
        <v>0.88760331632188427</v>
      </c>
    </row>
    <row r="6" spans="1:53" x14ac:dyDescent="0.3">
      <c r="A6" t="s">
        <v>23</v>
      </c>
      <c r="B6" t="s">
        <v>14</v>
      </c>
      <c r="C6">
        <v>1999</v>
      </c>
      <c r="D6">
        <v>115</v>
      </c>
      <c r="E6">
        <v>78</v>
      </c>
      <c r="F6">
        <v>110</v>
      </c>
      <c r="G6">
        <v>67</v>
      </c>
      <c r="H6">
        <v>129</v>
      </c>
      <c r="I6">
        <v>60</v>
      </c>
      <c r="J6">
        <v>87</v>
      </c>
      <c r="K6">
        <v>58</v>
      </c>
      <c r="Q6">
        <v>7002</v>
      </c>
      <c r="R6">
        <v>586</v>
      </c>
      <c r="U6" s="13">
        <f t="shared" si="0"/>
        <v>0.92277279915656296</v>
      </c>
      <c r="V6" s="13">
        <f t="shared" ref="V6:V24" si="19">1-U6</f>
        <v>7.7227200843437038E-2</v>
      </c>
      <c r="W6" s="13"/>
      <c r="X6" s="13"/>
      <c r="Y6" s="13">
        <f t="shared" si="1"/>
        <v>0.50523560209424079</v>
      </c>
      <c r="Z6" s="13">
        <f t="shared" si="2"/>
        <v>0.49476439790575921</v>
      </c>
      <c r="AA6" s="13"/>
      <c r="AC6" s="14">
        <f t="shared" si="3"/>
        <v>1.8264207734601403</v>
      </c>
      <c r="AD6" s="14">
        <f t="shared" si="4"/>
        <v>0.15608883979996269</v>
      </c>
      <c r="AE6" s="14"/>
      <c r="AG6" s="21">
        <f t="shared" si="5"/>
        <v>210.03838894791613</v>
      </c>
      <c r="AH6" s="21">
        <f t="shared" si="6"/>
        <v>142.46082032989094</v>
      </c>
      <c r="AI6" s="21">
        <f t="shared" si="7"/>
        <v>200.90628508061545</v>
      </c>
      <c r="AJ6" s="21">
        <f t="shared" si="8"/>
        <v>122.37019182182939</v>
      </c>
      <c r="AK6" s="21">
        <f t="shared" si="9"/>
        <v>20.135460334195187</v>
      </c>
      <c r="AL6" s="21">
        <f t="shared" si="10"/>
        <v>9.3653303879977621</v>
      </c>
      <c r="AM6" s="21">
        <f t="shared" si="11"/>
        <v>13.579729062596753</v>
      </c>
      <c r="AN6" s="21">
        <f t="shared" si="12"/>
        <v>9.0531527083978354</v>
      </c>
      <c r="AT6">
        <f t="shared" si="13"/>
        <v>0.60254934367044855</v>
      </c>
      <c r="AU6">
        <f t="shared" si="14"/>
        <v>0.39745065632955168</v>
      </c>
      <c r="AV6">
        <f t="shared" si="15"/>
        <v>0.3440401689272965</v>
      </c>
      <c r="AW6">
        <f t="shared" si="16"/>
        <v>0.56148171241678591</v>
      </c>
      <c r="AX6">
        <f t="shared" si="17"/>
        <v>0.86561731235897332</v>
      </c>
      <c r="AY6">
        <f t="shared" si="18"/>
        <v>0.93184353831754618</v>
      </c>
    </row>
    <row r="7" spans="1:53" x14ac:dyDescent="0.3">
      <c r="A7" t="s">
        <v>23</v>
      </c>
      <c r="B7" t="s">
        <v>14</v>
      </c>
      <c r="C7">
        <v>2000</v>
      </c>
      <c r="D7">
        <v>53</v>
      </c>
      <c r="E7">
        <v>48</v>
      </c>
      <c r="F7">
        <v>47</v>
      </c>
      <c r="G7">
        <v>34</v>
      </c>
      <c r="H7">
        <v>46</v>
      </c>
      <c r="I7">
        <v>112</v>
      </c>
      <c r="J7">
        <v>34</v>
      </c>
      <c r="K7">
        <v>106</v>
      </c>
      <c r="Q7">
        <v>10915</v>
      </c>
      <c r="R7">
        <v>1059</v>
      </c>
      <c r="U7" s="13">
        <f t="shared" si="0"/>
        <v>0.91155837648237847</v>
      </c>
      <c r="V7" s="13">
        <f>1-U7</f>
        <v>8.8441623517621526E-2</v>
      </c>
      <c r="W7" s="13"/>
      <c r="X7" s="13"/>
      <c r="Y7" s="13">
        <f t="shared" si="1"/>
        <v>0.38996138996138996</v>
      </c>
      <c r="Z7" s="13">
        <f t="shared" si="2"/>
        <v>0.61003861003861004</v>
      </c>
      <c r="AA7" s="13"/>
      <c r="AC7" s="14">
        <f t="shared" si="3"/>
        <v>2.3375605891973863</v>
      </c>
      <c r="AD7" s="14">
        <f t="shared" si="4"/>
        <v>0.14497709171559478</v>
      </c>
      <c r="AE7" s="14"/>
      <c r="AG7" s="21">
        <f t="shared" si="5"/>
        <v>123.89071122746148</v>
      </c>
      <c r="AH7" s="21">
        <f t="shared" si="6"/>
        <v>112.20290828147455</v>
      </c>
      <c r="AI7" s="21">
        <f t="shared" si="7"/>
        <v>109.86534769227715</v>
      </c>
      <c r="AJ7" s="21">
        <f t="shared" si="8"/>
        <v>79.477060032711137</v>
      </c>
      <c r="AK7" s="21">
        <f t="shared" si="9"/>
        <v>6.6689462189173598</v>
      </c>
      <c r="AL7" s="21">
        <f t="shared" si="10"/>
        <v>16.237434272146615</v>
      </c>
      <c r="AM7" s="21">
        <f t="shared" si="11"/>
        <v>4.9292211183302221</v>
      </c>
      <c r="AN7" s="21">
        <f t="shared" si="12"/>
        <v>15.367571721853047</v>
      </c>
      <c r="AT7">
        <f t="shared" si="13"/>
        <v>0.50409134149181023</v>
      </c>
      <c r="AU7">
        <f t="shared" si="14"/>
        <v>0.49590865850818988</v>
      </c>
      <c r="AV7">
        <f t="shared" si="15"/>
        <v>0.36619548939986168</v>
      </c>
      <c r="AW7">
        <f t="shared" si="16"/>
        <v>0.44322227340002845</v>
      </c>
      <c r="AX7">
        <f t="shared" si="17"/>
        <v>0.73843334476446532</v>
      </c>
      <c r="AY7">
        <f t="shared" si="18"/>
        <v>0.87924992341339259</v>
      </c>
    </row>
    <row r="8" spans="1:53" x14ac:dyDescent="0.3">
      <c r="A8" t="s">
        <v>23</v>
      </c>
      <c r="B8" t="s">
        <v>14</v>
      </c>
      <c r="C8">
        <v>2001</v>
      </c>
      <c r="D8">
        <v>114</v>
      </c>
      <c r="E8">
        <v>36</v>
      </c>
      <c r="F8">
        <v>106</v>
      </c>
      <c r="G8">
        <v>22</v>
      </c>
      <c r="H8">
        <v>49</v>
      </c>
      <c r="I8">
        <v>73</v>
      </c>
      <c r="J8">
        <v>25</v>
      </c>
      <c r="K8">
        <v>67</v>
      </c>
      <c r="Q8">
        <v>16953</v>
      </c>
      <c r="R8">
        <v>1565</v>
      </c>
      <c r="U8" s="13">
        <f t="shared" si="0"/>
        <v>0.91548763365374231</v>
      </c>
      <c r="V8" s="13">
        <f t="shared" si="19"/>
        <v>8.4512366346257695E-2</v>
      </c>
      <c r="W8" s="13"/>
      <c r="X8" s="13"/>
      <c r="Y8" s="13">
        <f t="shared" si="1"/>
        <v>0.55147058823529416</v>
      </c>
      <c r="Z8" s="13">
        <f t="shared" si="2"/>
        <v>0.44852941176470584</v>
      </c>
      <c r="AA8" s="13"/>
      <c r="AC8" s="14">
        <f t="shared" si="3"/>
        <v>1.6600842423587858</v>
      </c>
      <c r="AD8" s="14">
        <f t="shared" si="4"/>
        <v>0.18842101349329585</v>
      </c>
      <c r="AE8" s="14"/>
      <c r="AG8" s="21">
        <f t="shared" si="5"/>
        <v>189.24960362890158</v>
      </c>
      <c r="AH8" s="21">
        <f t="shared" si="6"/>
        <v>59.763032724916286</v>
      </c>
      <c r="AI8" s="21">
        <f t="shared" si="7"/>
        <v>175.9689296900313</v>
      </c>
      <c r="AJ8" s="21">
        <f t="shared" si="8"/>
        <v>36.52185333189329</v>
      </c>
      <c r="AK8" s="21">
        <f t="shared" si="9"/>
        <v>9.2326296611714973</v>
      </c>
      <c r="AL8" s="21">
        <f t="shared" si="10"/>
        <v>13.754733985010597</v>
      </c>
      <c r="AM8" s="21">
        <f t="shared" si="11"/>
        <v>4.7105253373323963</v>
      </c>
      <c r="AN8" s="21">
        <f t="shared" si="12"/>
        <v>12.624207904050822</v>
      </c>
      <c r="AT8">
        <f t="shared" si="13"/>
        <v>0.72971409297820999</v>
      </c>
      <c r="AU8">
        <f t="shared" si="14"/>
        <v>0.27028590702179006</v>
      </c>
      <c r="AV8">
        <f t="shared" si="15"/>
        <v>0.18068404866155927</v>
      </c>
      <c r="AW8">
        <f t="shared" si="16"/>
        <v>0.66426270230648432</v>
      </c>
      <c r="AX8">
        <f t="shared" si="17"/>
        <v>0.66849230376999558</v>
      </c>
      <c r="AY8">
        <f t="shared" si="18"/>
        <v>0.91030543153607402</v>
      </c>
    </row>
    <row r="9" spans="1:53" x14ac:dyDescent="0.3">
      <c r="A9" t="s">
        <v>23</v>
      </c>
      <c r="B9" t="s">
        <v>14</v>
      </c>
      <c r="C9">
        <v>2002</v>
      </c>
      <c r="D9">
        <v>125</v>
      </c>
      <c r="E9">
        <v>27</v>
      </c>
      <c r="F9">
        <v>110</v>
      </c>
      <c r="G9">
        <v>19</v>
      </c>
      <c r="H9">
        <v>86</v>
      </c>
      <c r="I9">
        <v>48</v>
      </c>
      <c r="J9">
        <v>80</v>
      </c>
      <c r="K9">
        <v>43</v>
      </c>
      <c r="Q9">
        <v>11660</v>
      </c>
      <c r="R9">
        <v>1753</v>
      </c>
      <c r="U9" s="13">
        <f t="shared" si="0"/>
        <v>0.86930589726384855</v>
      </c>
      <c r="V9" s="13">
        <f t="shared" si="19"/>
        <v>0.13069410273615145</v>
      </c>
      <c r="W9" s="13"/>
      <c r="X9" s="13"/>
      <c r="Y9" s="13">
        <f t="shared" si="1"/>
        <v>0.53146853146853146</v>
      </c>
      <c r="Z9" s="13">
        <f t="shared" si="2"/>
        <v>0.46853146853146854</v>
      </c>
      <c r="AA9" s="13"/>
      <c r="AC9" s="14">
        <f t="shared" si="3"/>
        <v>1.6356676751148729</v>
      </c>
      <c r="AD9" s="14">
        <f t="shared" si="4"/>
        <v>0.27894412972044264</v>
      </c>
      <c r="AE9" s="14"/>
      <c r="AG9" s="21">
        <f t="shared" si="5"/>
        <v>204.45845938935912</v>
      </c>
      <c r="AH9" s="21">
        <f t="shared" si="6"/>
        <v>44.163027228101569</v>
      </c>
      <c r="AI9" s="21">
        <f t="shared" si="7"/>
        <v>179.92344426263602</v>
      </c>
      <c r="AJ9" s="21">
        <f t="shared" si="8"/>
        <v>31.077685827182584</v>
      </c>
      <c r="AK9" s="21">
        <f t="shared" si="9"/>
        <v>23.989195155958068</v>
      </c>
      <c r="AL9" s="21">
        <f t="shared" si="10"/>
        <v>13.389318226581246</v>
      </c>
      <c r="AM9" s="21">
        <f t="shared" si="11"/>
        <v>22.315530377635412</v>
      </c>
      <c r="AN9" s="21">
        <f t="shared" si="12"/>
        <v>11.994597577979034</v>
      </c>
      <c r="AT9">
        <f t="shared" si="13"/>
        <v>0.79876802288572457</v>
      </c>
      <c r="AU9">
        <f t="shared" si="14"/>
        <v>0.20123197711427562</v>
      </c>
      <c r="AV9">
        <f t="shared" si="15"/>
        <v>0.15060238952853716</v>
      </c>
      <c r="AW9">
        <f t="shared" si="16"/>
        <v>0.70712928195899116</v>
      </c>
      <c r="AX9">
        <f t="shared" si="17"/>
        <v>0.74840187771455968</v>
      </c>
      <c r="AY9">
        <f t="shared" si="18"/>
        <v>0.88527490047026625</v>
      </c>
    </row>
    <row r="10" spans="1:53" x14ac:dyDescent="0.3">
      <c r="A10" t="s">
        <v>23</v>
      </c>
      <c r="B10" t="s">
        <v>14</v>
      </c>
      <c r="C10">
        <v>2003</v>
      </c>
      <c r="D10">
        <v>282</v>
      </c>
      <c r="E10">
        <v>21</v>
      </c>
      <c r="F10">
        <v>272</v>
      </c>
      <c r="G10">
        <v>12</v>
      </c>
      <c r="H10">
        <v>222</v>
      </c>
      <c r="I10">
        <v>114</v>
      </c>
      <c r="J10">
        <v>130</v>
      </c>
      <c r="K10">
        <v>109</v>
      </c>
      <c r="Q10">
        <v>11182</v>
      </c>
      <c r="R10">
        <v>3678</v>
      </c>
      <c r="U10" s="13">
        <f t="shared" si="0"/>
        <v>0.75248990578734853</v>
      </c>
      <c r="V10" s="13">
        <f t="shared" si="19"/>
        <v>0.24751009421265147</v>
      </c>
      <c r="W10" s="13"/>
      <c r="X10" s="13"/>
      <c r="Y10" s="13">
        <f t="shared" si="1"/>
        <v>0.47417840375586856</v>
      </c>
      <c r="Z10" s="13">
        <f t="shared" si="2"/>
        <v>0.5258215962441315</v>
      </c>
      <c r="AA10" s="13"/>
      <c r="AC10" s="14">
        <f t="shared" si="3"/>
        <v>1.5869341577495568</v>
      </c>
      <c r="AD10" s="14">
        <f t="shared" si="4"/>
        <v>0.47071116131513174</v>
      </c>
      <c r="AE10" s="14"/>
      <c r="AG10" s="21">
        <f t="shared" si="5"/>
        <v>447.51543248537502</v>
      </c>
      <c r="AH10" s="21">
        <f t="shared" si="6"/>
        <v>33.32561731274069</v>
      </c>
      <c r="AI10" s="21">
        <f t="shared" si="7"/>
        <v>431.64609090787945</v>
      </c>
      <c r="AJ10" s="21">
        <f t="shared" si="8"/>
        <v>19.043209892994682</v>
      </c>
      <c r="AK10" s="21">
        <f t="shared" si="9"/>
        <v>104.49787781195924</v>
      </c>
      <c r="AL10" s="21">
        <f t="shared" si="10"/>
        <v>53.661072389925017</v>
      </c>
      <c r="AM10" s="21">
        <f t="shared" si="11"/>
        <v>61.19245097096713</v>
      </c>
      <c r="AN10" s="21">
        <f t="shared" si="12"/>
        <v>51.307516583349361</v>
      </c>
      <c r="AT10">
        <f t="shared" si="13"/>
        <v>0.86387059514449804</v>
      </c>
      <c r="AU10">
        <f t="shared" si="14"/>
        <v>0.13612940485550187</v>
      </c>
      <c r="AV10">
        <f t="shared" si="15"/>
        <v>0.11009503360930212</v>
      </c>
      <c r="AW10">
        <f t="shared" si="16"/>
        <v>0.77126532375406354</v>
      </c>
      <c r="AX10">
        <f t="shared" si="17"/>
        <v>0.80875277260019884</v>
      </c>
      <c r="AY10">
        <f t="shared" si="18"/>
        <v>0.89280191742729176</v>
      </c>
    </row>
    <row r="11" spans="1:53" x14ac:dyDescent="0.3">
      <c r="A11" t="s">
        <v>23</v>
      </c>
      <c r="B11" t="s">
        <v>14</v>
      </c>
      <c r="C11">
        <v>2004</v>
      </c>
      <c r="D11">
        <v>514</v>
      </c>
      <c r="E11">
        <v>119</v>
      </c>
      <c r="F11">
        <v>481</v>
      </c>
      <c r="G11">
        <v>98</v>
      </c>
      <c r="H11">
        <v>122</v>
      </c>
      <c r="I11">
        <v>70</v>
      </c>
      <c r="J11">
        <v>91</v>
      </c>
      <c r="K11">
        <v>62</v>
      </c>
      <c r="Q11">
        <v>13663</v>
      </c>
      <c r="R11">
        <v>3879</v>
      </c>
      <c r="U11" s="13">
        <f t="shared" si="0"/>
        <v>0.7788735605974233</v>
      </c>
      <c r="V11" s="13">
        <f t="shared" si="19"/>
        <v>0.2211264394025767</v>
      </c>
      <c r="W11" s="13"/>
      <c r="X11" s="13"/>
      <c r="Y11" s="13">
        <f t="shared" si="1"/>
        <v>0.76727272727272722</v>
      </c>
      <c r="Z11" s="13">
        <f t="shared" si="2"/>
        <v>0.23272727272727278</v>
      </c>
      <c r="AA11" s="13"/>
      <c r="AC11" s="14">
        <f t="shared" si="3"/>
        <v>1.0151195694990114</v>
      </c>
      <c r="AD11" s="14">
        <f t="shared" si="4"/>
        <v>0.95015266930794651</v>
      </c>
      <c r="AE11" s="14"/>
      <c r="AG11" s="21">
        <f t="shared" si="5"/>
        <v>521.77145872249184</v>
      </c>
      <c r="AH11" s="21">
        <f t="shared" si="6"/>
        <v>120.79922877038236</v>
      </c>
      <c r="AI11" s="21">
        <f t="shared" si="7"/>
        <v>488.27251292902446</v>
      </c>
      <c r="AJ11" s="21">
        <f t="shared" si="8"/>
        <v>99.48171781090312</v>
      </c>
      <c r="AK11" s="21">
        <f t="shared" si="9"/>
        <v>115.91862565556947</v>
      </c>
      <c r="AL11" s="21">
        <f t="shared" si="10"/>
        <v>66.510686851556258</v>
      </c>
      <c r="AM11" s="21">
        <f t="shared" si="11"/>
        <v>86.463892907023137</v>
      </c>
      <c r="AN11" s="21">
        <f t="shared" si="12"/>
        <v>58.909465497092683</v>
      </c>
      <c r="AT11">
        <f t="shared" si="13"/>
        <v>0.77295767803401383</v>
      </c>
      <c r="AU11">
        <f t="shared" si="14"/>
        <v>0.22704232196598623</v>
      </c>
      <c r="AV11">
        <f t="shared" si="15"/>
        <v>0.19198931310060099</v>
      </c>
      <c r="AW11">
        <f t="shared" si="16"/>
        <v>0.69665018889217911</v>
      </c>
      <c r="AX11">
        <f t="shared" si="17"/>
        <v>0.84561024322753087</v>
      </c>
      <c r="AY11">
        <f t="shared" si="18"/>
        <v>0.9012785676236249</v>
      </c>
    </row>
    <row r="12" spans="1:53" x14ac:dyDescent="0.3">
      <c r="A12" t="s">
        <v>23</v>
      </c>
      <c r="B12" t="s">
        <v>14</v>
      </c>
      <c r="C12">
        <v>2005</v>
      </c>
      <c r="D12">
        <v>304</v>
      </c>
      <c r="E12">
        <v>120</v>
      </c>
      <c r="F12">
        <v>283</v>
      </c>
      <c r="G12">
        <v>75</v>
      </c>
      <c r="H12">
        <v>61</v>
      </c>
      <c r="I12">
        <v>64</v>
      </c>
      <c r="J12">
        <v>50</v>
      </c>
      <c r="K12">
        <v>57</v>
      </c>
      <c r="Q12">
        <v>15468</v>
      </c>
      <c r="R12">
        <v>4535</v>
      </c>
      <c r="U12" s="13">
        <f t="shared" si="0"/>
        <v>0.77328400739889014</v>
      </c>
      <c r="V12" s="13">
        <f t="shared" si="19"/>
        <v>0.22671599260110986</v>
      </c>
      <c r="W12" s="13"/>
      <c r="X12" s="13"/>
      <c r="Y12" s="13">
        <f t="shared" si="1"/>
        <v>0.77231329690346084</v>
      </c>
      <c r="Z12" s="13">
        <f t="shared" si="2"/>
        <v>0.22768670309653916</v>
      </c>
      <c r="AA12" s="13"/>
      <c r="AC12" s="14">
        <f t="shared" si="3"/>
        <v>1.0012568869386573</v>
      </c>
      <c r="AD12" s="14">
        <f t="shared" si="4"/>
        <v>0.99573663950407454</v>
      </c>
      <c r="AE12" s="14"/>
      <c r="AG12" s="21">
        <f t="shared" si="5"/>
        <v>304.38209362935186</v>
      </c>
      <c r="AH12" s="21">
        <f t="shared" si="6"/>
        <v>120.15082643263888</v>
      </c>
      <c r="AI12" s="21">
        <f t="shared" si="7"/>
        <v>283.35569900364004</v>
      </c>
      <c r="AJ12" s="21">
        <f t="shared" si="8"/>
        <v>75.094266520399302</v>
      </c>
      <c r="AK12" s="21">
        <f t="shared" si="9"/>
        <v>60.73993500974855</v>
      </c>
      <c r="AL12" s="21">
        <f t="shared" si="10"/>
        <v>63.72714492826077</v>
      </c>
      <c r="AM12" s="21">
        <f t="shared" si="11"/>
        <v>49.786831975203725</v>
      </c>
      <c r="AN12" s="21">
        <f t="shared" si="12"/>
        <v>56.756988451732248</v>
      </c>
      <c r="AT12">
        <f t="shared" si="13"/>
        <v>0.66506744743005541</v>
      </c>
      <c r="AU12">
        <f t="shared" si="14"/>
        <v>0.33493255256994475</v>
      </c>
      <c r="AV12">
        <f t="shared" si="15"/>
        <v>0.2401662203499664</v>
      </c>
      <c r="AW12">
        <f t="shared" si="16"/>
        <v>0.60681699631847674</v>
      </c>
      <c r="AX12">
        <f t="shared" si="17"/>
        <v>0.71705846000087414</v>
      </c>
      <c r="AY12">
        <f t="shared" si="18"/>
        <v>0.91241422003637496</v>
      </c>
    </row>
    <row r="13" spans="1:53" x14ac:dyDescent="0.3">
      <c r="A13" t="s">
        <v>23</v>
      </c>
      <c r="B13" t="s">
        <v>14</v>
      </c>
      <c r="C13">
        <v>2006</v>
      </c>
      <c r="D13">
        <v>461</v>
      </c>
      <c r="E13">
        <v>109</v>
      </c>
      <c r="F13">
        <v>436</v>
      </c>
      <c r="G13">
        <v>59</v>
      </c>
      <c r="H13">
        <v>108</v>
      </c>
      <c r="I13">
        <v>63</v>
      </c>
      <c r="J13">
        <v>80</v>
      </c>
      <c r="K13">
        <v>61</v>
      </c>
      <c r="Q13">
        <v>14227</v>
      </c>
      <c r="R13">
        <v>2847</v>
      </c>
      <c r="U13" s="13">
        <f t="shared" si="0"/>
        <v>0.83325524188825117</v>
      </c>
      <c r="V13" s="13">
        <f t="shared" si="19"/>
        <v>0.16674475811174883</v>
      </c>
      <c r="W13" s="13"/>
      <c r="X13" s="13"/>
      <c r="Y13" s="13">
        <f t="shared" si="1"/>
        <v>0.76923076923076927</v>
      </c>
      <c r="Z13" s="13">
        <f t="shared" si="2"/>
        <v>0.23076923076923073</v>
      </c>
      <c r="AA13" s="13"/>
      <c r="AC13" s="14">
        <f t="shared" si="3"/>
        <v>1.0832318144547264</v>
      </c>
      <c r="AD13" s="14">
        <f t="shared" si="4"/>
        <v>0.72256061848424502</v>
      </c>
      <c r="AE13" s="14"/>
      <c r="AG13" s="21">
        <f t="shared" si="5"/>
        <v>499.36986646362885</v>
      </c>
      <c r="AH13" s="21">
        <f t="shared" si="6"/>
        <v>118.07226777556518</v>
      </c>
      <c r="AI13" s="21">
        <f t="shared" si="7"/>
        <v>472.28907110226072</v>
      </c>
      <c r="AJ13" s="21">
        <f t="shared" si="8"/>
        <v>63.910677052828859</v>
      </c>
      <c r="AK13" s="21">
        <f t="shared" si="9"/>
        <v>78.036546796298467</v>
      </c>
      <c r="AL13" s="21">
        <f t="shared" si="10"/>
        <v>45.521318964507437</v>
      </c>
      <c r="AM13" s="21">
        <f t="shared" si="11"/>
        <v>57.804849478739598</v>
      </c>
      <c r="AN13" s="21">
        <f t="shared" si="12"/>
        <v>44.076197727538947</v>
      </c>
      <c r="AT13">
        <f t="shared" si="13"/>
        <v>0.77922592882581287</v>
      </c>
      <c r="AU13">
        <f t="shared" si="14"/>
        <v>0.22077407117418707</v>
      </c>
      <c r="AV13">
        <f t="shared" si="15"/>
        <v>0.145731275007244</v>
      </c>
      <c r="AW13">
        <f t="shared" si="16"/>
        <v>0.71537641104048633</v>
      </c>
      <c r="AX13">
        <f t="shared" si="17"/>
        <v>0.66009234794725702</v>
      </c>
      <c r="AY13">
        <f t="shared" si="18"/>
        <v>0.9180603270202532</v>
      </c>
    </row>
    <row r="14" spans="1:53" x14ac:dyDescent="0.3">
      <c r="A14" t="s">
        <v>23</v>
      </c>
      <c r="B14" t="s">
        <v>14</v>
      </c>
      <c r="C14">
        <v>2007</v>
      </c>
      <c r="D14">
        <v>329</v>
      </c>
      <c r="E14">
        <v>50</v>
      </c>
      <c r="F14">
        <v>322</v>
      </c>
      <c r="G14">
        <v>22</v>
      </c>
      <c r="H14">
        <v>203</v>
      </c>
      <c r="I14">
        <v>33</v>
      </c>
      <c r="J14">
        <v>186</v>
      </c>
      <c r="K14">
        <v>32</v>
      </c>
      <c r="Q14">
        <v>15564</v>
      </c>
      <c r="R14">
        <v>4942</v>
      </c>
      <c r="U14" s="13">
        <f t="shared" si="0"/>
        <v>0.75899736662440265</v>
      </c>
      <c r="V14" s="13">
        <f t="shared" si="19"/>
        <v>0.24100263337559735</v>
      </c>
      <c r="W14" s="13"/>
      <c r="X14" s="13"/>
      <c r="Y14" s="13">
        <f t="shared" si="1"/>
        <v>0.61626016260162597</v>
      </c>
      <c r="Z14" s="13">
        <f t="shared" si="2"/>
        <v>0.38373983739837403</v>
      </c>
      <c r="AA14" s="13"/>
      <c r="AC14" s="14">
        <f t="shared" si="3"/>
        <v>1.2316184181372234</v>
      </c>
      <c r="AD14" s="14">
        <f t="shared" si="4"/>
        <v>0.62803652341522187</v>
      </c>
      <c r="AE14" s="14"/>
      <c r="AG14" s="21">
        <f t="shared" si="5"/>
        <v>405.20245956714649</v>
      </c>
      <c r="AH14" s="21">
        <f t="shared" si="6"/>
        <v>61.580920906861166</v>
      </c>
      <c r="AI14" s="21">
        <f t="shared" si="7"/>
        <v>396.5811306401859</v>
      </c>
      <c r="AJ14" s="21">
        <f t="shared" si="8"/>
        <v>27.095605199018916</v>
      </c>
      <c r="AK14" s="21">
        <f t="shared" si="9"/>
        <v>127.49141425329005</v>
      </c>
      <c r="AL14" s="21">
        <f t="shared" si="10"/>
        <v>20.725205272702322</v>
      </c>
      <c r="AM14" s="21">
        <f t="shared" si="11"/>
        <v>116.81479335523127</v>
      </c>
      <c r="AN14" s="21">
        <f t="shared" si="12"/>
        <v>20.0971687492871</v>
      </c>
      <c r="AT14">
        <f t="shared" si="13"/>
        <v>0.86616890052103512</v>
      </c>
      <c r="AU14">
        <f t="shared" si="14"/>
        <v>0.13383109947896502</v>
      </c>
      <c r="AV14">
        <f t="shared" si="15"/>
        <v>7.6736217802123599E-2</v>
      </c>
      <c r="AW14">
        <f t="shared" si="16"/>
        <v>0.83479012031775157</v>
      </c>
      <c r="AX14">
        <f t="shared" si="17"/>
        <v>0.57338106091091823</v>
      </c>
      <c r="AY14">
        <f t="shared" si="18"/>
        <v>0.96377290828104312</v>
      </c>
    </row>
    <row r="15" spans="1:53" x14ac:dyDescent="0.3">
      <c r="A15" t="s">
        <v>23</v>
      </c>
      <c r="B15" t="s">
        <v>14</v>
      </c>
      <c r="C15">
        <v>2008</v>
      </c>
      <c r="D15">
        <v>430</v>
      </c>
      <c r="E15">
        <v>89</v>
      </c>
      <c r="F15">
        <v>408</v>
      </c>
      <c r="G15">
        <v>62</v>
      </c>
      <c r="H15">
        <v>144</v>
      </c>
      <c r="I15">
        <v>49</v>
      </c>
      <c r="J15">
        <v>141</v>
      </c>
      <c r="K15">
        <v>40</v>
      </c>
      <c r="Q15">
        <v>19373</v>
      </c>
      <c r="R15">
        <v>4557</v>
      </c>
      <c r="U15" s="13">
        <f t="shared" si="0"/>
        <v>0.80956957793564566</v>
      </c>
      <c r="V15" s="13">
        <f t="shared" si="19"/>
        <v>0.19043042206435434</v>
      </c>
      <c r="W15" s="13"/>
      <c r="X15" s="13"/>
      <c r="Y15" s="13">
        <f t="shared" si="1"/>
        <v>0.7289325842696629</v>
      </c>
      <c r="Z15" s="13">
        <f t="shared" si="2"/>
        <v>0.2710674157303371</v>
      </c>
      <c r="AA15" s="13"/>
      <c r="AC15" s="14">
        <f t="shared" si="3"/>
        <v>1.1106233901544889</v>
      </c>
      <c r="AD15" s="14">
        <f t="shared" si="4"/>
        <v>0.70252052077627092</v>
      </c>
      <c r="AE15" s="14"/>
      <c r="AG15" s="21">
        <f t="shared" si="5"/>
        <v>477.56805776643023</v>
      </c>
      <c r="AH15" s="21">
        <f t="shared" si="6"/>
        <v>98.845481723749515</v>
      </c>
      <c r="AI15" s="21">
        <f t="shared" si="7"/>
        <v>453.13434318303143</v>
      </c>
      <c r="AJ15" s="21">
        <f t="shared" si="8"/>
        <v>68.858650189578313</v>
      </c>
      <c r="AK15" s="21">
        <f t="shared" si="9"/>
        <v>101.16295499178301</v>
      </c>
      <c r="AL15" s="21">
        <f t="shared" si="10"/>
        <v>34.423505518037274</v>
      </c>
      <c r="AM15" s="21">
        <f t="shared" si="11"/>
        <v>99.055393429454199</v>
      </c>
      <c r="AN15" s="21">
        <f t="shared" si="12"/>
        <v>28.100820831050836</v>
      </c>
      <c r="AT15">
        <f t="shared" si="13"/>
        <v>0.81282445612108589</v>
      </c>
      <c r="AU15">
        <f t="shared" si="14"/>
        <v>0.18717554387891402</v>
      </c>
      <c r="AV15">
        <f t="shared" si="15"/>
        <v>0.13617903233234432</v>
      </c>
      <c r="AW15">
        <f t="shared" si="16"/>
        <v>0.77554738288270453</v>
      </c>
      <c r="AX15">
        <f t="shared" si="17"/>
        <v>0.72754714376809859</v>
      </c>
      <c r="AY15">
        <f t="shared" si="18"/>
        <v>0.95413883901048824</v>
      </c>
    </row>
    <row r="16" spans="1:53" x14ac:dyDescent="0.3">
      <c r="A16" t="s">
        <v>23</v>
      </c>
      <c r="B16" t="s">
        <v>14</v>
      </c>
      <c r="C16">
        <v>2009</v>
      </c>
      <c r="D16">
        <v>528</v>
      </c>
      <c r="E16">
        <v>125</v>
      </c>
      <c r="F16">
        <v>418</v>
      </c>
      <c r="G16">
        <v>66</v>
      </c>
      <c r="H16">
        <v>263</v>
      </c>
      <c r="I16">
        <v>36</v>
      </c>
      <c r="J16">
        <v>233</v>
      </c>
      <c r="K16">
        <v>35</v>
      </c>
      <c r="Q16">
        <v>13587</v>
      </c>
      <c r="R16">
        <v>6271</v>
      </c>
      <c r="U16" s="13">
        <f t="shared" si="0"/>
        <v>0.6842078759190251</v>
      </c>
      <c r="V16" s="13">
        <f t="shared" si="19"/>
        <v>0.3157921240809749</v>
      </c>
      <c r="W16" s="13"/>
      <c r="X16" s="13"/>
      <c r="Y16" s="13">
        <f t="shared" si="1"/>
        <v>0.68592436974789917</v>
      </c>
      <c r="Z16" s="13">
        <f t="shared" si="2"/>
        <v>0.31407563025210083</v>
      </c>
      <c r="AA16" s="13"/>
      <c r="AC16" s="14">
        <f t="shared" si="3"/>
        <v>0.99749754651594469</v>
      </c>
      <c r="AD16" s="14">
        <f t="shared" si="4"/>
        <v>1.0054652244986224</v>
      </c>
      <c r="AE16" s="14"/>
      <c r="AG16" s="21">
        <f t="shared" si="5"/>
        <v>526.67870456041885</v>
      </c>
      <c r="AH16" s="21">
        <f t="shared" si="6"/>
        <v>124.68719331449309</v>
      </c>
      <c r="AI16" s="21">
        <f t="shared" si="7"/>
        <v>416.95397444366489</v>
      </c>
      <c r="AJ16" s="21">
        <f t="shared" si="8"/>
        <v>65.834838070052356</v>
      </c>
      <c r="AK16" s="21">
        <f t="shared" si="9"/>
        <v>264.4373540431377</v>
      </c>
      <c r="AL16" s="21">
        <f t="shared" si="10"/>
        <v>36.196748081950403</v>
      </c>
      <c r="AM16" s="21">
        <f t="shared" si="11"/>
        <v>234.27339730817903</v>
      </c>
      <c r="AN16" s="21">
        <f t="shared" si="12"/>
        <v>35.191282857451782</v>
      </c>
      <c r="AT16">
        <f t="shared" si="13"/>
        <v>0.83100426323902987</v>
      </c>
      <c r="AU16">
        <f t="shared" si="14"/>
        <v>0.16899573676097004</v>
      </c>
      <c r="AV16">
        <f t="shared" si="15"/>
        <v>0.10611987492384888</v>
      </c>
      <c r="AW16">
        <f t="shared" si="16"/>
        <v>0.68406236528555031</v>
      </c>
      <c r="AX16">
        <f t="shared" si="17"/>
        <v>0.62794409467231893</v>
      </c>
      <c r="AY16">
        <f t="shared" si="18"/>
        <v>0.82317551852172233</v>
      </c>
    </row>
    <row r="17" spans="1:51" x14ac:dyDescent="0.3">
      <c r="A17" t="s">
        <v>23</v>
      </c>
      <c r="B17" t="s">
        <v>14</v>
      </c>
      <c r="C17">
        <v>2010</v>
      </c>
      <c r="D17">
        <v>444</v>
      </c>
      <c r="E17">
        <v>197</v>
      </c>
      <c r="F17">
        <v>405</v>
      </c>
      <c r="G17">
        <v>137</v>
      </c>
      <c r="H17">
        <v>401</v>
      </c>
      <c r="I17">
        <v>78</v>
      </c>
      <c r="J17">
        <v>306</v>
      </c>
      <c r="K17">
        <v>62</v>
      </c>
      <c r="Q17">
        <v>16722</v>
      </c>
      <c r="R17">
        <v>8314</v>
      </c>
      <c r="U17" s="13">
        <f t="shared" si="0"/>
        <v>0.66791819779517492</v>
      </c>
      <c r="V17" s="13">
        <f t="shared" si="19"/>
        <v>0.33208180220482508</v>
      </c>
      <c r="W17" s="13"/>
      <c r="X17" s="13"/>
      <c r="Y17" s="13">
        <f t="shared" si="1"/>
        <v>0.57232142857142854</v>
      </c>
      <c r="Z17" s="13">
        <f t="shared" si="2"/>
        <v>0.42767857142857146</v>
      </c>
      <c r="AA17" s="13"/>
      <c r="AC17" s="14">
        <f t="shared" si="3"/>
        <v>1.1670333565219906</v>
      </c>
      <c r="AD17" s="14">
        <f t="shared" si="4"/>
        <v>0.77647519513445529</v>
      </c>
      <c r="AE17" s="14"/>
      <c r="AG17" s="21">
        <f t="shared" si="5"/>
        <v>518.16281029576385</v>
      </c>
      <c r="AH17" s="21">
        <f t="shared" si="6"/>
        <v>229.90557123483214</v>
      </c>
      <c r="AI17" s="21">
        <f t="shared" si="7"/>
        <v>472.64850939140621</v>
      </c>
      <c r="AJ17" s="21">
        <f t="shared" si="8"/>
        <v>159.8835698435127</v>
      </c>
      <c r="AK17" s="21">
        <f t="shared" si="9"/>
        <v>311.36655324891655</v>
      </c>
      <c r="AL17" s="21">
        <f t="shared" si="10"/>
        <v>60.565065220487512</v>
      </c>
      <c r="AM17" s="21">
        <f t="shared" si="11"/>
        <v>237.6014097111433</v>
      </c>
      <c r="AN17" s="21">
        <f t="shared" si="12"/>
        <v>48.141462098336227</v>
      </c>
      <c r="AT17">
        <f t="shared" si="13"/>
        <v>0.74065121745060747</v>
      </c>
      <c r="AU17">
        <f t="shared" si="14"/>
        <v>0.25934878254939253</v>
      </c>
      <c r="AV17">
        <f t="shared" si="15"/>
        <v>0.18573663566236512</v>
      </c>
      <c r="AW17">
        <f t="shared" si="16"/>
        <v>0.63415171348441923</v>
      </c>
      <c r="AX17">
        <f t="shared" si="17"/>
        <v>0.71616544267753357</v>
      </c>
      <c r="AY17">
        <f t="shared" si="18"/>
        <v>0.85620829149141242</v>
      </c>
    </row>
    <row r="18" spans="1:51" x14ac:dyDescent="0.3">
      <c r="A18" t="s">
        <v>23</v>
      </c>
      <c r="B18" t="s">
        <v>14</v>
      </c>
      <c r="C18">
        <v>2011</v>
      </c>
      <c r="D18">
        <v>446</v>
      </c>
      <c r="E18">
        <v>78</v>
      </c>
      <c r="F18">
        <v>347</v>
      </c>
      <c r="G18">
        <v>36</v>
      </c>
      <c r="H18">
        <v>261</v>
      </c>
      <c r="I18">
        <v>74</v>
      </c>
      <c r="J18">
        <v>215</v>
      </c>
      <c r="K18">
        <v>62</v>
      </c>
      <c r="Q18">
        <v>17887</v>
      </c>
      <c r="R18">
        <v>9657</v>
      </c>
      <c r="U18" s="13">
        <f t="shared" si="0"/>
        <v>0.6493973279117049</v>
      </c>
      <c r="V18" s="13">
        <f t="shared" si="19"/>
        <v>0.3506026720882951</v>
      </c>
      <c r="W18" s="13"/>
      <c r="X18" s="13"/>
      <c r="Y18" s="13">
        <f t="shared" si="1"/>
        <v>0.61001164144353903</v>
      </c>
      <c r="Z18" s="13">
        <f t="shared" si="2"/>
        <v>0.38998835855646097</v>
      </c>
      <c r="AA18" s="13"/>
      <c r="AC18" s="14">
        <f t="shared" si="3"/>
        <v>1.0645654669392262</v>
      </c>
      <c r="AD18" s="14">
        <f t="shared" si="4"/>
        <v>0.89900804574282245</v>
      </c>
      <c r="AE18" s="14"/>
      <c r="AG18" s="21">
        <f t="shared" si="5"/>
        <v>474.79619825489488</v>
      </c>
      <c r="AH18" s="21">
        <f t="shared" si="6"/>
        <v>83.036106421259646</v>
      </c>
      <c r="AI18" s="21">
        <f t="shared" si="7"/>
        <v>369.4042170279115</v>
      </c>
      <c r="AJ18" s="21">
        <f t="shared" si="8"/>
        <v>38.324356809812144</v>
      </c>
      <c r="AK18" s="21">
        <f t="shared" si="9"/>
        <v>234.64109993887666</v>
      </c>
      <c r="AL18" s="21">
        <f t="shared" si="10"/>
        <v>66.526595384968857</v>
      </c>
      <c r="AM18" s="21">
        <f t="shared" si="11"/>
        <v>193.28672983470682</v>
      </c>
      <c r="AN18" s="21">
        <f t="shared" si="12"/>
        <v>55.738498836054994</v>
      </c>
      <c r="AT18">
        <f t="shared" si="13"/>
        <v>0.82588742513826718</v>
      </c>
      <c r="AU18">
        <f t="shared" si="14"/>
        <v>0.17411257486173284</v>
      </c>
      <c r="AV18">
        <f t="shared" si="15"/>
        <v>0.109502742311836</v>
      </c>
      <c r="AW18">
        <f t="shared" si="16"/>
        <v>0.65505348878069658</v>
      </c>
      <c r="AX18">
        <f t="shared" si="17"/>
        <v>0.62891920585744521</v>
      </c>
      <c r="AY18">
        <f t="shared" si="18"/>
        <v>0.79315106253255985</v>
      </c>
    </row>
    <row r="19" spans="1:51" x14ac:dyDescent="0.3">
      <c r="A19" t="s">
        <v>23</v>
      </c>
      <c r="B19" t="s">
        <v>14</v>
      </c>
      <c r="C19">
        <v>2012</v>
      </c>
      <c r="D19">
        <v>425</v>
      </c>
      <c r="E19">
        <v>134</v>
      </c>
      <c r="F19">
        <v>368</v>
      </c>
      <c r="G19">
        <v>74</v>
      </c>
      <c r="H19">
        <v>195</v>
      </c>
      <c r="I19">
        <v>34</v>
      </c>
      <c r="J19">
        <v>181</v>
      </c>
      <c r="K19">
        <v>28</v>
      </c>
      <c r="Q19">
        <v>17508</v>
      </c>
      <c r="R19">
        <v>7855</v>
      </c>
      <c r="U19" s="13">
        <f t="shared" si="0"/>
        <v>0.69029688916926235</v>
      </c>
      <c r="V19" s="13">
        <f t="shared" si="19"/>
        <v>0.30970311083073765</v>
      </c>
      <c r="W19" s="13"/>
      <c r="X19" s="13"/>
      <c r="Y19" s="13">
        <f t="shared" si="1"/>
        <v>0.70939086294416243</v>
      </c>
      <c r="Z19" s="13">
        <f t="shared" si="2"/>
        <v>0.29060913705583757</v>
      </c>
      <c r="AA19" s="13"/>
      <c r="AC19" s="14">
        <f t="shared" si="3"/>
        <v>0.97308398687903175</v>
      </c>
      <c r="AD19" s="14">
        <f t="shared" si="4"/>
        <v>1.0657032809372107</v>
      </c>
      <c r="AE19" s="14"/>
      <c r="AG19" s="21">
        <f t="shared" si="5"/>
        <v>413.56069442358847</v>
      </c>
      <c r="AH19" s="21">
        <f t="shared" si="6"/>
        <v>130.39325424179026</v>
      </c>
      <c r="AI19" s="21">
        <f t="shared" si="7"/>
        <v>358.09490717148367</v>
      </c>
      <c r="AJ19" s="21">
        <f t="shared" si="8"/>
        <v>72.008215029048344</v>
      </c>
      <c r="AK19" s="21">
        <f t="shared" si="9"/>
        <v>207.81213978275608</v>
      </c>
      <c r="AL19" s="21">
        <f t="shared" si="10"/>
        <v>36.233911551865162</v>
      </c>
      <c r="AM19" s="21">
        <f t="shared" si="11"/>
        <v>192.89229384963514</v>
      </c>
      <c r="AN19" s="21">
        <f t="shared" si="12"/>
        <v>29.8396918662419</v>
      </c>
      <c r="AT19">
        <f t="shared" si="13"/>
        <v>0.78854420584561502</v>
      </c>
      <c r="AU19">
        <f t="shared" si="14"/>
        <v>0.21145579415438509</v>
      </c>
      <c r="AV19">
        <f t="shared" si="15"/>
        <v>0.12924861281128205</v>
      </c>
      <c r="AW19">
        <f t="shared" si="16"/>
        <v>0.69922233632121689</v>
      </c>
      <c r="AX19">
        <f t="shared" si="17"/>
        <v>0.61123230663008876</v>
      </c>
      <c r="AY19">
        <f t="shared" si="18"/>
        <v>0.88672560287395474</v>
      </c>
    </row>
    <row r="20" spans="1:51" x14ac:dyDescent="0.3">
      <c r="A20" t="s">
        <v>23</v>
      </c>
      <c r="B20" t="s">
        <v>14</v>
      </c>
      <c r="C20">
        <v>2013</v>
      </c>
      <c r="D20">
        <v>571</v>
      </c>
      <c r="E20">
        <v>119</v>
      </c>
      <c r="F20">
        <v>483</v>
      </c>
      <c r="G20">
        <v>60</v>
      </c>
      <c r="H20">
        <v>407</v>
      </c>
      <c r="I20">
        <v>93</v>
      </c>
      <c r="J20">
        <v>305</v>
      </c>
      <c r="K20">
        <v>71</v>
      </c>
      <c r="Q20">
        <v>17941</v>
      </c>
      <c r="R20">
        <v>8054</v>
      </c>
      <c r="U20" s="13">
        <f t="shared" si="0"/>
        <v>0.69017118676668587</v>
      </c>
      <c r="V20" s="13">
        <f t="shared" si="19"/>
        <v>0.30982881323331413</v>
      </c>
      <c r="W20" s="13"/>
      <c r="X20" s="13"/>
      <c r="Y20" s="13">
        <f t="shared" si="1"/>
        <v>0.57983193277310929</v>
      </c>
      <c r="Z20" s="13">
        <f t="shared" si="2"/>
        <v>0.42016806722689071</v>
      </c>
      <c r="AA20" s="13"/>
      <c r="AC20" s="14">
        <f t="shared" si="3"/>
        <v>1.1902952351483422</v>
      </c>
      <c r="AD20" s="14">
        <f t="shared" si="4"/>
        <v>0.73739257549528769</v>
      </c>
      <c r="AE20" s="14"/>
      <c r="AG20" s="21">
        <f t="shared" si="5"/>
        <v>679.65857926970341</v>
      </c>
      <c r="AH20" s="21">
        <f t="shared" si="6"/>
        <v>141.64513298265274</v>
      </c>
      <c r="AI20" s="21">
        <f t="shared" si="7"/>
        <v>574.91259857664932</v>
      </c>
      <c r="AJ20" s="21">
        <f t="shared" si="8"/>
        <v>71.41771410890054</v>
      </c>
      <c r="AK20" s="21">
        <f t="shared" si="9"/>
        <v>300.11877822658209</v>
      </c>
      <c r="AL20" s="21">
        <f t="shared" si="10"/>
        <v>68.577509521061756</v>
      </c>
      <c r="AM20" s="21">
        <f t="shared" si="11"/>
        <v>224.90473552606275</v>
      </c>
      <c r="AN20" s="21">
        <f t="shared" si="12"/>
        <v>52.354872860165429</v>
      </c>
      <c r="AT20">
        <f t="shared" si="13"/>
        <v>0.82334231722376938</v>
      </c>
      <c r="AU20">
        <f t="shared" si="14"/>
        <v>0.17665768277623067</v>
      </c>
      <c r="AV20">
        <f t="shared" si="15"/>
        <v>0.10401057728492939</v>
      </c>
      <c r="AW20">
        <f t="shared" si="16"/>
        <v>0.67211540680900173</v>
      </c>
      <c r="AX20">
        <f t="shared" si="17"/>
        <v>0.58876905691488013</v>
      </c>
      <c r="AY20">
        <f t="shared" si="18"/>
        <v>0.81632559477242694</v>
      </c>
    </row>
    <row r="21" spans="1:51" x14ac:dyDescent="0.3">
      <c r="A21" t="s">
        <v>23</v>
      </c>
      <c r="B21" t="s">
        <v>14</v>
      </c>
      <c r="C21">
        <v>2014</v>
      </c>
      <c r="D21">
        <v>464</v>
      </c>
      <c r="E21">
        <f>89+35</f>
        <v>124</v>
      </c>
      <c r="F21">
        <v>387</v>
      </c>
      <c r="G21">
        <v>38</v>
      </c>
      <c r="H21">
        <v>290</v>
      </c>
      <c r="I21">
        <v>57</v>
      </c>
      <c r="J21">
        <v>250</v>
      </c>
      <c r="K21">
        <v>35</v>
      </c>
      <c r="Q21">
        <v>22647</v>
      </c>
      <c r="R21">
        <v>10039</v>
      </c>
      <c r="U21" s="13">
        <f t="shared" si="0"/>
        <v>0.69286544698035857</v>
      </c>
      <c r="V21" s="13">
        <f t="shared" si="19"/>
        <v>0.30713455301964143</v>
      </c>
      <c r="W21" s="13"/>
      <c r="X21" s="13"/>
      <c r="Y21" s="13">
        <f t="shared" si="1"/>
        <v>0.62887700534759361</v>
      </c>
      <c r="Z21" s="13">
        <f t="shared" si="2"/>
        <v>0.37112299465240639</v>
      </c>
      <c r="AA21" s="13"/>
      <c r="AC21" s="14">
        <f t="shared" si="3"/>
        <v>1.1017503281065224</v>
      </c>
      <c r="AD21" s="14">
        <f t="shared" si="4"/>
        <v>0.82758157658030185</v>
      </c>
      <c r="AE21" s="14"/>
      <c r="AG21" s="21">
        <f t="shared" si="5"/>
        <v>511.21215224142639</v>
      </c>
      <c r="AH21" s="21">
        <f t="shared" si="6"/>
        <v>136.61704068520879</v>
      </c>
      <c r="AI21" s="21">
        <f t="shared" si="7"/>
        <v>426.37737697722417</v>
      </c>
      <c r="AJ21" s="21">
        <f t="shared" si="8"/>
        <v>41.866512468047851</v>
      </c>
      <c r="AK21" s="21">
        <f t="shared" si="9"/>
        <v>239.99865720828754</v>
      </c>
      <c r="AL21" s="21">
        <f t="shared" si="10"/>
        <v>47.172149865077202</v>
      </c>
      <c r="AM21" s="21">
        <f t="shared" si="11"/>
        <v>206.89539414507547</v>
      </c>
      <c r="AN21" s="21">
        <f t="shared" si="12"/>
        <v>28.965355180310564</v>
      </c>
      <c r="AT21">
        <f t="shared" si="13"/>
        <v>0.80343402080183302</v>
      </c>
      <c r="AU21">
        <f t="shared" si="14"/>
        <v>0.19656597919816682</v>
      </c>
      <c r="AV21">
        <f t="shared" si="15"/>
        <v>7.5756008180062478E-2</v>
      </c>
      <c r="AW21">
        <f t="shared" si="16"/>
        <v>0.67729708141422429</v>
      </c>
      <c r="AX21">
        <f t="shared" si="17"/>
        <v>0.38539735354554666</v>
      </c>
      <c r="AY21">
        <f t="shared" si="18"/>
        <v>0.84300274058382141</v>
      </c>
    </row>
    <row r="22" spans="1:51" x14ac:dyDescent="0.3">
      <c r="A22" t="s">
        <v>23</v>
      </c>
      <c r="B22" t="s">
        <v>14</v>
      </c>
      <c r="C22">
        <v>2015</v>
      </c>
      <c r="D22">
        <v>219</v>
      </c>
      <c r="E22">
        <v>35</v>
      </c>
      <c r="F22">
        <v>176</v>
      </c>
      <c r="G22">
        <v>8</v>
      </c>
      <c r="H22">
        <v>203</v>
      </c>
      <c r="I22">
        <v>37</v>
      </c>
      <c r="J22">
        <v>181</v>
      </c>
      <c r="K22">
        <v>22</v>
      </c>
      <c r="Q22">
        <v>29781</v>
      </c>
      <c r="R22">
        <v>12283</v>
      </c>
      <c r="U22" s="13">
        <f t="shared" si="0"/>
        <v>0.70799258273107646</v>
      </c>
      <c r="V22" s="13">
        <f t="shared" si="19"/>
        <v>0.29200741726892354</v>
      </c>
      <c r="W22" s="13"/>
      <c r="X22" s="13"/>
      <c r="Y22" s="13">
        <f t="shared" si="1"/>
        <v>0.51417004048582993</v>
      </c>
      <c r="Z22" s="13">
        <f t="shared" si="2"/>
        <v>0.48582995951417007</v>
      </c>
      <c r="AA22" s="13"/>
      <c r="AC22" s="14">
        <f t="shared" si="3"/>
        <v>1.376961952240755</v>
      </c>
      <c r="AD22" s="14">
        <f t="shared" si="4"/>
        <v>0.60104860054520093</v>
      </c>
      <c r="AE22" s="14"/>
      <c r="AG22" s="21">
        <f t="shared" si="5"/>
        <v>301.55466754072535</v>
      </c>
      <c r="AH22" s="21">
        <f t="shared" si="6"/>
        <v>48.193668328426426</v>
      </c>
      <c r="AI22" s="21">
        <f t="shared" si="7"/>
        <v>242.34530359437289</v>
      </c>
      <c r="AJ22" s="21">
        <f t="shared" si="8"/>
        <v>11.01569561792604</v>
      </c>
      <c r="AK22" s="21">
        <f t="shared" si="9"/>
        <v>122.01286591067579</v>
      </c>
      <c r="AL22" s="21">
        <f t="shared" si="10"/>
        <v>22.238798220172434</v>
      </c>
      <c r="AM22" s="21">
        <f t="shared" si="11"/>
        <v>108.78979669868137</v>
      </c>
      <c r="AN22" s="21">
        <f t="shared" si="12"/>
        <v>13.223069211994421</v>
      </c>
      <c r="AT22">
        <f t="shared" si="13"/>
        <v>0.8574241567842128</v>
      </c>
      <c r="AU22">
        <f t="shared" si="14"/>
        <v>0.14257584321578715</v>
      </c>
      <c r="AV22">
        <f t="shared" si="15"/>
        <v>4.906632556664061E-2</v>
      </c>
      <c r="AW22">
        <f t="shared" si="16"/>
        <v>0.71079979816407746</v>
      </c>
      <c r="AX22">
        <f t="shared" si="17"/>
        <v>0.3441419279728839</v>
      </c>
      <c r="AY22">
        <f t="shared" si="18"/>
        <v>0.828994369402825</v>
      </c>
    </row>
    <row r="23" spans="1:51" x14ac:dyDescent="0.3">
      <c r="A23" t="s">
        <v>23</v>
      </c>
      <c r="B23" t="s">
        <v>14</v>
      </c>
      <c r="C23">
        <v>2016</v>
      </c>
      <c r="D23">
        <v>966</v>
      </c>
      <c r="E23">
        <v>163</v>
      </c>
      <c r="F23">
        <v>818</v>
      </c>
      <c r="G23">
        <v>67</v>
      </c>
      <c r="H23">
        <v>221</v>
      </c>
      <c r="I23">
        <v>14</v>
      </c>
      <c r="J23">
        <v>192</v>
      </c>
      <c r="K23">
        <v>8</v>
      </c>
      <c r="Q23">
        <v>40409</v>
      </c>
      <c r="R23">
        <v>13081</v>
      </c>
      <c r="U23" s="13">
        <f t="shared" si="0"/>
        <v>0.75544961675079458</v>
      </c>
      <c r="V23" s="13">
        <f t="shared" si="19"/>
        <v>0.24455038324920542</v>
      </c>
      <c r="W23" s="13"/>
      <c r="X23" s="13"/>
      <c r="Y23" s="13">
        <f t="shared" si="1"/>
        <v>0.82771260997067453</v>
      </c>
      <c r="Z23" s="13">
        <f t="shared" si="2"/>
        <v>0.17228739002932547</v>
      </c>
      <c r="AA23" s="13"/>
      <c r="AC23" s="14">
        <f t="shared" si="3"/>
        <v>0.91269555114976419</v>
      </c>
      <c r="AD23" s="14">
        <f t="shared" si="4"/>
        <v>1.4194328627741117</v>
      </c>
      <c r="AE23" s="14"/>
      <c r="AG23" s="21">
        <f t="shared" si="5"/>
        <v>881.66390241067222</v>
      </c>
      <c r="AH23" s="21">
        <f t="shared" si="6"/>
        <v>148.76937483741156</v>
      </c>
      <c r="AI23" s="21">
        <f t="shared" si="7"/>
        <v>746.58496084050716</v>
      </c>
      <c r="AJ23" s="21">
        <f t="shared" si="8"/>
        <v>61.150601927034202</v>
      </c>
      <c r="AK23" s="21">
        <f t="shared" si="9"/>
        <v>313.69466267307871</v>
      </c>
      <c r="AL23" s="21">
        <f t="shared" si="10"/>
        <v>19.872060078837563</v>
      </c>
      <c r="AM23" s="21">
        <f t="shared" si="11"/>
        <v>272.53110965262942</v>
      </c>
      <c r="AN23" s="21">
        <f t="shared" si="12"/>
        <v>11.355462902192894</v>
      </c>
      <c r="AT23">
        <f t="shared" si="13"/>
        <v>0.87636258437225123</v>
      </c>
      <c r="AU23">
        <f t="shared" si="14"/>
        <v>0.1236374156277486</v>
      </c>
      <c r="AV23">
        <f t="shared" si="15"/>
        <v>5.3156939024360035E-2</v>
      </c>
      <c r="AW23">
        <f t="shared" si="16"/>
        <v>0.74715254434980671</v>
      </c>
      <c r="AX23">
        <f t="shared" si="17"/>
        <v>0.42994217207197705</v>
      </c>
      <c r="AY23">
        <f t="shared" si="18"/>
        <v>0.85256098066418584</v>
      </c>
    </row>
    <row r="24" spans="1:51" x14ac:dyDescent="0.3">
      <c r="A24" t="s">
        <v>23</v>
      </c>
      <c r="B24" t="s">
        <v>14</v>
      </c>
      <c r="C24">
        <v>2017</v>
      </c>
      <c r="D24">
        <v>377</v>
      </c>
      <c r="E24">
        <f>83+28</f>
        <v>111</v>
      </c>
      <c r="F24">
        <v>320</v>
      </c>
      <c r="G24">
        <v>32</v>
      </c>
      <c r="H24">
        <v>94</v>
      </c>
      <c r="I24">
        <v>36</v>
      </c>
      <c r="J24">
        <v>75</v>
      </c>
      <c r="K24">
        <v>16</v>
      </c>
      <c r="Q24">
        <v>19189</v>
      </c>
      <c r="R24">
        <v>14856</v>
      </c>
      <c r="U24" s="13">
        <f t="shared" si="0"/>
        <v>0.5636363636363636</v>
      </c>
      <c r="V24" s="13">
        <f t="shared" si="19"/>
        <v>0.4363636363636364</v>
      </c>
      <c r="W24" s="13"/>
      <c r="X24" s="13"/>
      <c r="Y24" s="13">
        <f t="shared" si="1"/>
        <v>0.78964401294498376</v>
      </c>
      <c r="Z24" s="13">
        <f t="shared" si="2"/>
        <v>0.21035598705501624</v>
      </c>
      <c r="AA24" s="13"/>
      <c r="AC24" s="14">
        <f t="shared" si="3"/>
        <v>0.71378539493293591</v>
      </c>
      <c r="AD24" s="14">
        <f t="shared" si="4"/>
        <v>2.0744055944055941</v>
      </c>
      <c r="AE24" s="14"/>
      <c r="AG24" s="21">
        <f t="shared" si="5"/>
        <v>269.09709388971686</v>
      </c>
      <c r="AH24" s="21">
        <f t="shared" si="6"/>
        <v>79.230178837555883</v>
      </c>
      <c r="AI24" s="21">
        <f t="shared" si="7"/>
        <v>228.41132637853948</v>
      </c>
      <c r="AJ24" s="21">
        <f t="shared" si="8"/>
        <v>22.841132637853949</v>
      </c>
      <c r="AK24" s="21">
        <f>$AD24*H24</f>
        <v>194.99412587412584</v>
      </c>
      <c r="AL24" s="21">
        <f t="shared" si="10"/>
        <v>74.678601398601387</v>
      </c>
      <c r="AM24" s="21">
        <f t="shared" si="11"/>
        <v>155.58041958041957</v>
      </c>
      <c r="AN24" s="21">
        <f t="shared" si="12"/>
        <v>33.190489510489506</v>
      </c>
      <c r="AT24">
        <f t="shared" si="13"/>
        <v>0.75095666628453506</v>
      </c>
      <c r="AU24">
        <f t="shared" si="14"/>
        <v>0.24904333371546483</v>
      </c>
      <c r="AV24">
        <f t="shared" si="15"/>
        <v>9.0666055256219194E-2</v>
      </c>
      <c r="AW24">
        <f t="shared" si="16"/>
        <v>0.62134586724750662</v>
      </c>
      <c r="AX24">
        <f t="shared" si="17"/>
        <v>0.36405734658132349</v>
      </c>
      <c r="AY24">
        <f t="shared" si="18"/>
        <v>0.82740575474441647</v>
      </c>
    </row>
    <row r="25" spans="1:51" x14ac:dyDescent="0.3">
      <c r="A25" t="s">
        <v>23</v>
      </c>
      <c r="B25" t="s">
        <v>14</v>
      </c>
      <c r="C25">
        <v>2018</v>
      </c>
      <c r="D25">
        <v>568</v>
      </c>
      <c r="E25">
        <v>150</v>
      </c>
      <c r="F25">
        <v>502</v>
      </c>
      <c r="G25">
        <v>73</v>
      </c>
      <c r="H25">
        <v>197</v>
      </c>
      <c r="I25">
        <v>35</v>
      </c>
      <c r="J25">
        <v>141</v>
      </c>
      <c r="K25">
        <v>16</v>
      </c>
      <c r="Q25">
        <v>29387</v>
      </c>
      <c r="R25">
        <v>14652</v>
      </c>
      <c r="U25" s="13">
        <f t="shared" si="0"/>
        <v>0.6672948977043075</v>
      </c>
      <c r="V25" s="13">
        <f>1-U25</f>
        <v>0.3327051022956925</v>
      </c>
      <c r="W25" s="13"/>
      <c r="X25" s="13"/>
      <c r="Y25" s="13">
        <f t="shared" si="1"/>
        <v>0.75578947368421057</v>
      </c>
      <c r="Z25" s="13">
        <f>1-Y25</f>
        <v>0.24421052631578943</v>
      </c>
      <c r="AA25" s="13"/>
      <c r="AC25" s="14">
        <f t="shared" si="3"/>
        <v>0.88291107634971044</v>
      </c>
      <c r="AD25" s="14">
        <f t="shared" si="4"/>
        <v>1.3623700309521893</v>
      </c>
      <c r="AE25" s="14"/>
      <c r="AG25" s="21">
        <f>$AC25*D25</f>
        <v>501.49349136663551</v>
      </c>
      <c r="AH25" s="21">
        <f t="shared" si="6"/>
        <v>132.43666145245658</v>
      </c>
      <c r="AI25" s="21">
        <f t="shared" si="7"/>
        <v>443.22136032755463</v>
      </c>
      <c r="AJ25" s="21">
        <f t="shared" si="8"/>
        <v>64.45250857352886</v>
      </c>
      <c r="AK25" s="21">
        <f t="shared" si="9"/>
        <v>268.38689609758131</v>
      </c>
      <c r="AL25" s="21">
        <f t="shared" si="10"/>
        <v>47.682951083326628</v>
      </c>
      <c r="AM25" s="21">
        <f t="shared" si="11"/>
        <v>192.09417436425869</v>
      </c>
      <c r="AN25" s="21">
        <f t="shared" si="12"/>
        <v>21.797920495235029</v>
      </c>
      <c r="AT25">
        <f t="shared" si="13"/>
        <v>0.81040040785707024</v>
      </c>
      <c r="AU25">
        <f>(AH25+AL25)/($AG25+$AH25+$AK25+$AL25)</f>
        <v>0.18959959214292968</v>
      </c>
      <c r="AV25">
        <f t="shared" si="15"/>
        <v>9.0789925335540936E-2</v>
      </c>
      <c r="AW25">
        <f t="shared" si="16"/>
        <v>0.66875319441243508</v>
      </c>
      <c r="AX25">
        <f t="shared" si="17"/>
        <v>0.4788508472481256</v>
      </c>
      <c r="AY25">
        <f t="shared" si="18"/>
        <v>0.82521329941184152</v>
      </c>
    </row>
    <row r="26" spans="1:51" x14ac:dyDescent="0.3">
      <c r="A26" t="s">
        <v>23</v>
      </c>
      <c r="B26" t="s">
        <v>14</v>
      </c>
      <c r="C26">
        <v>2019</v>
      </c>
      <c r="D26">
        <v>544</v>
      </c>
      <c r="E26">
        <v>90</v>
      </c>
      <c r="F26">
        <v>446</v>
      </c>
      <c r="G26">
        <v>40</v>
      </c>
      <c r="H26">
        <v>365</v>
      </c>
      <c r="I26">
        <v>78</v>
      </c>
      <c r="J26">
        <v>246</v>
      </c>
      <c r="K26">
        <v>55</v>
      </c>
      <c r="Q26">
        <v>36544</v>
      </c>
      <c r="R26">
        <v>14200</v>
      </c>
      <c r="U26" s="13">
        <f t="shared" ref="U26" si="20">Q26/(Q26+R26)</f>
        <v>0.72016396027116503</v>
      </c>
      <c r="V26" s="13">
        <f t="shared" ref="V26" si="21">1-U26</f>
        <v>0.27983603972883497</v>
      </c>
      <c r="W26" s="13"/>
      <c r="X26" s="13"/>
      <c r="Y26" s="13">
        <f t="shared" ref="Y26:Y28" si="22">SUM(D26:E26)/SUM(D26,E26,H26,I26)</f>
        <v>0.58867223769730737</v>
      </c>
      <c r="Z26" s="13">
        <f t="shared" ref="Z26:Z28" si="23">1-Y26</f>
        <v>0.41132776230269263</v>
      </c>
      <c r="AA26" s="13"/>
      <c r="AC26" s="14">
        <f t="shared" ref="AC26" si="24">U26/Y26</f>
        <v>1.2233700082208907</v>
      </c>
      <c r="AD26" s="14">
        <f t="shared" ref="AD26:AD28" si="25">V26/Z26</f>
        <v>0.68032373541299163</v>
      </c>
      <c r="AE26" s="14"/>
      <c r="AG26" s="21">
        <f t="shared" ref="AG26:AG28" si="26">$AC26*D26</f>
        <v>665.51328447216451</v>
      </c>
      <c r="AH26" s="21">
        <f t="shared" ref="AH26:AH28" si="27">$AC26*E26</f>
        <v>110.10330073988017</v>
      </c>
      <c r="AI26" s="21">
        <f t="shared" ref="AI26:AI28" si="28">$AC26*F26</f>
        <v>545.62302366651727</v>
      </c>
      <c r="AJ26" s="21">
        <f t="shared" ref="AJ26:AJ28" si="29">$AC26*G26</f>
        <v>48.934800328835628</v>
      </c>
      <c r="AK26" s="21">
        <f t="shared" ref="AK26:AK28" si="30">$AD26*H26</f>
        <v>248.31816342574194</v>
      </c>
      <c r="AL26" s="21">
        <f t="shared" ref="AL26:AL28" si="31">$AD26*I26</f>
        <v>53.065251362213345</v>
      </c>
      <c r="AM26" s="21">
        <f t="shared" ref="AM26:AM28" si="32">$AD26*J26</f>
        <v>167.35963891159594</v>
      </c>
      <c r="AN26" s="21">
        <f t="shared" ref="AN26:AN28" si="33">$AD26*K26</f>
        <v>37.417805447714542</v>
      </c>
      <c r="AT26">
        <f t="shared" ref="AT26:AT28" si="34">(AG26+AK26)/($AG26+$AH26+$AK26+$AL26)</f>
        <v>0.84849716610761972</v>
      </c>
      <c r="AU26">
        <f t="shared" ref="AU26:AU28" si="35">(AH26+AL26)/($AG26+$AH26+$AK26+$AL26)</f>
        <v>0.15150283389238023</v>
      </c>
      <c r="AV26">
        <f t="shared" ref="AV26:AV28" si="36">(AJ26+AN26)/(AG26+AH26+AK26+AL26)</f>
        <v>8.0178835447121802E-2</v>
      </c>
      <c r="AW26">
        <f t="shared" ref="AW26:AW28" si="37">(AI26+AM26)/(AG26+AH26+AK26+AL26)</f>
        <v>0.66200804324801588</v>
      </c>
      <c r="AX26">
        <f t="shared" ref="AX26:AX28" si="38">(AN26+AJ26)/(AL26+AH26)</f>
        <v>0.52922333785569109</v>
      </c>
      <c r="AY26">
        <f t="shared" ref="AY26:AY28" si="39">(AM26+AI26)/(AG26+AK26)</f>
        <v>0.78021243875792712</v>
      </c>
    </row>
    <row r="27" spans="1:51" x14ac:dyDescent="0.3">
      <c r="A27" t="s">
        <v>23</v>
      </c>
      <c r="B27" t="s">
        <v>14</v>
      </c>
      <c r="C27">
        <v>2020</v>
      </c>
      <c r="D27">
        <v>349</v>
      </c>
      <c r="E27">
        <v>110</v>
      </c>
      <c r="F27">
        <v>295</v>
      </c>
      <c r="G27">
        <v>70</v>
      </c>
      <c r="H27">
        <v>127</v>
      </c>
      <c r="I27">
        <v>25</v>
      </c>
      <c r="J27">
        <v>104</v>
      </c>
      <c r="K27">
        <v>15</v>
      </c>
      <c r="Q27">
        <v>22851</v>
      </c>
      <c r="R27">
        <v>15721</v>
      </c>
      <c r="U27" s="13">
        <f>Q27/(Q27+R27)</f>
        <v>0.59242455667323446</v>
      </c>
      <c r="V27" s="13">
        <f>1-U27</f>
        <v>0.40757544332676554</v>
      </c>
      <c r="W27" s="13"/>
      <c r="X27" s="13"/>
      <c r="Y27" s="13">
        <f>SUM(D27:E27)/SUM(D27,E27,H27,I27)</f>
        <v>0.75122749590834692</v>
      </c>
      <c r="Z27" s="13">
        <f t="shared" si="23"/>
        <v>0.24877250409165308</v>
      </c>
      <c r="AA27" s="13"/>
      <c r="AC27" s="14">
        <f>U27/Y27</f>
        <v>0.7886087235889897</v>
      </c>
      <c r="AD27" s="14">
        <f t="shared" si="25"/>
        <v>1.6383460254779849</v>
      </c>
      <c r="AE27" s="14"/>
      <c r="AG27" s="21">
        <f t="shared" si="26"/>
        <v>275.22444453255741</v>
      </c>
      <c r="AH27" s="21">
        <f t="shared" si="27"/>
        <v>86.746959594788862</v>
      </c>
      <c r="AI27" s="21">
        <f t="shared" si="28"/>
        <v>232.63957345875195</v>
      </c>
      <c r="AJ27" s="21">
        <f t="shared" si="29"/>
        <v>55.202610651229278</v>
      </c>
      <c r="AK27" s="21">
        <f t="shared" si="30"/>
        <v>208.0699452357041</v>
      </c>
      <c r="AL27" s="21">
        <f t="shared" si="31"/>
        <v>40.958650636949621</v>
      </c>
      <c r="AM27" s="21">
        <f t="shared" si="32"/>
        <v>170.38798664971043</v>
      </c>
      <c r="AN27" s="21">
        <f t="shared" si="33"/>
        <v>24.575190382169772</v>
      </c>
      <c r="AT27">
        <f t="shared" si="34"/>
        <v>0.79098918129011708</v>
      </c>
      <c r="AU27">
        <f t="shared" si="35"/>
        <v>0.20901081870988297</v>
      </c>
      <c r="AV27">
        <f t="shared" si="36"/>
        <v>0.13056923246055491</v>
      </c>
      <c r="AW27">
        <f t="shared" si="37"/>
        <v>0.65961957464560128</v>
      </c>
      <c r="AX27">
        <f t="shared" si="38"/>
        <v>0.62470083255255437</v>
      </c>
      <c r="AY27">
        <f t="shared" si="39"/>
        <v>0.83391731549317816</v>
      </c>
    </row>
    <row r="28" spans="1:51" x14ac:dyDescent="0.3">
      <c r="A28" t="s">
        <v>23</v>
      </c>
      <c r="B28" t="s">
        <v>14</v>
      </c>
      <c r="C28">
        <v>2021</v>
      </c>
      <c r="D28">
        <v>432</v>
      </c>
      <c r="E28">
        <v>82</v>
      </c>
      <c r="F28">
        <v>393</v>
      </c>
      <c r="G28">
        <v>34</v>
      </c>
      <c r="H28">
        <v>245</v>
      </c>
      <c r="I28">
        <v>20</v>
      </c>
      <c r="J28">
        <v>215</v>
      </c>
      <c r="K28">
        <v>13</v>
      </c>
      <c r="Q28">
        <v>41844</v>
      </c>
      <c r="R28">
        <v>33015</v>
      </c>
      <c r="U28" s="13">
        <f>Q28/(Q28+R28)</f>
        <v>0.55897086522662609</v>
      </c>
      <c r="V28" s="13">
        <f>1-U28</f>
        <v>0.44102913477337391</v>
      </c>
      <c r="W28" s="13"/>
      <c r="X28" s="13"/>
      <c r="Y28" s="13">
        <f t="shared" si="22"/>
        <v>0.65982028241335045</v>
      </c>
      <c r="Z28" s="13">
        <f t="shared" si="23"/>
        <v>0.34017971758664955</v>
      </c>
      <c r="AA28" s="13"/>
      <c r="AC28" s="14">
        <f>U28/Y28</f>
        <v>0.84715623348548974</v>
      </c>
      <c r="AD28" s="14">
        <f t="shared" si="25"/>
        <v>1.2964592301451257</v>
      </c>
      <c r="AE28" s="14"/>
      <c r="AG28" s="21">
        <f t="shared" si="26"/>
        <v>365.97149286573159</v>
      </c>
      <c r="AH28" s="21">
        <f t="shared" si="27"/>
        <v>69.466811145810155</v>
      </c>
      <c r="AI28" s="21">
        <f t="shared" si="28"/>
        <v>332.93239975979748</v>
      </c>
      <c r="AJ28" s="21">
        <f t="shared" si="29"/>
        <v>28.803311938506653</v>
      </c>
      <c r="AK28" s="21">
        <f t="shared" si="30"/>
        <v>317.6325113855558</v>
      </c>
      <c r="AL28" s="21">
        <f t="shared" si="31"/>
        <v>25.929184602902513</v>
      </c>
      <c r="AM28" s="21">
        <f t="shared" si="32"/>
        <v>278.73873448120202</v>
      </c>
      <c r="AN28" s="21">
        <f t="shared" si="33"/>
        <v>16.853969991886633</v>
      </c>
      <c r="AT28">
        <f t="shared" si="34"/>
        <v>0.8775404419143612</v>
      </c>
      <c r="AU28">
        <f t="shared" si="35"/>
        <v>0.12245955808563885</v>
      </c>
      <c r="AV28">
        <f t="shared" si="36"/>
        <v>5.8610118010774433E-2</v>
      </c>
      <c r="AW28">
        <f t="shared" si="37"/>
        <v>0.78520042906418408</v>
      </c>
      <c r="AX28">
        <f t="shared" si="38"/>
        <v>0.47860794965295395</v>
      </c>
      <c r="AY28">
        <f t="shared" si="39"/>
        <v>0.89477406574136154</v>
      </c>
    </row>
    <row r="29" spans="1:51" x14ac:dyDescent="0.3">
      <c r="A29" t="s">
        <v>23</v>
      </c>
      <c r="B29" t="s">
        <v>14</v>
      </c>
      <c r="C29">
        <v>2022</v>
      </c>
      <c r="D29">
        <f>41+36+12+422</f>
        <v>511</v>
      </c>
      <c r="E29">
        <f>1+4+2+23+3+10+3+33</f>
        <v>79</v>
      </c>
      <c r="F29">
        <v>422</v>
      </c>
      <c r="G29">
        <v>33</v>
      </c>
      <c r="H29">
        <f>242+14+12</f>
        <v>268</v>
      </c>
      <c r="I29">
        <f>1+6+12+1+16</f>
        <v>36</v>
      </c>
      <c r="J29">
        <v>242</v>
      </c>
      <c r="K29">
        <v>16</v>
      </c>
      <c r="Q29" s="34">
        <v>43879</v>
      </c>
      <c r="R29" s="34">
        <v>33340</v>
      </c>
      <c r="U29" s="13">
        <f>Q29/(Q29+R29)</f>
        <v>0.56824097696162856</v>
      </c>
      <c r="V29" s="13">
        <f>1-U29</f>
        <v>0.43175902303837144</v>
      </c>
      <c r="W29" s="13"/>
      <c r="X29" s="13"/>
      <c r="Y29" s="13">
        <f t="shared" ref="Y29" si="40">SUM(D29:E29)/SUM(D29,E29,H29,I29)</f>
        <v>0.65995525727069348</v>
      </c>
      <c r="Z29" s="13">
        <f t="shared" ref="Z29" si="41">1-Y29</f>
        <v>0.34004474272930652</v>
      </c>
      <c r="AA29" s="13"/>
      <c r="AC29" s="14">
        <f>U29/Y29</f>
        <v>0.8610295481418575</v>
      </c>
      <c r="AD29" s="14">
        <f t="shared" ref="AD29" si="42">V29/Z29</f>
        <v>1.2697123901194212</v>
      </c>
      <c r="AE29" s="14"/>
      <c r="AG29" s="21">
        <f t="shared" ref="AG29" si="43">$AC29*D29</f>
        <v>439.98609910048918</v>
      </c>
      <c r="AH29" s="21">
        <f t="shared" ref="AH29" si="44">$AC29*E29</f>
        <v>68.021334303206743</v>
      </c>
      <c r="AI29" s="21">
        <f t="shared" ref="AI29" si="45">$AC29*F29</f>
        <v>363.35446931586387</v>
      </c>
      <c r="AJ29" s="21">
        <f t="shared" ref="AJ29" si="46">$AC29*G29</f>
        <v>28.413975088681298</v>
      </c>
      <c r="AK29" s="21">
        <f t="shared" ref="AK29" si="47">$AD29*H29</f>
        <v>340.2829205520049</v>
      </c>
      <c r="AL29" s="21">
        <f t="shared" ref="AL29" si="48">$AD29*I29</f>
        <v>45.709646044299163</v>
      </c>
      <c r="AM29" s="21">
        <f t="shared" ref="AM29" si="49">$AD29*J29</f>
        <v>307.27039840889989</v>
      </c>
      <c r="AN29" s="21">
        <f t="shared" ref="AN29" si="50">$AD29*K29</f>
        <v>20.315398241910739</v>
      </c>
      <c r="AT29">
        <f t="shared" ref="AT29" si="51">(AG29+AK29)/($AG29+$AH29+$AK29+$AL29)</f>
        <v>0.8727841383137519</v>
      </c>
      <c r="AU29">
        <f t="shared" ref="AU29" si="52">(AH29+AL29)/($AG29+$AH29+$AK29+$AL29)</f>
        <v>0.12721586168624824</v>
      </c>
      <c r="AV29">
        <f t="shared" ref="AV29" si="53">(AJ29+AN29)/(AG29+AH29+AK29+AL29)</f>
        <v>5.4507129005136518E-2</v>
      </c>
      <c r="AW29">
        <f t="shared" ref="AW29" si="54">(AI29+AM29)/(AG29+AH29+AK29+AL29)</f>
        <v>0.75013967307020568</v>
      </c>
      <c r="AX29">
        <f t="shared" ref="AX29" si="55">(AN29+AJ29)/(AL29+AH29)</f>
        <v>0.4284617364740817</v>
      </c>
      <c r="AY29">
        <f t="shared" ref="AY29" si="56">(AM29+AI29)/(AG29+AK29)</f>
        <v>0.8594790397079175</v>
      </c>
    </row>
    <row r="31" spans="1:51" x14ac:dyDescent="0.3">
      <c r="D31" s="31" t="s">
        <v>99</v>
      </c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2"/>
      <c r="Q31" t="s">
        <v>75</v>
      </c>
      <c r="U31" t="s">
        <v>76</v>
      </c>
      <c r="Y31" t="s">
        <v>77</v>
      </c>
      <c r="AC31" s="29" t="s">
        <v>79</v>
      </c>
      <c r="AD31" s="29"/>
      <c r="AG31" s="27" t="s">
        <v>104</v>
      </c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T31" s="27" t="s">
        <v>80</v>
      </c>
      <c r="AU31" s="27"/>
      <c r="AV31" s="27"/>
      <c r="AW31" s="27"/>
      <c r="AX31" s="27"/>
      <c r="AY31" s="27"/>
    </row>
    <row r="32" spans="1:51" x14ac:dyDescent="0.3">
      <c r="D32" s="27" t="s">
        <v>66</v>
      </c>
      <c r="E32" s="27"/>
      <c r="F32" s="27"/>
      <c r="G32" s="27"/>
      <c r="H32" s="27" t="s">
        <v>67</v>
      </c>
      <c r="I32" s="27"/>
      <c r="J32" s="27"/>
      <c r="K32" s="27"/>
      <c r="L32" s="27" t="s">
        <v>68</v>
      </c>
      <c r="M32" s="27"/>
      <c r="N32" s="27"/>
      <c r="O32" s="28"/>
      <c r="Q32" s="30" t="s">
        <v>101</v>
      </c>
      <c r="R32" s="30" t="s">
        <v>102</v>
      </c>
      <c r="S32" s="30" t="s">
        <v>103</v>
      </c>
      <c r="U32" t="s">
        <v>24</v>
      </c>
      <c r="V32" t="s">
        <v>20</v>
      </c>
      <c r="W32" t="s">
        <v>78</v>
      </c>
      <c r="Y32" t="s">
        <v>24</v>
      </c>
      <c r="Z32" t="s">
        <v>20</v>
      </c>
      <c r="AA32" t="s">
        <v>78</v>
      </c>
      <c r="AC32" t="s">
        <v>24</v>
      </c>
      <c r="AD32" t="s">
        <v>20</v>
      </c>
      <c r="AE32" t="s">
        <v>78</v>
      </c>
      <c r="AG32" s="27" t="s">
        <v>24</v>
      </c>
      <c r="AH32" s="27"/>
      <c r="AI32" s="27"/>
      <c r="AJ32" s="27"/>
      <c r="AK32" s="27" t="s">
        <v>20</v>
      </c>
      <c r="AL32" s="27"/>
      <c r="AM32" s="27"/>
      <c r="AN32" s="28"/>
      <c r="AO32" s="27" t="s">
        <v>78</v>
      </c>
      <c r="AP32" s="27"/>
      <c r="AQ32" s="27"/>
      <c r="AR32" s="28"/>
      <c r="AT32" s="27"/>
      <c r="AU32" s="27"/>
      <c r="AV32" s="27"/>
      <c r="AW32" s="27"/>
    </row>
    <row r="33" spans="1:51" ht="15" customHeight="1" x14ac:dyDescent="0.3">
      <c r="A33" s="2" t="s">
        <v>1</v>
      </c>
      <c r="B33" s="2" t="s">
        <v>26</v>
      </c>
      <c r="C33" s="2" t="s">
        <v>0</v>
      </c>
      <c r="D33" s="2" t="s">
        <v>62</v>
      </c>
      <c r="E33" s="2" t="s">
        <v>63</v>
      </c>
      <c r="F33" s="2" t="s">
        <v>64</v>
      </c>
      <c r="G33" s="2" t="s">
        <v>65</v>
      </c>
      <c r="H33" s="2" t="s">
        <v>62</v>
      </c>
      <c r="I33" s="2" t="s">
        <v>63</v>
      </c>
      <c r="J33" s="2" t="s">
        <v>64</v>
      </c>
      <c r="K33" s="2" t="s">
        <v>65</v>
      </c>
      <c r="L33" s="2" t="s">
        <v>62</v>
      </c>
      <c r="M33" s="2" t="s">
        <v>63</v>
      </c>
      <c r="N33" s="2" t="s">
        <v>64</v>
      </c>
      <c r="O33" s="2" t="s">
        <v>65</v>
      </c>
      <c r="Q33" s="30"/>
      <c r="R33" s="30"/>
      <c r="S33" s="30"/>
      <c r="T33" s="2"/>
      <c r="U33" s="13"/>
      <c r="V33" s="13"/>
      <c r="W33" s="13"/>
      <c r="X33" s="13"/>
      <c r="Y33" s="13"/>
      <c r="Z33" s="13"/>
      <c r="AA33" s="13"/>
      <c r="AG33" s="2" t="s">
        <v>62</v>
      </c>
      <c r="AH33" s="2" t="s">
        <v>63</v>
      </c>
      <c r="AI33" s="2" t="s">
        <v>64</v>
      </c>
      <c r="AJ33" s="2" t="s">
        <v>65</v>
      </c>
      <c r="AK33" s="2" t="s">
        <v>62</v>
      </c>
      <c r="AL33" s="2" t="s">
        <v>63</v>
      </c>
      <c r="AM33" s="2" t="s">
        <v>64</v>
      </c>
      <c r="AN33" s="12" t="s">
        <v>65</v>
      </c>
      <c r="AO33" s="2" t="s">
        <v>62</v>
      </c>
      <c r="AP33" s="2" t="s">
        <v>63</v>
      </c>
      <c r="AQ33" s="2" t="s">
        <v>64</v>
      </c>
      <c r="AR33" s="12" t="s">
        <v>65</v>
      </c>
      <c r="AT33" s="2" t="s">
        <v>81</v>
      </c>
      <c r="AU33" s="2" t="s">
        <v>82</v>
      </c>
      <c r="AV33" s="2" t="s">
        <v>83</v>
      </c>
      <c r="AW33" s="2" t="s">
        <v>85</v>
      </c>
      <c r="AX33" s="2" t="s">
        <v>86</v>
      </c>
      <c r="AY33" s="2" t="s">
        <v>87</v>
      </c>
    </row>
    <row r="34" spans="1:51" x14ac:dyDescent="0.3">
      <c r="A34" t="s">
        <v>23</v>
      </c>
      <c r="B34" t="s">
        <v>16</v>
      </c>
      <c r="C34">
        <v>1998</v>
      </c>
      <c r="D34">
        <v>67</v>
      </c>
      <c r="E34">
        <v>8</v>
      </c>
      <c r="F34">
        <v>67</v>
      </c>
      <c r="G34">
        <v>7</v>
      </c>
      <c r="H34">
        <v>3</v>
      </c>
      <c r="I34">
        <v>44</v>
      </c>
      <c r="J34">
        <v>0</v>
      </c>
      <c r="K34">
        <v>42</v>
      </c>
      <c r="L34">
        <v>6</v>
      </c>
      <c r="M34">
        <v>53</v>
      </c>
      <c r="N34">
        <v>6</v>
      </c>
      <c r="O34">
        <v>40</v>
      </c>
      <c r="Q34">
        <v>947</v>
      </c>
      <c r="R34">
        <v>702</v>
      </c>
      <c r="S34">
        <v>1672</v>
      </c>
      <c r="U34" s="13">
        <f t="shared" ref="U34:U54" si="57">Q34/(Q34+R34+S34)</f>
        <v>0.28515507377295995</v>
      </c>
      <c r="V34" s="13">
        <f t="shared" ref="V34:V54" si="58">R34/(Q34+R34+S34)</f>
        <v>0.21138211382113822</v>
      </c>
      <c r="W34" s="13">
        <f t="shared" ref="W34:W54" si="59">S34/(Q34+R34+S34)</f>
        <v>0.50346281240590185</v>
      </c>
      <c r="X34" s="13"/>
      <c r="Y34" s="13">
        <f t="shared" ref="Y34:Y54" si="60">(D34+E34)/($D34+$E34+$H34+$I34+$L34+$M34)</f>
        <v>0.4143646408839779</v>
      </c>
      <c r="Z34" s="13">
        <f t="shared" ref="Z34:Z54" si="61">(H34+I34)/($D34+$E34+$H34+$I34+$L34+$M34)</f>
        <v>0.25966850828729282</v>
      </c>
      <c r="AA34" s="13">
        <f t="shared" ref="AA34:AA54" si="62">(L34+M34)/($D34+$E34+$H34+$I34+$L34+$M34)</f>
        <v>0.32596685082872928</v>
      </c>
      <c r="AC34" s="14">
        <f>U34/Y34</f>
        <v>0.68817424470541</v>
      </c>
      <c r="AD34" s="14">
        <f t="shared" ref="AD34:AE49" si="63">V34/Z34</f>
        <v>0.81404601280055355</v>
      </c>
      <c r="AE34" s="14">
        <f t="shared" si="63"/>
        <v>1.5445215092452242</v>
      </c>
      <c r="AG34" s="21">
        <f t="shared" ref="AG34:AG54" si="64">$AC34*D34</f>
        <v>46.107674395262471</v>
      </c>
      <c r="AH34" s="21">
        <f t="shared" ref="AH34:AH54" si="65">$AC34*E34</f>
        <v>5.50539395764328</v>
      </c>
      <c r="AI34" s="21">
        <f t="shared" ref="AI34:AI54" si="66">$AC34*F34</f>
        <v>46.107674395262471</v>
      </c>
      <c r="AJ34" s="21">
        <f t="shared" ref="AJ34:AJ54" si="67">$AC34*G34</f>
        <v>4.8172197129378702</v>
      </c>
      <c r="AK34" s="21">
        <f t="shared" ref="AK34:AK54" si="68">$AD34*H34</f>
        <v>2.4421380384016604</v>
      </c>
      <c r="AL34" s="21">
        <f t="shared" ref="AL34:AL54" si="69">$AD34*I34</f>
        <v>35.818024563224355</v>
      </c>
      <c r="AM34" s="21">
        <f t="shared" ref="AM34:AM54" si="70">$AD34*J34</f>
        <v>0</v>
      </c>
      <c r="AN34" s="21">
        <f t="shared" ref="AN34:AN54" si="71">$AD34*K34</f>
        <v>34.18993253762325</v>
      </c>
      <c r="AO34" s="21">
        <f t="shared" ref="AO34:AO54" si="72">$AE34*L34</f>
        <v>9.2671290554713455</v>
      </c>
      <c r="AP34" s="21">
        <f t="shared" ref="AP34:AP54" si="73">$AE34*M34</f>
        <v>81.859639989996879</v>
      </c>
      <c r="AQ34" s="21">
        <f t="shared" ref="AQ34:AQ54" si="74">$AE34*N34</f>
        <v>9.2671290554713455</v>
      </c>
      <c r="AR34" s="21">
        <f t="shared" ref="AR34:AR54" si="75">$AE34*O34</f>
        <v>61.78086036980897</v>
      </c>
      <c r="AT34">
        <f t="shared" ref="AT34:AT54" si="76">(AG34+AK34+AO34)/($AH34+$AG34+$AK34+$AL34+$AO34+$AP34)</f>
        <v>0.31943061596207445</v>
      </c>
      <c r="AU34">
        <f t="shared" ref="AU34:AU54" si="77">(AH34+AL34+AP34)/($AH34+$AG34+$AK34+$AL34+$AO34+$AP34)</f>
        <v>0.68056938403792544</v>
      </c>
      <c r="AV34">
        <f t="shared" ref="AV34:AV54" si="78">(AJ34+AN34+AR34)/($AH34+$AG34+$AK34+$AL34+$AO34+$AP34)</f>
        <v>0.55683984873132653</v>
      </c>
      <c r="AW34">
        <f>(AI34+AM34+AQ34)/($AH34+$AG34+$AK34+$AL34+$AO34+$AP34)</f>
        <v>0.30593814061178903</v>
      </c>
      <c r="AX34">
        <f>(AJ34+AR34+AN34)/(AP34+AH34+AL34)</f>
        <v>0.81819703000377098</v>
      </c>
      <c r="AY34">
        <f>(AQ34+AM34+AI34)/(AG34+AK34+AO34)</f>
        <v>0.95776085736287919</v>
      </c>
    </row>
    <row r="35" spans="1:51" x14ac:dyDescent="0.3">
      <c r="A35" t="s">
        <v>23</v>
      </c>
      <c r="B35" t="s">
        <v>16</v>
      </c>
      <c r="C35">
        <v>1999</v>
      </c>
      <c r="D35">
        <v>53</v>
      </c>
      <c r="E35">
        <v>23</v>
      </c>
      <c r="F35">
        <v>53</v>
      </c>
      <c r="G35">
        <v>10</v>
      </c>
      <c r="H35">
        <v>46</v>
      </c>
      <c r="I35">
        <f>21+135</f>
        <v>156</v>
      </c>
      <c r="J35">
        <v>26</v>
      </c>
      <c r="K35">
        <v>114</v>
      </c>
      <c r="L35">
        <v>25</v>
      </c>
      <c r="M35">
        <v>47</v>
      </c>
      <c r="N35">
        <v>21</v>
      </c>
      <c r="O35">
        <f>18+26</f>
        <v>44</v>
      </c>
      <c r="Q35">
        <v>2108</v>
      </c>
      <c r="R35">
        <v>665</v>
      </c>
      <c r="S35">
        <v>1062</v>
      </c>
      <c r="U35" s="13">
        <f t="shared" si="57"/>
        <v>0.54967405475880049</v>
      </c>
      <c r="V35" s="13">
        <f t="shared" si="58"/>
        <v>0.17340286831812254</v>
      </c>
      <c r="W35" s="13">
        <f t="shared" si="59"/>
        <v>0.27692307692307694</v>
      </c>
      <c r="X35" s="13"/>
      <c r="Y35" s="13">
        <f t="shared" si="60"/>
        <v>0.21714285714285714</v>
      </c>
      <c r="Z35" s="13">
        <f t="shared" si="61"/>
        <v>0.57714285714285718</v>
      </c>
      <c r="AA35" s="13">
        <f t="shared" si="62"/>
        <v>0.20571428571428571</v>
      </c>
      <c r="AC35" s="14">
        <f t="shared" ref="AC35:AC54" si="79">U35/Y35</f>
        <v>2.5313936732313183</v>
      </c>
      <c r="AD35" s="14">
        <f t="shared" si="63"/>
        <v>0.30045051441258852</v>
      </c>
      <c r="AE35" s="14">
        <f t="shared" si="63"/>
        <v>1.3461538461538463</v>
      </c>
      <c r="AG35" s="21">
        <f t="shared" si="64"/>
        <v>134.16386468125987</v>
      </c>
      <c r="AH35" s="21">
        <f t="shared" si="65"/>
        <v>58.222054484320317</v>
      </c>
      <c r="AI35" s="21">
        <f t="shared" si="66"/>
        <v>134.16386468125987</v>
      </c>
      <c r="AJ35" s="21">
        <f t="shared" si="67"/>
        <v>25.313936732313181</v>
      </c>
      <c r="AK35" s="21">
        <f t="shared" si="68"/>
        <v>13.820723662979072</v>
      </c>
      <c r="AL35" s="21">
        <f t="shared" si="69"/>
        <v>46.870280248363812</v>
      </c>
      <c r="AM35" s="21">
        <f t="shared" si="70"/>
        <v>7.8117133747273018</v>
      </c>
      <c r="AN35" s="21">
        <f t="shared" si="71"/>
        <v>34.25135864303509</v>
      </c>
      <c r="AO35" s="21">
        <f t="shared" si="72"/>
        <v>33.653846153846153</v>
      </c>
      <c r="AP35" s="21">
        <f t="shared" si="73"/>
        <v>63.269230769230774</v>
      </c>
      <c r="AQ35" s="21">
        <f t="shared" si="74"/>
        <v>28.26923076923077</v>
      </c>
      <c r="AR35" s="21">
        <f t="shared" si="75"/>
        <v>59.230769230769234</v>
      </c>
      <c r="AT35">
        <f t="shared" si="76"/>
        <v>0.51896695570881457</v>
      </c>
      <c r="AU35">
        <f t="shared" si="77"/>
        <v>0.48103304429118543</v>
      </c>
      <c r="AV35">
        <f t="shared" si="78"/>
        <v>0.33941732744605002</v>
      </c>
      <c r="AW35">
        <f t="shared" ref="AW35:AW54" si="80">(AI35+AM35+AQ35)/($AH35+$AG35+$AK35+$AL35+$AO35+$AP35)</f>
        <v>0.48641373950062272</v>
      </c>
      <c r="AX35">
        <f t="shared" ref="AX35:AX54" si="81">(AJ35+AR35+AN35)/(AP35+AH35+AL35)</f>
        <v>0.70560085523062166</v>
      </c>
      <c r="AY35">
        <f t="shared" ref="AY35:AY54" si="82">(AQ35+AM35+AI35)/(AG35+AK35+AO35)</f>
        <v>0.93727304628918018</v>
      </c>
    </row>
    <row r="36" spans="1:51" x14ac:dyDescent="0.3">
      <c r="A36" t="s">
        <v>23</v>
      </c>
      <c r="B36" t="s">
        <v>16</v>
      </c>
      <c r="C36">
        <v>2000</v>
      </c>
      <c r="D36">
        <v>20</v>
      </c>
      <c r="E36">
        <f>14+2</f>
        <v>16</v>
      </c>
      <c r="F36">
        <v>16</v>
      </c>
      <c r="G36">
        <v>4</v>
      </c>
      <c r="H36">
        <v>91</v>
      </c>
      <c r="I36">
        <f>118+77</f>
        <v>195</v>
      </c>
      <c r="J36">
        <v>20</v>
      </c>
      <c r="K36">
        <v>63</v>
      </c>
      <c r="L36">
        <v>17</v>
      </c>
      <c r="M36">
        <v>60</v>
      </c>
      <c r="N36">
        <v>17</v>
      </c>
      <c r="O36">
        <v>48</v>
      </c>
      <c r="Q36">
        <v>2136</v>
      </c>
      <c r="R36">
        <v>1564</v>
      </c>
      <c r="S36">
        <v>1624</v>
      </c>
      <c r="U36" s="13">
        <f t="shared" si="57"/>
        <v>0.40120210368144255</v>
      </c>
      <c r="V36" s="13">
        <f t="shared" si="58"/>
        <v>0.2937640871525169</v>
      </c>
      <c r="W36" s="13">
        <f t="shared" si="59"/>
        <v>0.30503380916604056</v>
      </c>
      <c r="X36" s="13"/>
      <c r="Y36" s="13">
        <f t="shared" si="60"/>
        <v>9.0225563909774431E-2</v>
      </c>
      <c r="Z36" s="13">
        <f t="shared" si="61"/>
        <v>0.71679197994987465</v>
      </c>
      <c r="AA36" s="13">
        <f t="shared" si="62"/>
        <v>0.19298245614035087</v>
      </c>
      <c r="AC36" s="14">
        <f t="shared" si="79"/>
        <v>4.4466566491359885</v>
      </c>
      <c r="AD36" s="14">
        <f t="shared" si="63"/>
        <v>0.40983171599249735</v>
      </c>
      <c r="AE36" s="14">
        <f t="shared" si="63"/>
        <v>1.5806297384058465</v>
      </c>
      <c r="AG36" s="21">
        <f t="shared" si="64"/>
        <v>88.933132982719769</v>
      </c>
      <c r="AH36" s="21">
        <f t="shared" si="65"/>
        <v>71.146506386175815</v>
      </c>
      <c r="AI36" s="21">
        <f t="shared" si="66"/>
        <v>71.146506386175815</v>
      </c>
      <c r="AJ36" s="21">
        <f t="shared" si="67"/>
        <v>17.786626596543954</v>
      </c>
      <c r="AK36" s="21">
        <f t="shared" si="68"/>
        <v>37.294686155317258</v>
      </c>
      <c r="AL36" s="21">
        <f t="shared" si="69"/>
        <v>79.917184618536979</v>
      </c>
      <c r="AM36" s="21">
        <f t="shared" si="70"/>
        <v>8.1966343198499469</v>
      </c>
      <c r="AN36" s="21">
        <f t="shared" si="71"/>
        <v>25.819398107527334</v>
      </c>
      <c r="AO36" s="21">
        <f t="shared" si="72"/>
        <v>26.870705552899391</v>
      </c>
      <c r="AP36" s="21">
        <f t="shared" si="73"/>
        <v>94.837784304350791</v>
      </c>
      <c r="AQ36" s="21">
        <f t="shared" si="74"/>
        <v>26.870705552899391</v>
      </c>
      <c r="AR36" s="21">
        <f t="shared" si="75"/>
        <v>75.87022744348063</v>
      </c>
      <c r="AT36">
        <f t="shared" si="76"/>
        <v>0.38370557566650731</v>
      </c>
      <c r="AU36">
        <f t="shared" si="77"/>
        <v>0.61629442433349269</v>
      </c>
      <c r="AV36">
        <f t="shared" si="78"/>
        <v>0.29943922843997972</v>
      </c>
      <c r="AW36">
        <f t="shared" si="80"/>
        <v>0.26620011593715581</v>
      </c>
      <c r="AX36">
        <f t="shared" si="81"/>
        <v>0.48587041617943555</v>
      </c>
      <c r="AY36">
        <f t="shared" si="82"/>
        <v>0.69376139628609435</v>
      </c>
    </row>
    <row r="37" spans="1:51" x14ac:dyDescent="0.3">
      <c r="A37" t="s">
        <v>23</v>
      </c>
      <c r="B37" t="s">
        <v>16</v>
      </c>
      <c r="C37">
        <v>2001</v>
      </c>
      <c r="D37">
        <v>54</v>
      </c>
      <c r="E37">
        <v>11</v>
      </c>
      <c r="F37">
        <v>49</v>
      </c>
      <c r="G37">
        <v>3</v>
      </c>
      <c r="H37">
        <v>31</v>
      </c>
      <c r="I37">
        <f>74+85</f>
        <v>159</v>
      </c>
      <c r="J37">
        <v>13</v>
      </c>
      <c r="K37">
        <v>63</v>
      </c>
      <c r="L37">
        <v>13</v>
      </c>
      <c r="M37">
        <v>37</v>
      </c>
      <c r="N37">
        <v>12</v>
      </c>
      <c r="O37">
        <v>27</v>
      </c>
      <c r="Q37">
        <v>2010</v>
      </c>
      <c r="R37">
        <v>1856</v>
      </c>
      <c r="S37">
        <v>1759</v>
      </c>
      <c r="U37" s="13">
        <f t="shared" si="57"/>
        <v>0.35733333333333334</v>
      </c>
      <c r="V37" s="13">
        <f t="shared" si="58"/>
        <v>0.32995555555555556</v>
      </c>
      <c r="W37" s="13">
        <f t="shared" si="59"/>
        <v>0.31271111111111111</v>
      </c>
      <c r="X37" s="13"/>
      <c r="Y37" s="13">
        <f t="shared" si="60"/>
        <v>0.21311475409836064</v>
      </c>
      <c r="Z37" s="13">
        <f t="shared" si="61"/>
        <v>0.62295081967213117</v>
      </c>
      <c r="AA37" s="13">
        <f t="shared" si="62"/>
        <v>0.16393442622950818</v>
      </c>
      <c r="AC37" s="14">
        <f t="shared" si="79"/>
        <v>1.6767179487179489</v>
      </c>
      <c r="AD37" s="14">
        <f t="shared" si="63"/>
        <v>0.52966549707602339</v>
      </c>
      <c r="AE37" s="14">
        <f t="shared" si="63"/>
        <v>1.907537777777778</v>
      </c>
      <c r="AG37" s="21">
        <f t="shared" si="64"/>
        <v>90.542769230769238</v>
      </c>
      <c r="AH37" s="21">
        <f t="shared" si="65"/>
        <v>18.443897435897437</v>
      </c>
      <c r="AI37" s="21">
        <f t="shared" si="66"/>
        <v>82.1591794871795</v>
      </c>
      <c r="AJ37" s="21">
        <f t="shared" si="67"/>
        <v>5.0301538461538469</v>
      </c>
      <c r="AK37" s="21">
        <f t="shared" si="68"/>
        <v>16.419630409356724</v>
      </c>
      <c r="AL37" s="21">
        <f t="shared" si="69"/>
        <v>84.216814035087722</v>
      </c>
      <c r="AM37" s="21">
        <f t="shared" si="70"/>
        <v>6.8856514619883038</v>
      </c>
      <c r="AN37" s="21">
        <f t="shared" si="71"/>
        <v>33.368926315789473</v>
      </c>
      <c r="AO37" s="21">
        <f t="shared" si="72"/>
        <v>24.797991111111113</v>
      </c>
      <c r="AP37" s="21">
        <f t="shared" si="73"/>
        <v>70.578897777777783</v>
      </c>
      <c r="AQ37" s="21">
        <f t="shared" si="74"/>
        <v>22.890453333333337</v>
      </c>
      <c r="AR37" s="21">
        <f t="shared" si="75"/>
        <v>51.503520000000009</v>
      </c>
      <c r="AT37">
        <f t="shared" si="76"/>
        <v>0.43200128115159692</v>
      </c>
      <c r="AU37">
        <f t="shared" si="77"/>
        <v>0.56799871884840303</v>
      </c>
      <c r="AV37">
        <f t="shared" si="78"/>
        <v>0.29476262348178134</v>
      </c>
      <c r="AW37">
        <f t="shared" si="80"/>
        <v>0.36700093207377416</v>
      </c>
      <c r="AX37">
        <f t="shared" si="81"/>
        <v>0.51894945129348524</v>
      </c>
      <c r="AY37">
        <f t="shared" si="82"/>
        <v>0.84953667520487519</v>
      </c>
    </row>
    <row r="38" spans="1:51" x14ac:dyDescent="0.3">
      <c r="A38" t="s">
        <v>23</v>
      </c>
      <c r="B38" t="s">
        <v>16</v>
      </c>
      <c r="C38">
        <v>2002</v>
      </c>
      <c r="D38">
        <v>43</v>
      </c>
      <c r="E38">
        <v>19</v>
      </c>
      <c r="F38">
        <v>37</v>
      </c>
      <c r="G38">
        <v>17</v>
      </c>
      <c r="H38">
        <v>38</v>
      </c>
      <c r="I38">
        <f>31+92</f>
        <v>123</v>
      </c>
      <c r="J38">
        <v>26</v>
      </c>
      <c r="K38">
        <v>69</v>
      </c>
      <c r="L38">
        <v>1</v>
      </c>
      <c r="M38">
        <v>33</v>
      </c>
      <c r="N38">
        <v>0</v>
      </c>
      <c r="O38">
        <v>21</v>
      </c>
      <c r="Q38">
        <v>2736</v>
      </c>
      <c r="R38">
        <v>1166</v>
      </c>
      <c r="S38">
        <v>1323</v>
      </c>
      <c r="U38" s="13">
        <f t="shared" si="57"/>
        <v>0.52363636363636368</v>
      </c>
      <c r="V38" s="13">
        <f t="shared" si="58"/>
        <v>0.22315789473684211</v>
      </c>
      <c r="W38" s="13">
        <f t="shared" si="59"/>
        <v>0.25320574162679427</v>
      </c>
      <c r="X38" s="13"/>
      <c r="Y38" s="13">
        <f t="shared" si="60"/>
        <v>0.24124513618677043</v>
      </c>
      <c r="Z38" s="13">
        <f t="shared" si="61"/>
        <v>0.62645914396887159</v>
      </c>
      <c r="AA38" s="13">
        <f t="shared" si="62"/>
        <v>0.13229571984435798</v>
      </c>
      <c r="AC38" s="14">
        <f>U38/Y38</f>
        <v>2.1705571847507334</v>
      </c>
      <c r="AD38" s="14">
        <f t="shared" si="63"/>
        <v>0.35622098725073553</v>
      </c>
      <c r="AE38" s="14">
        <f t="shared" si="63"/>
        <v>1.9139375175907685</v>
      </c>
      <c r="AG38" s="21">
        <f t="shared" si="64"/>
        <v>93.333958944281534</v>
      </c>
      <c r="AH38" s="21">
        <f t="shared" si="65"/>
        <v>41.240586510263938</v>
      </c>
      <c r="AI38" s="21">
        <f t="shared" si="66"/>
        <v>80.310615835777142</v>
      </c>
      <c r="AJ38" s="21">
        <f t="shared" si="67"/>
        <v>36.89947214076247</v>
      </c>
      <c r="AK38" s="21">
        <f t="shared" si="68"/>
        <v>13.53639751552795</v>
      </c>
      <c r="AL38" s="21">
        <f t="shared" si="69"/>
        <v>43.815181431840472</v>
      </c>
      <c r="AM38" s="21">
        <f t="shared" si="70"/>
        <v>9.261745668519124</v>
      </c>
      <c r="AN38" s="21">
        <f t="shared" si="71"/>
        <v>24.57924812030075</v>
      </c>
      <c r="AO38" s="21">
        <f t="shared" si="72"/>
        <v>1.9139375175907685</v>
      </c>
      <c r="AP38" s="21">
        <f t="shared" si="73"/>
        <v>63.159938080495358</v>
      </c>
      <c r="AQ38" s="21">
        <f t="shared" si="74"/>
        <v>0</v>
      </c>
      <c r="AR38" s="21">
        <f t="shared" si="75"/>
        <v>40.192687869406136</v>
      </c>
      <c r="AT38">
        <f t="shared" si="76"/>
        <v>0.42328519057354186</v>
      </c>
      <c r="AU38">
        <f t="shared" si="77"/>
        <v>0.57671480942645825</v>
      </c>
      <c r="AV38">
        <f t="shared" si="78"/>
        <v>0.3956085919473516</v>
      </c>
      <c r="AW38">
        <f t="shared" si="80"/>
        <v>0.3485305895108804</v>
      </c>
      <c r="AX38">
        <f t="shared" si="81"/>
        <v>0.6859691921918627</v>
      </c>
      <c r="AY38">
        <f t="shared" si="82"/>
        <v>0.8233942440524068</v>
      </c>
    </row>
    <row r="39" spans="1:51" x14ac:dyDescent="0.3">
      <c r="A39" t="s">
        <v>23</v>
      </c>
      <c r="B39" t="s">
        <v>16</v>
      </c>
      <c r="C39">
        <v>2003</v>
      </c>
      <c r="D39">
        <v>62</v>
      </c>
      <c r="E39">
        <f>2+27</f>
        <v>29</v>
      </c>
      <c r="F39">
        <v>59</v>
      </c>
      <c r="G39">
        <v>22</v>
      </c>
      <c r="H39">
        <v>61</v>
      </c>
      <c r="I39">
        <f>30+210</f>
        <v>240</v>
      </c>
      <c r="J39">
        <v>3</v>
      </c>
      <c r="K39">
        <v>166</v>
      </c>
      <c r="L39">
        <v>49</v>
      </c>
      <c r="M39">
        <v>29</v>
      </c>
      <c r="N39">
        <v>39</v>
      </c>
      <c r="O39">
        <v>11</v>
      </c>
      <c r="Q39">
        <v>7400</v>
      </c>
      <c r="R39">
        <v>1122</v>
      </c>
      <c r="S39">
        <v>1528</v>
      </c>
      <c r="U39" s="13">
        <f t="shared" si="57"/>
        <v>0.73631840796019898</v>
      </c>
      <c r="V39" s="13">
        <f t="shared" si="58"/>
        <v>0.11164179104477612</v>
      </c>
      <c r="W39" s="13">
        <f t="shared" si="59"/>
        <v>0.15203980099502487</v>
      </c>
      <c r="X39" s="13"/>
      <c r="Y39" s="13">
        <f t="shared" si="60"/>
        <v>0.19361702127659575</v>
      </c>
      <c r="Z39" s="13">
        <f t="shared" si="61"/>
        <v>0.6404255319148936</v>
      </c>
      <c r="AA39" s="13">
        <f t="shared" si="62"/>
        <v>0.16595744680851063</v>
      </c>
      <c r="AC39" s="14">
        <f t="shared" si="79"/>
        <v>3.8029632059482803</v>
      </c>
      <c r="AD39" s="14">
        <f t="shared" si="63"/>
        <v>0.17432439133237468</v>
      </c>
      <c r="AE39" s="14">
        <f t="shared" si="63"/>
        <v>0.91613726240591919</v>
      </c>
      <c r="AG39" s="21">
        <f t="shared" si="64"/>
        <v>235.78371876879339</v>
      </c>
      <c r="AH39" s="21">
        <f t="shared" si="65"/>
        <v>110.28593297250013</v>
      </c>
      <c r="AI39" s="21">
        <f t="shared" si="66"/>
        <v>224.37482915094853</v>
      </c>
      <c r="AJ39" s="21">
        <f t="shared" si="67"/>
        <v>83.665190530862162</v>
      </c>
      <c r="AK39" s="21">
        <f t="shared" si="68"/>
        <v>10.633787871274855</v>
      </c>
      <c r="AL39" s="21">
        <f t="shared" si="69"/>
        <v>41.83785391976992</v>
      </c>
      <c r="AM39" s="21">
        <f t="shared" si="70"/>
        <v>0.52297317399712406</v>
      </c>
      <c r="AN39" s="21">
        <f t="shared" si="71"/>
        <v>28.937848961174197</v>
      </c>
      <c r="AO39" s="21">
        <f t="shared" si="72"/>
        <v>44.89072585789004</v>
      </c>
      <c r="AP39" s="21">
        <f t="shared" si="73"/>
        <v>26.567980609771656</v>
      </c>
      <c r="AQ39" s="21">
        <f t="shared" si="74"/>
        <v>35.729353233830849</v>
      </c>
      <c r="AR39" s="21">
        <f t="shared" si="75"/>
        <v>10.077509886465112</v>
      </c>
      <c r="AT39">
        <f t="shared" si="76"/>
        <v>0.61980474999565582</v>
      </c>
      <c r="AU39">
        <f t="shared" si="77"/>
        <v>0.38019525000434407</v>
      </c>
      <c r="AV39">
        <f t="shared" si="78"/>
        <v>0.26102244548617332</v>
      </c>
      <c r="AW39">
        <f t="shared" si="80"/>
        <v>0.5545258628910138</v>
      </c>
      <c r="AX39">
        <f t="shared" si="81"/>
        <v>0.68654841290939572</v>
      </c>
      <c r="AY39">
        <f t="shared" si="82"/>
        <v>0.89467830457075459</v>
      </c>
    </row>
    <row r="40" spans="1:51" x14ac:dyDescent="0.3">
      <c r="A40" t="s">
        <v>23</v>
      </c>
      <c r="B40" t="s">
        <v>16</v>
      </c>
      <c r="C40">
        <v>2004</v>
      </c>
      <c r="D40">
        <v>171</v>
      </c>
      <c r="E40">
        <v>46</v>
      </c>
      <c r="F40">
        <v>150</v>
      </c>
      <c r="G40">
        <v>32</v>
      </c>
      <c r="H40">
        <v>22</v>
      </c>
      <c r="I40">
        <f>38+153</f>
        <v>191</v>
      </c>
      <c r="J40">
        <v>9</v>
      </c>
      <c r="K40">
        <v>129</v>
      </c>
      <c r="L40">
        <v>16</v>
      </c>
      <c r="M40">
        <v>60</v>
      </c>
      <c r="N40">
        <v>14</v>
      </c>
      <c r="O40">
        <v>41</v>
      </c>
      <c r="Q40">
        <v>5911</v>
      </c>
      <c r="R40">
        <v>1369</v>
      </c>
      <c r="S40">
        <v>1648</v>
      </c>
      <c r="U40" s="13">
        <f t="shared" si="57"/>
        <v>0.66207437275985659</v>
      </c>
      <c r="V40" s="13">
        <f t="shared" si="58"/>
        <v>0.15333781362007168</v>
      </c>
      <c r="W40" s="13">
        <f t="shared" si="59"/>
        <v>0.18458781362007168</v>
      </c>
      <c r="X40" s="13"/>
      <c r="Y40" s="13">
        <f t="shared" si="60"/>
        <v>0.42885375494071148</v>
      </c>
      <c r="Z40" s="13">
        <f t="shared" si="61"/>
        <v>0.42094861660079053</v>
      </c>
      <c r="AA40" s="13">
        <f t="shared" si="62"/>
        <v>0.15019762845849802</v>
      </c>
      <c r="AC40" s="14">
        <f t="shared" si="79"/>
        <v>1.5438231917810481</v>
      </c>
      <c r="AD40" s="14">
        <f t="shared" si="63"/>
        <v>0.36426729432749422</v>
      </c>
      <c r="AE40" s="14">
        <f t="shared" si="63"/>
        <v>1.2289662327862667</v>
      </c>
      <c r="AG40" s="21">
        <f t="shared" si="64"/>
        <v>263.99376579455924</v>
      </c>
      <c r="AH40" s="21">
        <f t="shared" si="65"/>
        <v>71.015866821928213</v>
      </c>
      <c r="AI40" s="21">
        <f t="shared" si="66"/>
        <v>231.57347876715721</v>
      </c>
      <c r="AJ40" s="21">
        <f t="shared" si="67"/>
        <v>49.402342136993539</v>
      </c>
      <c r="AK40" s="21">
        <f t="shared" si="68"/>
        <v>8.0138804752048731</v>
      </c>
      <c r="AL40" s="21">
        <f t="shared" si="69"/>
        <v>69.575053216551396</v>
      </c>
      <c r="AM40" s="21">
        <f t="shared" si="70"/>
        <v>3.278405648947448</v>
      </c>
      <c r="AN40" s="21">
        <f t="shared" si="71"/>
        <v>46.990480968246757</v>
      </c>
      <c r="AO40" s="21">
        <f t="shared" si="72"/>
        <v>19.663459724580267</v>
      </c>
      <c r="AP40" s="21">
        <f t="shared" si="73"/>
        <v>73.737973967176003</v>
      </c>
      <c r="AQ40" s="21">
        <f t="shared" si="74"/>
        <v>17.205527259007734</v>
      </c>
      <c r="AR40" s="21">
        <f t="shared" si="75"/>
        <v>50.387615544236937</v>
      </c>
      <c r="AT40">
        <f t="shared" si="76"/>
        <v>0.57642511066075963</v>
      </c>
      <c r="AU40">
        <f t="shared" si="77"/>
        <v>0.42357488933924037</v>
      </c>
      <c r="AV40">
        <f t="shared" si="78"/>
        <v>0.29007991827959922</v>
      </c>
      <c r="AW40">
        <f t="shared" si="80"/>
        <v>0.49813717722354228</v>
      </c>
      <c r="AX40">
        <f t="shared" si="81"/>
        <v>0.6848373819612209</v>
      </c>
      <c r="AY40">
        <f t="shared" si="82"/>
        <v>0.8641836866761835</v>
      </c>
    </row>
    <row r="41" spans="1:51" x14ac:dyDescent="0.3">
      <c r="A41" t="s">
        <v>23</v>
      </c>
      <c r="B41" t="s">
        <v>16</v>
      </c>
      <c r="C41">
        <v>2005</v>
      </c>
      <c r="D41">
        <v>35</v>
      </c>
      <c r="E41">
        <v>10</v>
      </c>
      <c r="F41">
        <v>35</v>
      </c>
      <c r="G41">
        <v>6</v>
      </c>
      <c r="H41">
        <v>73</v>
      </c>
      <c r="I41">
        <f>14+141</f>
        <v>155</v>
      </c>
      <c r="J41">
        <v>42</v>
      </c>
      <c r="K41">
        <v>102</v>
      </c>
      <c r="L41">
        <v>34</v>
      </c>
      <c r="M41">
        <v>9</v>
      </c>
      <c r="N41">
        <v>34</v>
      </c>
      <c r="O41">
        <v>9</v>
      </c>
      <c r="Q41">
        <v>4418</v>
      </c>
      <c r="R41">
        <v>1287</v>
      </c>
      <c r="S41">
        <v>2424</v>
      </c>
      <c r="U41" s="13">
        <f t="shared" si="57"/>
        <v>0.54348628367572882</v>
      </c>
      <c r="V41" s="13">
        <f t="shared" si="58"/>
        <v>0.15832205683355885</v>
      </c>
      <c r="W41" s="13">
        <f t="shared" si="59"/>
        <v>0.29819165949071225</v>
      </c>
      <c r="X41" s="13"/>
      <c r="Y41" s="13">
        <f t="shared" si="60"/>
        <v>0.14240506329113925</v>
      </c>
      <c r="Z41" s="13">
        <f t="shared" si="61"/>
        <v>0.72151898734177211</v>
      </c>
      <c r="AA41" s="13">
        <f t="shared" si="62"/>
        <v>0.13607594936708861</v>
      </c>
      <c r="AC41" s="14">
        <f t="shared" si="79"/>
        <v>3.8164814587006735</v>
      </c>
      <c r="AD41" s="14">
        <f t="shared" si="63"/>
        <v>0.21942881561142369</v>
      </c>
      <c r="AE41" s="14">
        <f t="shared" si="63"/>
        <v>2.1913619627689549</v>
      </c>
      <c r="AG41" s="21">
        <f t="shared" si="64"/>
        <v>133.57685105452356</v>
      </c>
      <c r="AH41" s="21">
        <f t="shared" si="65"/>
        <v>38.164814587006731</v>
      </c>
      <c r="AI41" s="21">
        <f t="shared" si="66"/>
        <v>133.57685105452356</v>
      </c>
      <c r="AJ41" s="21">
        <f t="shared" si="67"/>
        <v>22.898888752204041</v>
      </c>
      <c r="AK41" s="21">
        <f t="shared" si="68"/>
        <v>16.01830353963393</v>
      </c>
      <c r="AL41" s="21">
        <f t="shared" si="69"/>
        <v>34.01146641977067</v>
      </c>
      <c r="AM41" s="21">
        <f t="shared" si="70"/>
        <v>9.2160102556797945</v>
      </c>
      <c r="AN41" s="21">
        <f t="shared" si="71"/>
        <v>22.381739192365217</v>
      </c>
      <c r="AO41" s="21">
        <f t="shared" si="72"/>
        <v>74.506306734144459</v>
      </c>
      <c r="AP41" s="21">
        <f t="shared" si="73"/>
        <v>19.722257664920594</v>
      </c>
      <c r="AQ41" s="21">
        <f t="shared" si="74"/>
        <v>74.506306734144459</v>
      </c>
      <c r="AR41" s="21">
        <f t="shared" si="75"/>
        <v>19.722257664920594</v>
      </c>
      <c r="AT41">
        <f t="shared" si="76"/>
        <v>0.70918183964652526</v>
      </c>
      <c r="AU41">
        <f t="shared" si="77"/>
        <v>0.29081816035347469</v>
      </c>
      <c r="AV41">
        <f t="shared" si="78"/>
        <v>0.2057053342072464</v>
      </c>
      <c r="AW41">
        <f t="shared" si="80"/>
        <v>0.68765559507705021</v>
      </c>
      <c r="AX41">
        <f t="shared" si="81"/>
        <v>0.70733318014673507</v>
      </c>
      <c r="AY41">
        <f t="shared" si="82"/>
        <v>0.96964636801725723</v>
      </c>
    </row>
    <row r="42" spans="1:51" x14ac:dyDescent="0.3">
      <c r="A42" t="s">
        <v>23</v>
      </c>
      <c r="B42" t="s">
        <v>16</v>
      </c>
      <c r="C42">
        <v>2006</v>
      </c>
      <c r="D42">
        <v>56</v>
      </c>
      <c r="E42">
        <v>50</v>
      </c>
      <c r="F42">
        <v>54</v>
      </c>
      <c r="G42">
        <v>34</v>
      </c>
      <c r="H42">
        <v>33</v>
      </c>
      <c r="I42">
        <f>15+167</f>
        <v>182</v>
      </c>
      <c r="J42">
        <v>16</v>
      </c>
      <c r="K42">
        <v>107</v>
      </c>
      <c r="L42">
        <v>10</v>
      </c>
      <c r="M42">
        <v>52</v>
      </c>
      <c r="N42">
        <v>10</v>
      </c>
      <c r="O42">
        <v>32</v>
      </c>
      <c r="Q42">
        <v>4334</v>
      </c>
      <c r="R42">
        <v>1506</v>
      </c>
      <c r="S42">
        <v>1475</v>
      </c>
      <c r="U42" s="13">
        <f t="shared" si="57"/>
        <v>0.59248120300751883</v>
      </c>
      <c r="V42" s="13">
        <f t="shared" si="58"/>
        <v>0.20587833219412166</v>
      </c>
      <c r="W42" s="13">
        <f t="shared" si="59"/>
        <v>0.20164046479835954</v>
      </c>
      <c r="X42" s="13"/>
      <c r="Y42" s="13">
        <f t="shared" si="60"/>
        <v>0.27676240208877284</v>
      </c>
      <c r="Z42" s="13">
        <f t="shared" si="61"/>
        <v>0.56135770234986948</v>
      </c>
      <c r="AA42" s="13">
        <f t="shared" si="62"/>
        <v>0.16187989556135771</v>
      </c>
      <c r="AC42" s="14">
        <f t="shared" si="79"/>
        <v>2.1407575542630162</v>
      </c>
      <c r="AD42" s="14">
        <f t="shared" si="63"/>
        <v>0.36675070339697019</v>
      </c>
      <c r="AE42" s="14">
        <f t="shared" si="63"/>
        <v>1.2456177099640597</v>
      </c>
      <c r="AG42" s="21">
        <f t="shared" si="64"/>
        <v>119.8824230387289</v>
      </c>
      <c r="AH42" s="21">
        <f t="shared" si="65"/>
        <v>107.03787771315081</v>
      </c>
      <c r="AI42" s="21">
        <f t="shared" si="66"/>
        <v>115.60090793020288</v>
      </c>
      <c r="AJ42" s="21">
        <f t="shared" si="67"/>
        <v>72.785756844942554</v>
      </c>
      <c r="AK42" s="21">
        <f t="shared" si="68"/>
        <v>12.102773212100017</v>
      </c>
      <c r="AL42" s="21">
        <f t="shared" si="69"/>
        <v>66.748628018248581</v>
      </c>
      <c r="AM42" s="21">
        <f t="shared" si="70"/>
        <v>5.868011254351523</v>
      </c>
      <c r="AN42" s="21">
        <f t="shared" si="71"/>
        <v>39.242325263475813</v>
      </c>
      <c r="AO42" s="21">
        <f t="shared" si="72"/>
        <v>12.456177099640598</v>
      </c>
      <c r="AP42" s="21">
        <f t="shared" si="73"/>
        <v>64.772120918131108</v>
      </c>
      <c r="AQ42" s="21">
        <f t="shared" si="74"/>
        <v>12.456177099640598</v>
      </c>
      <c r="AR42" s="21">
        <f t="shared" si="75"/>
        <v>39.859766718849912</v>
      </c>
      <c r="AT42">
        <f t="shared" si="76"/>
        <v>0.37713152310827552</v>
      </c>
      <c r="AU42">
        <f t="shared" si="77"/>
        <v>0.62286847689172453</v>
      </c>
      <c r="AV42">
        <f t="shared" si="78"/>
        <v>0.39657401782576573</v>
      </c>
      <c r="AW42">
        <f t="shared" si="80"/>
        <v>0.34967388063758487</v>
      </c>
      <c r="AX42">
        <f t="shared" si="81"/>
        <v>0.63668981902049859</v>
      </c>
      <c r="AY42">
        <f t="shared" si="82"/>
        <v>0.92719345695531408</v>
      </c>
    </row>
    <row r="43" spans="1:51" x14ac:dyDescent="0.3">
      <c r="A43" t="s">
        <v>23</v>
      </c>
      <c r="B43" t="s">
        <v>16</v>
      </c>
      <c r="C43">
        <v>2007</v>
      </c>
      <c r="D43">
        <v>163</v>
      </c>
      <c r="E43">
        <v>27</v>
      </c>
      <c r="F43">
        <v>153</v>
      </c>
      <c r="G43">
        <v>11</v>
      </c>
      <c r="H43">
        <v>35</v>
      </c>
      <c r="I43">
        <f>21+76</f>
        <v>97</v>
      </c>
      <c r="J43">
        <v>19</v>
      </c>
      <c r="K43">
        <v>59</v>
      </c>
      <c r="L43">
        <v>29</v>
      </c>
      <c r="M43">
        <v>23</v>
      </c>
      <c r="N43">
        <v>27</v>
      </c>
      <c r="O43">
        <v>6</v>
      </c>
      <c r="Q43">
        <v>8528</v>
      </c>
      <c r="R43">
        <v>1544</v>
      </c>
      <c r="S43">
        <v>1810</v>
      </c>
      <c r="U43" s="13">
        <f t="shared" si="57"/>
        <v>0.71772428884026263</v>
      </c>
      <c r="V43" s="13">
        <f t="shared" si="58"/>
        <v>0.12994445379565731</v>
      </c>
      <c r="W43" s="13">
        <f t="shared" si="59"/>
        <v>0.15233125736408012</v>
      </c>
      <c r="X43" s="13"/>
      <c r="Y43" s="13">
        <f t="shared" si="60"/>
        <v>0.50802139037433158</v>
      </c>
      <c r="Z43" s="13">
        <f t="shared" si="61"/>
        <v>0.35294117647058826</v>
      </c>
      <c r="AA43" s="13">
        <f t="shared" si="62"/>
        <v>0.13903743315508021</v>
      </c>
      <c r="AC43" s="14">
        <f t="shared" si="79"/>
        <v>1.412783600138201</v>
      </c>
      <c r="AD43" s="14">
        <f t="shared" si="63"/>
        <v>0.36817595242102902</v>
      </c>
      <c r="AE43" s="14">
        <f t="shared" si="63"/>
        <v>1.0956132741185762</v>
      </c>
      <c r="AG43" s="21">
        <f t="shared" si="64"/>
        <v>230.28372682252677</v>
      </c>
      <c r="AH43" s="21">
        <f t="shared" si="65"/>
        <v>38.145157203731429</v>
      </c>
      <c r="AI43" s="21">
        <f t="shared" si="66"/>
        <v>216.15589082114477</v>
      </c>
      <c r="AJ43" s="21">
        <f t="shared" si="67"/>
        <v>15.540619601520211</v>
      </c>
      <c r="AK43" s="21">
        <f t="shared" si="68"/>
        <v>12.886158334736015</v>
      </c>
      <c r="AL43" s="21">
        <f t="shared" si="69"/>
        <v>35.713067384839817</v>
      </c>
      <c r="AM43" s="21">
        <f t="shared" si="70"/>
        <v>6.9953430959995515</v>
      </c>
      <c r="AN43" s="21">
        <f t="shared" si="71"/>
        <v>21.722381192840711</v>
      </c>
      <c r="AO43" s="21">
        <f t="shared" si="72"/>
        <v>31.772784949438712</v>
      </c>
      <c r="AP43" s="21">
        <f t="shared" si="73"/>
        <v>25.199105304727254</v>
      </c>
      <c r="AQ43" s="21">
        <f t="shared" si="74"/>
        <v>29.581558401201558</v>
      </c>
      <c r="AR43" s="21">
        <f t="shared" si="75"/>
        <v>6.5736796447114578</v>
      </c>
      <c r="AT43">
        <f t="shared" si="76"/>
        <v>0.7351408291623035</v>
      </c>
      <c r="AU43">
        <f t="shared" si="77"/>
        <v>0.26485917083769656</v>
      </c>
      <c r="AV43">
        <f t="shared" si="78"/>
        <v>0.11721037550554114</v>
      </c>
      <c r="AW43">
        <f t="shared" si="80"/>
        <v>0.6757561291934383</v>
      </c>
      <c r="AX43">
        <f t="shared" si="81"/>
        <v>0.44253848237472077</v>
      </c>
      <c r="AY43">
        <f t="shared" si="82"/>
        <v>0.919219967640031</v>
      </c>
    </row>
    <row r="44" spans="1:51" x14ac:dyDescent="0.3">
      <c r="A44" t="s">
        <v>23</v>
      </c>
      <c r="B44" t="s">
        <v>16</v>
      </c>
      <c r="C44">
        <v>2008</v>
      </c>
      <c r="D44">
        <v>64</v>
      </c>
      <c r="E44">
        <v>26</v>
      </c>
      <c r="F44">
        <v>54</v>
      </c>
      <c r="G44">
        <v>13</v>
      </c>
      <c r="H44">
        <v>39</v>
      </c>
      <c r="I44">
        <f>7+118</f>
        <v>125</v>
      </c>
      <c r="J44">
        <v>22</v>
      </c>
      <c r="K44">
        <v>79</v>
      </c>
      <c r="L44">
        <v>40</v>
      </c>
      <c r="M44">
        <v>33</v>
      </c>
      <c r="N44">
        <v>38</v>
      </c>
      <c r="O44">
        <v>7</v>
      </c>
      <c r="Q44">
        <v>5234</v>
      </c>
      <c r="R44">
        <v>2460</v>
      </c>
      <c r="S44">
        <v>1373</v>
      </c>
      <c r="U44" s="13">
        <f t="shared" si="57"/>
        <v>0.57725818903716775</v>
      </c>
      <c r="V44" s="13">
        <f t="shared" si="58"/>
        <v>0.27131355464872614</v>
      </c>
      <c r="W44" s="13">
        <f t="shared" si="59"/>
        <v>0.15142825631410609</v>
      </c>
      <c r="X44" s="13"/>
      <c r="Y44" s="13">
        <f t="shared" si="60"/>
        <v>0.27522935779816515</v>
      </c>
      <c r="Z44" s="13">
        <f t="shared" si="61"/>
        <v>0.50152905198776754</v>
      </c>
      <c r="AA44" s="13">
        <f t="shared" si="62"/>
        <v>0.22324159021406728</v>
      </c>
      <c r="AC44" s="14">
        <f t="shared" si="79"/>
        <v>2.097371420168376</v>
      </c>
      <c r="AD44" s="14">
        <f t="shared" si="63"/>
        <v>0.54097275835447234</v>
      </c>
      <c r="AE44" s="14">
        <f t="shared" si="63"/>
        <v>0.67831561390017381</v>
      </c>
      <c r="AG44" s="21">
        <f t="shared" si="64"/>
        <v>134.23177089077606</v>
      </c>
      <c r="AH44" s="21">
        <f t="shared" si="65"/>
        <v>54.531656924377778</v>
      </c>
      <c r="AI44" s="21">
        <f t="shared" si="66"/>
        <v>113.2580566890923</v>
      </c>
      <c r="AJ44" s="21">
        <f t="shared" si="67"/>
        <v>27.265828462188889</v>
      </c>
      <c r="AK44" s="21">
        <f t="shared" si="68"/>
        <v>21.097937575824421</v>
      </c>
      <c r="AL44" s="21">
        <f t="shared" si="69"/>
        <v>67.621594794309047</v>
      </c>
      <c r="AM44" s="21">
        <f t="shared" si="70"/>
        <v>11.901400683798391</v>
      </c>
      <c r="AN44" s="21">
        <f t="shared" si="71"/>
        <v>42.736847910003313</v>
      </c>
      <c r="AO44" s="21">
        <f t="shared" si="72"/>
        <v>27.132624556006952</v>
      </c>
      <c r="AP44" s="21">
        <f t="shared" si="73"/>
        <v>22.384415258705737</v>
      </c>
      <c r="AQ44" s="21">
        <f t="shared" si="74"/>
        <v>25.775993328206603</v>
      </c>
      <c r="AR44" s="21">
        <f t="shared" si="75"/>
        <v>4.7482092973012167</v>
      </c>
      <c r="AT44">
        <f t="shared" si="76"/>
        <v>0.55798878600185764</v>
      </c>
      <c r="AU44">
        <f t="shared" si="77"/>
        <v>0.44201121399814236</v>
      </c>
      <c r="AV44">
        <f t="shared" si="78"/>
        <v>0.22859598064065265</v>
      </c>
      <c r="AW44">
        <f t="shared" si="80"/>
        <v>0.46157630183821802</v>
      </c>
      <c r="AX44">
        <f t="shared" si="81"/>
        <v>0.51717235536384676</v>
      </c>
      <c r="AY44">
        <f t="shared" si="82"/>
        <v>0.82721429788139389</v>
      </c>
    </row>
    <row r="45" spans="1:51" x14ac:dyDescent="0.3">
      <c r="A45" t="s">
        <v>23</v>
      </c>
      <c r="B45" t="s">
        <v>16</v>
      </c>
      <c r="C45">
        <v>2009</v>
      </c>
      <c r="D45">
        <v>187</v>
      </c>
      <c r="E45">
        <v>54</v>
      </c>
      <c r="F45">
        <v>168</v>
      </c>
      <c r="G45">
        <v>30</v>
      </c>
      <c r="H45">
        <v>15</v>
      </c>
      <c r="I45">
        <f>12+68</f>
        <v>80</v>
      </c>
      <c r="J45">
        <v>3</v>
      </c>
      <c r="K45">
        <v>38</v>
      </c>
      <c r="L45">
        <v>20</v>
      </c>
      <c r="M45">
        <v>11</v>
      </c>
      <c r="N45">
        <v>18</v>
      </c>
      <c r="O45">
        <v>6</v>
      </c>
      <c r="Q45">
        <v>5490</v>
      </c>
      <c r="R45">
        <v>1687</v>
      </c>
      <c r="S45">
        <v>751</v>
      </c>
      <c r="U45" s="13">
        <f t="shared" si="57"/>
        <v>0.69248234106962669</v>
      </c>
      <c r="V45" s="13">
        <f t="shared" si="58"/>
        <v>0.21279011099899092</v>
      </c>
      <c r="W45" s="13">
        <f t="shared" si="59"/>
        <v>9.4727547931382439E-2</v>
      </c>
      <c r="X45" s="13"/>
      <c r="Y45" s="13">
        <f t="shared" si="60"/>
        <v>0.65667574931880113</v>
      </c>
      <c r="Z45" s="13">
        <f t="shared" si="61"/>
        <v>0.25885558583106266</v>
      </c>
      <c r="AA45" s="13">
        <f t="shared" si="62"/>
        <v>8.4468664850136238E-2</v>
      </c>
      <c r="AC45" s="14">
        <f t="shared" si="79"/>
        <v>1.0545270505085187</v>
      </c>
      <c r="AD45" s="14">
        <f t="shared" si="63"/>
        <v>0.82204179722768078</v>
      </c>
      <c r="AE45" s="14">
        <f t="shared" si="63"/>
        <v>1.1214519384134631</v>
      </c>
      <c r="AG45" s="21">
        <f t="shared" si="64"/>
        <v>197.19655844509299</v>
      </c>
      <c r="AH45" s="21">
        <f t="shared" si="65"/>
        <v>56.944460727460012</v>
      </c>
      <c r="AI45" s="21">
        <f t="shared" si="66"/>
        <v>177.16054448543113</v>
      </c>
      <c r="AJ45" s="21">
        <f t="shared" si="67"/>
        <v>31.635811515255561</v>
      </c>
      <c r="AK45" s="21">
        <f t="shared" si="68"/>
        <v>12.330626958415213</v>
      </c>
      <c r="AL45" s="21">
        <f t="shared" si="69"/>
        <v>65.763343778214463</v>
      </c>
      <c r="AM45" s="21">
        <f t="shared" si="70"/>
        <v>2.4661253916830423</v>
      </c>
      <c r="AN45" s="21">
        <f t="shared" si="71"/>
        <v>31.237588294651871</v>
      </c>
      <c r="AO45" s="21">
        <f t="shared" si="72"/>
        <v>22.429038768269262</v>
      </c>
      <c r="AP45" s="21">
        <f t="shared" si="73"/>
        <v>12.335971322548094</v>
      </c>
      <c r="AQ45" s="21">
        <f t="shared" si="74"/>
        <v>20.186134891442336</v>
      </c>
      <c r="AR45" s="21">
        <f t="shared" si="75"/>
        <v>6.7287116304807792</v>
      </c>
      <c r="AT45">
        <f t="shared" si="76"/>
        <v>0.63203330836996574</v>
      </c>
      <c r="AU45">
        <f t="shared" si="77"/>
        <v>0.3679666916300342</v>
      </c>
      <c r="AV45">
        <f t="shared" si="78"/>
        <v>0.18965152981032207</v>
      </c>
      <c r="AW45">
        <f t="shared" si="80"/>
        <v>0.54444905931486787</v>
      </c>
      <c r="AX45">
        <f t="shared" si="81"/>
        <v>0.51540406815137485</v>
      </c>
      <c r="AY45">
        <f t="shared" si="82"/>
        <v>0.86142463079836629</v>
      </c>
    </row>
    <row r="46" spans="1:51" x14ac:dyDescent="0.3">
      <c r="A46" t="s">
        <v>23</v>
      </c>
      <c r="B46" t="s">
        <v>16</v>
      </c>
      <c r="C46">
        <v>2010</v>
      </c>
      <c r="D46">
        <v>165</v>
      </c>
      <c r="E46">
        <v>46</v>
      </c>
      <c r="F46">
        <v>145</v>
      </c>
      <c r="G46">
        <v>35</v>
      </c>
      <c r="H46">
        <v>18</v>
      </c>
      <c r="I46">
        <f>14+109</f>
        <v>123</v>
      </c>
      <c r="J46">
        <v>4</v>
      </c>
      <c r="K46">
        <v>43</v>
      </c>
      <c r="L46">
        <v>42</v>
      </c>
      <c r="M46">
        <v>57</v>
      </c>
      <c r="N46">
        <v>42</v>
      </c>
      <c r="O46">
        <v>24</v>
      </c>
      <c r="Q46">
        <v>8335</v>
      </c>
      <c r="R46">
        <v>1557</v>
      </c>
      <c r="S46">
        <v>1205</v>
      </c>
      <c r="U46" s="13">
        <f t="shared" si="57"/>
        <v>0.75110390195548349</v>
      </c>
      <c r="V46" s="13">
        <f t="shared" si="58"/>
        <v>0.14030819140308193</v>
      </c>
      <c r="W46" s="13">
        <f t="shared" si="59"/>
        <v>0.10858790664143463</v>
      </c>
      <c r="X46" s="13"/>
      <c r="Y46" s="13">
        <f t="shared" si="60"/>
        <v>0.46784922394678491</v>
      </c>
      <c r="Z46" s="13">
        <f t="shared" si="61"/>
        <v>0.31263858093126384</v>
      </c>
      <c r="AA46" s="13">
        <f t="shared" si="62"/>
        <v>0.21951219512195122</v>
      </c>
      <c r="AC46" s="14">
        <f t="shared" si="79"/>
        <v>1.6054400937531899</v>
      </c>
      <c r="AD46" s="14">
        <f t="shared" si="63"/>
        <v>0.44878719377865217</v>
      </c>
      <c r="AE46" s="14">
        <f t="shared" si="63"/>
        <v>0.49467824136653554</v>
      </c>
      <c r="AG46" s="21">
        <f t="shared" si="64"/>
        <v>264.89761546927633</v>
      </c>
      <c r="AH46" s="21">
        <f t="shared" si="65"/>
        <v>73.850244312646737</v>
      </c>
      <c r="AI46" s="21">
        <f t="shared" si="66"/>
        <v>232.78881359421254</v>
      </c>
      <c r="AJ46" s="21">
        <f t="shared" si="67"/>
        <v>56.190403281361647</v>
      </c>
      <c r="AK46" s="21">
        <f t="shared" si="68"/>
        <v>8.0781694880157389</v>
      </c>
      <c r="AL46" s="21">
        <f t="shared" si="69"/>
        <v>55.200824834774217</v>
      </c>
      <c r="AM46" s="21">
        <f t="shared" si="70"/>
        <v>1.7951487751146087</v>
      </c>
      <c r="AN46" s="21">
        <f t="shared" si="71"/>
        <v>19.297849332482045</v>
      </c>
      <c r="AO46" s="21">
        <f t="shared" si="72"/>
        <v>20.776486137394492</v>
      </c>
      <c r="AP46" s="21">
        <f t="shared" si="73"/>
        <v>28.196659757892526</v>
      </c>
      <c r="AQ46" s="21">
        <f t="shared" si="74"/>
        <v>20.776486137394492</v>
      </c>
      <c r="AR46" s="21">
        <f t="shared" si="75"/>
        <v>11.872277792796853</v>
      </c>
      <c r="AT46">
        <f t="shared" si="76"/>
        <v>0.6513354126267995</v>
      </c>
      <c r="AU46">
        <f t="shared" si="77"/>
        <v>0.34866458737320055</v>
      </c>
      <c r="AV46">
        <f t="shared" si="78"/>
        <v>0.19370405855130937</v>
      </c>
      <c r="AW46">
        <f t="shared" si="80"/>
        <v>0.56620942019228737</v>
      </c>
      <c r="AX46">
        <f t="shared" si="81"/>
        <v>0.55555988639584475</v>
      </c>
      <c r="AY46">
        <f t="shared" si="82"/>
        <v>0.8693054441931789</v>
      </c>
    </row>
    <row r="47" spans="1:51" x14ac:dyDescent="0.3">
      <c r="A47" t="s">
        <v>23</v>
      </c>
      <c r="B47" t="s">
        <v>16</v>
      </c>
      <c r="C47">
        <v>2011</v>
      </c>
      <c r="D47">
        <v>232</v>
      </c>
      <c r="E47">
        <v>43</v>
      </c>
      <c r="F47">
        <v>187</v>
      </c>
      <c r="G47">
        <v>25</v>
      </c>
      <c r="H47">
        <v>11</v>
      </c>
      <c r="I47">
        <f>20+59</f>
        <v>79</v>
      </c>
      <c r="J47">
        <v>5</v>
      </c>
      <c r="K47">
        <v>43</v>
      </c>
      <c r="L47">
        <v>22</v>
      </c>
      <c r="M47">
        <v>86</v>
      </c>
      <c r="N47">
        <v>16</v>
      </c>
      <c r="O47">
        <v>10</v>
      </c>
      <c r="Q47">
        <v>8486</v>
      </c>
      <c r="R47">
        <v>1538</v>
      </c>
      <c r="S47">
        <v>717</v>
      </c>
      <c r="U47" s="13">
        <f t="shared" si="57"/>
        <v>0.79005679173261334</v>
      </c>
      <c r="V47" s="13">
        <f t="shared" si="58"/>
        <v>0.14318964714644819</v>
      </c>
      <c r="W47" s="13">
        <f t="shared" si="59"/>
        <v>6.6753561120938457E-2</v>
      </c>
      <c r="X47" s="13"/>
      <c r="Y47" s="13">
        <f t="shared" si="60"/>
        <v>0.58139534883720934</v>
      </c>
      <c r="Z47" s="13">
        <f t="shared" si="61"/>
        <v>0.19027484143763213</v>
      </c>
      <c r="AA47" s="13">
        <f t="shared" si="62"/>
        <v>0.22832980972515857</v>
      </c>
      <c r="AC47" s="14">
        <f t="shared" si="79"/>
        <v>1.3588976817800948</v>
      </c>
      <c r="AD47" s="14">
        <f t="shared" si="63"/>
        <v>0.75254114555855556</v>
      </c>
      <c r="AE47" s="14">
        <f t="shared" si="63"/>
        <v>0.29235587416855452</v>
      </c>
      <c r="AG47" s="21">
        <f t="shared" si="64"/>
        <v>315.264262172982</v>
      </c>
      <c r="AH47" s="21">
        <f t="shared" si="65"/>
        <v>58.432600316544075</v>
      </c>
      <c r="AI47" s="21">
        <f t="shared" si="66"/>
        <v>254.11386649287775</v>
      </c>
      <c r="AJ47" s="21">
        <f t="shared" si="67"/>
        <v>33.972442044502372</v>
      </c>
      <c r="AK47" s="21">
        <f t="shared" si="68"/>
        <v>8.2779526011441114</v>
      </c>
      <c r="AL47" s="21">
        <f t="shared" si="69"/>
        <v>59.450750499125888</v>
      </c>
      <c r="AM47" s="21">
        <f t="shared" si="70"/>
        <v>3.7627057277927776</v>
      </c>
      <c r="AN47" s="21">
        <f t="shared" si="71"/>
        <v>32.359269259017886</v>
      </c>
      <c r="AO47" s="21">
        <f t="shared" si="72"/>
        <v>6.4318292317081998</v>
      </c>
      <c r="AP47" s="21">
        <f t="shared" si="73"/>
        <v>25.142605178495689</v>
      </c>
      <c r="AQ47" s="21">
        <f t="shared" si="74"/>
        <v>4.6776939866968723</v>
      </c>
      <c r="AR47" s="21">
        <f t="shared" si="75"/>
        <v>2.9235587416855453</v>
      </c>
      <c r="AT47">
        <f t="shared" si="76"/>
        <v>0.69761954335271537</v>
      </c>
      <c r="AU47">
        <f t="shared" si="77"/>
        <v>0.30238045664728469</v>
      </c>
      <c r="AV47">
        <f t="shared" si="78"/>
        <v>0.14641706140635474</v>
      </c>
      <c r="AW47">
        <f t="shared" si="80"/>
        <v>0.5550830152375632</v>
      </c>
      <c r="AX47">
        <f t="shared" si="81"/>
        <v>0.4842146977016597</v>
      </c>
      <c r="AY47">
        <f t="shared" si="82"/>
        <v>0.79568157246551519</v>
      </c>
    </row>
    <row r="48" spans="1:51" x14ac:dyDescent="0.3">
      <c r="A48" t="s">
        <v>23</v>
      </c>
      <c r="B48" t="s">
        <v>16</v>
      </c>
      <c r="C48">
        <v>2012</v>
      </c>
      <c r="D48">
        <v>190</v>
      </c>
      <c r="E48">
        <f>8+131</f>
        <v>139</v>
      </c>
      <c r="F48">
        <v>166</v>
      </c>
      <c r="G48">
        <v>44</v>
      </c>
      <c r="H48">
        <v>111</v>
      </c>
      <c r="I48">
        <f>21+62</f>
        <v>83</v>
      </c>
      <c r="J48">
        <v>76</v>
      </c>
      <c r="K48">
        <v>27</v>
      </c>
      <c r="L48">
        <v>39</v>
      </c>
      <c r="M48">
        <v>39</v>
      </c>
      <c r="N48">
        <v>39</v>
      </c>
      <c r="O48">
        <v>20</v>
      </c>
      <c r="Q48">
        <v>9649</v>
      </c>
      <c r="R48">
        <v>2478</v>
      </c>
      <c r="S48">
        <v>1024</v>
      </c>
      <c r="U48" s="13">
        <f t="shared" si="57"/>
        <v>0.73370846323473504</v>
      </c>
      <c r="V48" s="13">
        <f t="shared" si="58"/>
        <v>0.18842673560945936</v>
      </c>
      <c r="W48" s="13">
        <f t="shared" si="59"/>
        <v>7.7864801155805644E-2</v>
      </c>
      <c r="X48" s="13"/>
      <c r="Y48" s="13">
        <f t="shared" si="60"/>
        <v>0.54742096505823623</v>
      </c>
      <c r="Z48" s="13">
        <f t="shared" si="61"/>
        <v>0.32279534109816971</v>
      </c>
      <c r="AA48" s="13">
        <f t="shared" si="62"/>
        <v>0.12978369384359401</v>
      </c>
      <c r="AC48" s="14">
        <f t="shared" si="79"/>
        <v>1.3403002626263703</v>
      </c>
      <c r="AD48" s="14">
        <f t="shared" si="63"/>
        <v>0.58373437165610864</v>
      </c>
      <c r="AE48" s="14">
        <f t="shared" si="63"/>
        <v>0.59995827557229731</v>
      </c>
      <c r="AG48" s="21">
        <f t="shared" si="64"/>
        <v>254.65704989901036</v>
      </c>
      <c r="AH48" s="21">
        <f t="shared" si="65"/>
        <v>186.30173650506546</v>
      </c>
      <c r="AI48" s="21">
        <f t="shared" si="66"/>
        <v>222.48984359597748</v>
      </c>
      <c r="AJ48" s="21">
        <f t="shared" si="67"/>
        <v>58.97321155556029</v>
      </c>
      <c r="AK48" s="21">
        <f t="shared" si="68"/>
        <v>64.794515253828052</v>
      </c>
      <c r="AL48" s="21">
        <f t="shared" si="69"/>
        <v>48.44995284745702</v>
      </c>
      <c r="AM48" s="21">
        <f t="shared" si="70"/>
        <v>44.36381224586426</v>
      </c>
      <c r="AN48" s="21">
        <f t="shared" si="71"/>
        <v>15.760828034714933</v>
      </c>
      <c r="AO48" s="21">
        <f t="shared" si="72"/>
        <v>23.398372747319595</v>
      </c>
      <c r="AP48" s="21">
        <f t="shared" si="73"/>
        <v>23.398372747319595</v>
      </c>
      <c r="AQ48" s="21">
        <f t="shared" si="74"/>
        <v>23.398372747319595</v>
      </c>
      <c r="AR48" s="21">
        <f t="shared" si="75"/>
        <v>11.999165511445947</v>
      </c>
      <c r="AT48">
        <f t="shared" si="76"/>
        <v>0.57046578685550398</v>
      </c>
      <c r="AU48">
        <f t="shared" si="77"/>
        <v>0.42953421314449586</v>
      </c>
      <c r="AV48">
        <f t="shared" si="78"/>
        <v>0.14431481714096697</v>
      </c>
      <c r="AW48">
        <f t="shared" si="80"/>
        <v>0.48294846687048459</v>
      </c>
      <c r="AX48">
        <f t="shared" si="81"/>
        <v>0.33597979561274033</v>
      </c>
      <c r="AY48">
        <f t="shared" si="82"/>
        <v>0.84658620726857547</v>
      </c>
    </row>
    <row r="49" spans="1:51" x14ac:dyDescent="0.3">
      <c r="A49" t="s">
        <v>23</v>
      </c>
      <c r="B49" t="s">
        <v>16</v>
      </c>
      <c r="C49">
        <v>2013</v>
      </c>
      <c r="D49">
        <v>103</v>
      </c>
      <c r="E49">
        <f>8+46</f>
        <v>54</v>
      </c>
      <c r="F49">
        <v>78</v>
      </c>
      <c r="G49">
        <v>22</v>
      </c>
      <c r="H49">
        <v>242</v>
      </c>
      <c r="I49">
        <f>11+78</f>
        <v>89</v>
      </c>
      <c r="J49">
        <v>212</v>
      </c>
      <c r="K49">
        <v>37</v>
      </c>
      <c r="L49">
        <v>26</v>
      </c>
      <c r="M49">
        <v>31</v>
      </c>
      <c r="N49">
        <v>23</v>
      </c>
      <c r="O49">
        <v>19</v>
      </c>
      <c r="Q49">
        <v>9859</v>
      </c>
      <c r="R49">
        <v>2794</v>
      </c>
      <c r="S49">
        <v>1267</v>
      </c>
      <c r="U49" s="13">
        <f t="shared" si="57"/>
        <v>0.70826149425287355</v>
      </c>
      <c r="V49" s="13">
        <f t="shared" si="58"/>
        <v>0.20071839080459769</v>
      </c>
      <c r="W49" s="13">
        <f t="shared" si="59"/>
        <v>9.1020114942528735E-2</v>
      </c>
      <c r="X49" s="13"/>
      <c r="Y49" s="13">
        <f t="shared" si="60"/>
        <v>0.28807339449541286</v>
      </c>
      <c r="Z49" s="13">
        <f t="shared" si="61"/>
        <v>0.60733944954128438</v>
      </c>
      <c r="AA49" s="13">
        <f t="shared" si="62"/>
        <v>0.10458715596330276</v>
      </c>
      <c r="AC49" s="14">
        <f t="shared" si="79"/>
        <v>2.4586147411962807</v>
      </c>
      <c r="AD49" s="14">
        <f t="shared" si="63"/>
        <v>0.33048798485953396</v>
      </c>
      <c r="AE49" s="14">
        <f t="shared" si="63"/>
        <v>0.87028004638031853</v>
      </c>
      <c r="AG49" s="21">
        <f t="shared" si="64"/>
        <v>253.23731834321691</v>
      </c>
      <c r="AH49" s="21">
        <f t="shared" si="65"/>
        <v>132.76519602459916</v>
      </c>
      <c r="AI49" s="21">
        <f t="shared" si="66"/>
        <v>191.7719498133099</v>
      </c>
      <c r="AJ49" s="21">
        <f t="shared" si="67"/>
        <v>54.089524306318175</v>
      </c>
      <c r="AK49" s="21">
        <f t="shared" si="68"/>
        <v>79.978092336007222</v>
      </c>
      <c r="AL49" s="21">
        <f t="shared" si="69"/>
        <v>29.413430652498523</v>
      </c>
      <c r="AM49" s="21">
        <f t="shared" si="70"/>
        <v>70.063452790221206</v>
      </c>
      <c r="AN49" s="21">
        <f t="shared" si="71"/>
        <v>12.228055439802757</v>
      </c>
      <c r="AO49" s="21">
        <f t="shared" si="72"/>
        <v>22.627281205888281</v>
      </c>
      <c r="AP49" s="21">
        <f t="shared" si="73"/>
        <v>26.978681437789874</v>
      </c>
      <c r="AQ49" s="21">
        <f t="shared" si="74"/>
        <v>20.016441066747326</v>
      </c>
      <c r="AR49" s="21">
        <f t="shared" si="75"/>
        <v>16.535320881226053</v>
      </c>
      <c r="AT49">
        <f t="shared" si="76"/>
        <v>0.652922370431399</v>
      </c>
      <c r="AU49">
        <f t="shared" si="77"/>
        <v>0.34707762956860111</v>
      </c>
      <c r="AV49">
        <f t="shared" si="78"/>
        <v>0.15202367087586605</v>
      </c>
      <c r="AW49">
        <f t="shared" si="80"/>
        <v>0.51715934618399728</v>
      </c>
      <c r="AX49">
        <f t="shared" si="81"/>
        <v>0.43801057148172678</v>
      </c>
      <c r="AY49">
        <f t="shared" si="82"/>
        <v>0.79206865870179877</v>
      </c>
    </row>
    <row r="50" spans="1:51" x14ac:dyDescent="0.3">
      <c r="A50" t="s">
        <v>23</v>
      </c>
      <c r="B50" t="s">
        <v>16</v>
      </c>
      <c r="C50">
        <v>2014</v>
      </c>
      <c r="D50">
        <v>203</v>
      </c>
      <c r="E50">
        <v>45</v>
      </c>
      <c r="F50">
        <v>155</v>
      </c>
      <c r="G50">
        <v>13</v>
      </c>
      <c r="H50">
        <v>143</v>
      </c>
      <c r="I50">
        <f>17+78</f>
        <v>95</v>
      </c>
      <c r="J50">
        <v>115</v>
      </c>
      <c r="K50">
        <v>33</v>
      </c>
      <c r="L50">
        <v>170</v>
      </c>
      <c r="M50">
        <v>44</v>
      </c>
      <c r="N50">
        <v>163</v>
      </c>
      <c r="O50">
        <v>21</v>
      </c>
      <c r="Q50">
        <v>10063</v>
      </c>
      <c r="R50">
        <v>3206</v>
      </c>
      <c r="S50">
        <v>1271</v>
      </c>
      <c r="U50" s="13">
        <f t="shared" si="57"/>
        <v>0.69209078404401647</v>
      </c>
      <c r="V50" s="13">
        <f t="shared" si="58"/>
        <v>0.2204951856946355</v>
      </c>
      <c r="W50" s="13">
        <f t="shared" si="59"/>
        <v>8.7414030261348002E-2</v>
      </c>
      <c r="X50" s="13"/>
      <c r="Y50" s="13">
        <f t="shared" si="60"/>
        <v>0.35428571428571426</v>
      </c>
      <c r="Z50" s="13">
        <f t="shared" si="61"/>
        <v>0.34</v>
      </c>
      <c r="AA50" s="13">
        <f t="shared" si="62"/>
        <v>0.30571428571428572</v>
      </c>
      <c r="AC50" s="14">
        <f t="shared" si="79"/>
        <v>1.9534820517371434</v>
      </c>
      <c r="AD50" s="14">
        <f t="shared" ref="AD50:AD54" si="83">V50/Z50</f>
        <v>0.6485152520430455</v>
      </c>
      <c r="AE50" s="14">
        <f t="shared" ref="AE50:AE54" si="84">W50/AA50</f>
        <v>0.28593374384553083</v>
      </c>
      <c r="AG50" s="21">
        <f t="shared" si="64"/>
        <v>396.55685650264013</v>
      </c>
      <c r="AH50" s="21">
        <f t="shared" si="65"/>
        <v>87.906692328171459</v>
      </c>
      <c r="AI50" s="21">
        <f t="shared" si="66"/>
        <v>302.78971801925724</v>
      </c>
      <c r="AJ50" s="21">
        <f t="shared" si="67"/>
        <v>25.395266672582864</v>
      </c>
      <c r="AK50" s="21">
        <f t="shared" si="68"/>
        <v>92.737681042155501</v>
      </c>
      <c r="AL50" s="21">
        <f t="shared" si="69"/>
        <v>61.60894894408932</v>
      </c>
      <c r="AM50" s="21">
        <f t="shared" si="70"/>
        <v>74.579253984950228</v>
      </c>
      <c r="AN50" s="21">
        <f t="shared" si="71"/>
        <v>21.4010033174205</v>
      </c>
      <c r="AO50" s="21">
        <f t="shared" si="72"/>
        <v>48.608736453740242</v>
      </c>
      <c r="AP50" s="21">
        <f t="shared" si="73"/>
        <v>12.581084729203356</v>
      </c>
      <c r="AQ50" s="21">
        <f t="shared" si="74"/>
        <v>46.607200246821527</v>
      </c>
      <c r="AR50" s="21">
        <f t="shared" si="75"/>
        <v>6.0046086207561471</v>
      </c>
      <c r="AT50">
        <f t="shared" si="76"/>
        <v>0.76843324856933692</v>
      </c>
      <c r="AU50">
        <f t="shared" si="77"/>
        <v>0.23156675143066305</v>
      </c>
      <c r="AV50">
        <f t="shared" si="78"/>
        <v>7.5429826586799295E-2</v>
      </c>
      <c r="AW50">
        <f t="shared" si="80"/>
        <v>0.60568024607289861</v>
      </c>
      <c r="AX50">
        <f t="shared" si="81"/>
        <v>0.32573686041186661</v>
      </c>
      <c r="AY50">
        <f t="shared" si="82"/>
        <v>0.78820150898018704</v>
      </c>
    </row>
    <row r="51" spans="1:51" x14ac:dyDescent="0.3">
      <c r="A51" t="s">
        <v>23</v>
      </c>
      <c r="B51" t="s">
        <v>16</v>
      </c>
      <c r="C51">
        <v>2015</v>
      </c>
      <c r="D51">
        <v>134</v>
      </c>
      <c r="E51">
        <v>35</v>
      </c>
      <c r="F51">
        <v>110</v>
      </c>
      <c r="G51">
        <v>11</v>
      </c>
      <c r="H51">
        <v>146</v>
      </c>
      <c r="I51">
        <f>11+94</f>
        <v>105</v>
      </c>
      <c r="J51">
        <v>136</v>
      </c>
      <c r="K51">
        <v>59</v>
      </c>
      <c r="L51">
        <v>72</v>
      </c>
      <c r="M51">
        <v>26</v>
      </c>
      <c r="N51">
        <v>67</v>
      </c>
      <c r="O51">
        <v>7</v>
      </c>
      <c r="Q51">
        <v>14711</v>
      </c>
      <c r="R51">
        <v>3343</v>
      </c>
      <c r="S51">
        <v>1645</v>
      </c>
      <c r="U51" s="13">
        <f t="shared" si="57"/>
        <v>0.74678917711558968</v>
      </c>
      <c r="V51" s="13">
        <f t="shared" si="58"/>
        <v>0.16970404589065435</v>
      </c>
      <c r="W51" s="13">
        <f t="shared" si="59"/>
        <v>8.3506776993756027E-2</v>
      </c>
      <c r="X51" s="13"/>
      <c r="Y51" s="13">
        <f t="shared" si="60"/>
        <v>0.32625482625482627</v>
      </c>
      <c r="Z51" s="13">
        <f t="shared" si="61"/>
        <v>0.48455598455598453</v>
      </c>
      <c r="AA51" s="13">
        <f t="shared" si="62"/>
        <v>0.1891891891891892</v>
      </c>
      <c r="AC51" s="14">
        <f t="shared" si="79"/>
        <v>2.28897511092234</v>
      </c>
      <c r="AD51" s="14">
        <f t="shared" si="83"/>
        <v>0.35022587956716716</v>
      </c>
      <c r="AE51" s="14">
        <f t="shared" si="84"/>
        <v>0.44139296410985324</v>
      </c>
      <c r="AG51" s="21">
        <f t="shared" si="64"/>
        <v>306.72266486359354</v>
      </c>
      <c r="AH51" s="21">
        <f t="shared" si="65"/>
        <v>80.114128882281904</v>
      </c>
      <c r="AI51" s="21">
        <f t="shared" si="66"/>
        <v>251.78726220145739</v>
      </c>
      <c r="AJ51" s="21">
        <f t="shared" si="67"/>
        <v>25.178726220145741</v>
      </c>
      <c r="AK51" s="21">
        <f t="shared" si="68"/>
        <v>51.132978416806409</v>
      </c>
      <c r="AL51" s="21">
        <f t="shared" si="69"/>
        <v>36.773717354552552</v>
      </c>
      <c r="AM51" s="21">
        <f t="shared" si="70"/>
        <v>47.630719621134737</v>
      </c>
      <c r="AN51" s="21">
        <f t="shared" si="71"/>
        <v>20.663326894462863</v>
      </c>
      <c r="AO51" s="21">
        <f t="shared" si="72"/>
        <v>31.780293415909433</v>
      </c>
      <c r="AP51" s="21">
        <f t="shared" si="73"/>
        <v>11.476217066856185</v>
      </c>
      <c r="AQ51" s="21">
        <f t="shared" si="74"/>
        <v>29.573328595360167</v>
      </c>
      <c r="AR51" s="21">
        <f t="shared" si="75"/>
        <v>3.0897507487689726</v>
      </c>
      <c r="AT51">
        <f t="shared" si="76"/>
        <v>0.75219292798515325</v>
      </c>
      <c r="AU51">
        <f t="shared" si="77"/>
        <v>0.24780707201484681</v>
      </c>
      <c r="AV51">
        <f t="shared" si="78"/>
        <v>9.4462941821192234E-2</v>
      </c>
      <c r="AW51">
        <f t="shared" si="80"/>
        <v>0.63511835988021681</v>
      </c>
      <c r="AX51">
        <f t="shared" si="81"/>
        <v>0.38119550444279771</v>
      </c>
      <c r="AY51">
        <f t="shared" si="82"/>
        <v>0.84435566495083114</v>
      </c>
    </row>
    <row r="52" spans="1:51" x14ac:dyDescent="0.3">
      <c r="A52" t="s">
        <v>23</v>
      </c>
      <c r="B52" t="s">
        <v>16</v>
      </c>
      <c r="C52">
        <v>2016</v>
      </c>
      <c r="D52">
        <v>332</v>
      </c>
      <c r="E52">
        <v>111</v>
      </c>
      <c r="F52">
        <v>191</v>
      </c>
      <c r="G52">
        <v>20</v>
      </c>
      <c r="H52">
        <v>163</v>
      </c>
      <c r="I52">
        <f>10+45</f>
        <v>55</v>
      </c>
      <c r="J52">
        <v>132</v>
      </c>
      <c r="K52">
        <v>22</v>
      </c>
      <c r="L52">
        <v>102</v>
      </c>
      <c r="M52">
        <v>53</v>
      </c>
      <c r="N52">
        <v>67</v>
      </c>
      <c r="O52">
        <v>39</v>
      </c>
      <c r="Q52">
        <v>21849</v>
      </c>
      <c r="R52">
        <v>5350</v>
      </c>
      <c r="S52">
        <v>1410</v>
      </c>
      <c r="U52" s="13">
        <f t="shared" si="57"/>
        <v>0.76371072040267052</v>
      </c>
      <c r="V52" s="13">
        <f t="shared" si="58"/>
        <v>0.18700408962214687</v>
      </c>
      <c r="W52" s="13">
        <f t="shared" si="59"/>
        <v>4.9285189975182636E-2</v>
      </c>
      <c r="X52" s="13"/>
      <c r="Y52" s="13">
        <f t="shared" si="60"/>
        <v>0.54289215686274506</v>
      </c>
      <c r="Z52" s="13">
        <f t="shared" si="61"/>
        <v>0.26715686274509803</v>
      </c>
      <c r="AA52" s="13">
        <f t="shared" si="62"/>
        <v>0.18995098039215685</v>
      </c>
      <c r="AC52" s="14">
        <f t="shared" si="79"/>
        <v>1.4067448032699303</v>
      </c>
      <c r="AD52" s="14">
        <f t="shared" si="83"/>
        <v>0.69997861069574241</v>
      </c>
      <c r="AE52" s="14">
        <f t="shared" si="84"/>
        <v>0.25946267754676794</v>
      </c>
      <c r="AG52" s="21">
        <f t="shared" si="64"/>
        <v>467.03927468561687</v>
      </c>
      <c r="AH52" s="21">
        <f t="shared" si="65"/>
        <v>156.14867316296227</v>
      </c>
      <c r="AI52" s="21">
        <f t="shared" si="66"/>
        <v>268.6882574245567</v>
      </c>
      <c r="AJ52" s="21">
        <f t="shared" si="67"/>
        <v>28.134896065398607</v>
      </c>
      <c r="AK52" s="21">
        <f t="shared" si="68"/>
        <v>114.09651354340602</v>
      </c>
      <c r="AL52" s="21">
        <f t="shared" si="69"/>
        <v>38.498823588265836</v>
      </c>
      <c r="AM52" s="21">
        <f t="shared" si="70"/>
        <v>92.397176611837992</v>
      </c>
      <c r="AN52" s="21">
        <f t="shared" si="71"/>
        <v>15.399529435306333</v>
      </c>
      <c r="AO52" s="21">
        <f t="shared" si="72"/>
        <v>26.465193109770329</v>
      </c>
      <c r="AP52" s="21">
        <f t="shared" si="73"/>
        <v>13.751521909978701</v>
      </c>
      <c r="AQ52" s="21">
        <f t="shared" si="74"/>
        <v>17.383999395633452</v>
      </c>
      <c r="AR52" s="21">
        <f t="shared" si="75"/>
        <v>10.119044424323949</v>
      </c>
      <c r="AT52">
        <f t="shared" si="76"/>
        <v>0.74460904575832498</v>
      </c>
      <c r="AU52">
        <f t="shared" si="77"/>
        <v>0.25539095424167502</v>
      </c>
      <c r="AV52">
        <f t="shared" si="78"/>
        <v>6.5751801378711866E-2</v>
      </c>
      <c r="AW52">
        <f t="shared" si="80"/>
        <v>0.463810580186309</v>
      </c>
      <c r="AX52">
        <f t="shared" si="81"/>
        <v>0.25745548261075574</v>
      </c>
      <c r="AY52">
        <f t="shared" si="82"/>
        <v>0.62289141238400469</v>
      </c>
    </row>
    <row r="53" spans="1:51" x14ac:dyDescent="0.3">
      <c r="A53" t="s">
        <v>23</v>
      </c>
      <c r="B53" t="s">
        <v>16</v>
      </c>
      <c r="C53">
        <v>2017</v>
      </c>
      <c r="D53">
        <v>149</v>
      </c>
      <c r="E53">
        <f>5+28</f>
        <v>33</v>
      </c>
      <c r="F53">
        <v>105</v>
      </c>
      <c r="G53">
        <v>9</v>
      </c>
      <c r="H53">
        <v>172</v>
      </c>
      <c r="I53">
        <f>14+151</f>
        <v>165</v>
      </c>
      <c r="J53">
        <v>140</v>
      </c>
      <c r="K53">
        <v>104</v>
      </c>
      <c r="L53">
        <v>27</v>
      </c>
      <c r="M53">
        <v>6</v>
      </c>
      <c r="N53">
        <v>16</v>
      </c>
      <c r="O53">
        <v>1</v>
      </c>
      <c r="Q53">
        <v>11176</v>
      </c>
      <c r="R53">
        <v>3686</v>
      </c>
      <c r="S53">
        <v>728</v>
      </c>
      <c r="U53" s="13">
        <f t="shared" si="57"/>
        <v>0.71686978832584991</v>
      </c>
      <c r="V53" s="13">
        <f t="shared" si="58"/>
        <v>0.236433611289288</v>
      </c>
      <c r="W53" s="13">
        <f t="shared" si="59"/>
        <v>4.6696600384862091E-2</v>
      </c>
      <c r="X53" s="13"/>
      <c r="Y53" s="13">
        <f t="shared" si="60"/>
        <v>0.32971014492753625</v>
      </c>
      <c r="Z53" s="13">
        <f t="shared" si="61"/>
        <v>0.61050724637681164</v>
      </c>
      <c r="AA53" s="13">
        <f t="shared" si="62"/>
        <v>5.9782608695652176E-2</v>
      </c>
      <c r="AC53" s="14">
        <f t="shared" si="79"/>
        <v>2.1742424349223577</v>
      </c>
      <c r="AD53" s="14">
        <f t="shared" si="83"/>
        <v>0.38727404579135599</v>
      </c>
      <c r="AE53" s="14">
        <f t="shared" si="84"/>
        <v>0.78110677007405682</v>
      </c>
      <c r="AG53" s="21">
        <f t="shared" si="64"/>
        <v>323.96212280343127</v>
      </c>
      <c r="AH53" s="21">
        <f t="shared" si="65"/>
        <v>71.750000352437809</v>
      </c>
      <c r="AI53" s="21">
        <f t="shared" si="66"/>
        <v>228.29545566684754</v>
      </c>
      <c r="AJ53" s="21">
        <f t="shared" si="67"/>
        <v>19.568181914301221</v>
      </c>
      <c r="AK53" s="21">
        <f t="shared" si="68"/>
        <v>66.611135876113224</v>
      </c>
      <c r="AL53" s="21">
        <f t="shared" si="69"/>
        <v>63.90021755557374</v>
      </c>
      <c r="AM53" s="21">
        <f t="shared" si="70"/>
        <v>54.218366410789841</v>
      </c>
      <c r="AN53" s="21">
        <f t="shared" si="71"/>
        <v>40.276500762301026</v>
      </c>
      <c r="AO53" s="21">
        <f t="shared" si="72"/>
        <v>21.089882791999536</v>
      </c>
      <c r="AP53" s="21">
        <f t="shared" si="73"/>
        <v>4.6866406204443409</v>
      </c>
      <c r="AQ53" s="21">
        <f t="shared" si="74"/>
        <v>12.497708321184909</v>
      </c>
      <c r="AR53" s="21">
        <f t="shared" si="75"/>
        <v>0.78110677007405682</v>
      </c>
      <c r="AT53">
        <f t="shared" si="76"/>
        <v>0.74576656063685509</v>
      </c>
      <c r="AU53">
        <f t="shared" si="77"/>
        <v>0.25423343936314469</v>
      </c>
      <c r="AV53">
        <f t="shared" si="78"/>
        <v>0.10982932870774692</v>
      </c>
      <c r="AW53">
        <f t="shared" si="80"/>
        <v>0.53444117825873605</v>
      </c>
      <c r="AX53">
        <f t="shared" si="81"/>
        <v>0.43200189944670392</v>
      </c>
      <c r="AY53">
        <f t="shared" si="82"/>
        <v>0.71663333604331148</v>
      </c>
    </row>
    <row r="54" spans="1:51" x14ac:dyDescent="0.3">
      <c r="A54" t="s">
        <v>23</v>
      </c>
      <c r="B54" t="s">
        <v>16</v>
      </c>
      <c r="C54">
        <v>2018</v>
      </c>
      <c r="D54">
        <v>157</v>
      </c>
      <c r="E54">
        <v>38</v>
      </c>
      <c r="F54">
        <v>141</v>
      </c>
      <c r="G54">
        <v>7</v>
      </c>
      <c r="H54">
        <v>143</v>
      </c>
      <c r="I54">
        <f>82+21</f>
        <v>103</v>
      </c>
      <c r="J54">
        <v>132</v>
      </c>
      <c r="K54">
        <v>54</v>
      </c>
      <c r="L54">
        <v>0</v>
      </c>
      <c r="M54">
        <v>7</v>
      </c>
      <c r="N54">
        <v>0</v>
      </c>
      <c r="O54">
        <v>6</v>
      </c>
      <c r="Q54">
        <v>7676</v>
      </c>
      <c r="R54">
        <v>2788</v>
      </c>
      <c r="S54">
        <v>1077</v>
      </c>
      <c r="U54" s="13">
        <f t="shared" si="57"/>
        <v>0.66510700979117932</v>
      </c>
      <c r="V54" s="13">
        <f t="shared" si="58"/>
        <v>0.24157352049215838</v>
      </c>
      <c r="W54" s="13">
        <f t="shared" si="59"/>
        <v>9.3319469716662329E-2</v>
      </c>
      <c r="X54" s="13"/>
      <c r="Y54" s="13">
        <f t="shared" si="60"/>
        <v>0.43526785714285715</v>
      </c>
      <c r="Z54" s="13">
        <f t="shared" si="61"/>
        <v>0.5491071428571429</v>
      </c>
      <c r="AA54" s="13">
        <f t="shared" si="62"/>
        <v>1.5625E-2</v>
      </c>
      <c r="AC54" s="14">
        <f t="shared" si="79"/>
        <v>1.5280407199305042</v>
      </c>
      <c r="AD54" s="14">
        <f t="shared" si="83"/>
        <v>0.43993876902636969</v>
      </c>
      <c r="AE54" s="14">
        <f t="shared" si="84"/>
        <v>5.972446061866389</v>
      </c>
      <c r="AG54" s="21">
        <f t="shared" si="64"/>
        <v>239.90239302908915</v>
      </c>
      <c r="AH54" s="21">
        <f t="shared" si="65"/>
        <v>58.065547357359158</v>
      </c>
      <c r="AI54" s="21">
        <f t="shared" si="66"/>
        <v>215.4537415102011</v>
      </c>
      <c r="AJ54" s="21">
        <f t="shared" si="67"/>
        <v>10.69628503951353</v>
      </c>
      <c r="AK54" s="21">
        <f t="shared" si="68"/>
        <v>62.911243970770869</v>
      </c>
      <c r="AL54" s="21">
        <f t="shared" si="69"/>
        <v>45.313693209716078</v>
      </c>
      <c r="AM54" s="21">
        <f t="shared" si="70"/>
        <v>58.071917511480798</v>
      </c>
      <c r="AN54" s="21">
        <f t="shared" si="71"/>
        <v>23.756693527423963</v>
      </c>
      <c r="AO54" s="21">
        <f t="shared" si="72"/>
        <v>0</v>
      </c>
      <c r="AP54" s="21">
        <f t="shared" si="73"/>
        <v>41.80712243306472</v>
      </c>
      <c r="AQ54" s="21">
        <f t="shared" si="74"/>
        <v>0</v>
      </c>
      <c r="AR54" s="21">
        <f t="shared" si="75"/>
        <v>35.834676371198334</v>
      </c>
      <c r="AT54">
        <f t="shared" si="76"/>
        <v>0.67592329687468766</v>
      </c>
      <c r="AU54">
        <f t="shared" si="77"/>
        <v>0.3240767031253125</v>
      </c>
      <c r="AV54">
        <f t="shared" si="78"/>
        <v>0.15689208691548179</v>
      </c>
      <c r="AW54">
        <f t="shared" si="80"/>
        <v>0.61054834603054009</v>
      </c>
      <c r="AX54">
        <f t="shared" si="81"/>
        <v>0.48412022648482533</v>
      </c>
      <c r="AY54">
        <f t="shared" si="82"/>
        <v>0.90328051844576718</v>
      </c>
    </row>
    <row r="55" spans="1:51" x14ac:dyDescent="0.3">
      <c r="A55" t="s">
        <v>23</v>
      </c>
      <c r="B55" t="s">
        <v>16</v>
      </c>
      <c r="C55">
        <v>2019</v>
      </c>
      <c r="D55">
        <v>61</v>
      </c>
      <c r="E55">
        <v>20</v>
      </c>
      <c r="F55">
        <v>53</v>
      </c>
      <c r="G55">
        <v>12</v>
      </c>
      <c r="H55">
        <v>167</v>
      </c>
      <c r="I55">
        <v>190</v>
      </c>
      <c r="J55">
        <v>86</v>
      </c>
      <c r="K55">
        <v>98</v>
      </c>
      <c r="L55">
        <v>21</v>
      </c>
      <c r="M55">
        <v>15</v>
      </c>
      <c r="N55">
        <v>18</v>
      </c>
      <c r="O55">
        <v>5</v>
      </c>
      <c r="Q55">
        <v>7839</v>
      </c>
      <c r="R55">
        <v>4141</v>
      </c>
      <c r="S55">
        <v>859</v>
      </c>
      <c r="U55" s="13">
        <f>Q55/(Q55+R55+S55)</f>
        <v>0.61056157021574886</v>
      </c>
      <c r="V55" s="13">
        <f t="shared" ref="V55:V57" si="85">R55/(Q55+R55+S55)</f>
        <v>0.32253290754731678</v>
      </c>
      <c r="W55" s="13">
        <f t="shared" ref="W55:W57" si="86">S55/(Q55+R55+S55)</f>
        <v>6.6905522236934342E-2</v>
      </c>
      <c r="X55" s="13"/>
      <c r="Y55" s="13">
        <f>(D55+E55)/($D55+$E55+$H55+$I55+$L55+$M55)</f>
        <v>0.17088607594936708</v>
      </c>
      <c r="Z55" s="13">
        <f t="shared" ref="Z55:Z57" si="87">(H55+I55)/($D55+$E55+$H55+$I55+$L55+$M55)</f>
        <v>0.75316455696202533</v>
      </c>
      <c r="AA55" s="13">
        <f t="shared" ref="AA55:AA57" si="88">(L55+M55)/($D55+$E55+$H55+$I55+$L55+$M55)</f>
        <v>7.5949367088607597E-2</v>
      </c>
      <c r="AC55" s="14">
        <f>U55/Y55</f>
        <v>3.5729158553366047</v>
      </c>
      <c r="AD55" s="14">
        <f t="shared" ref="AD55:AD57" si="89">V55/Z55</f>
        <v>0.42823696968467267</v>
      </c>
      <c r="AE55" s="14">
        <f t="shared" ref="AE55:AE57" si="90">W55/AA55</f>
        <v>0.8809227094529688</v>
      </c>
      <c r="AG55" s="21">
        <f t="shared" ref="AG55:AG57" si="91">$AC55*D55</f>
        <v>217.94786717553288</v>
      </c>
      <c r="AH55" s="21">
        <f t="shared" ref="AH55:AH57" si="92">$AC55*E55</f>
        <v>71.458317106732096</v>
      </c>
      <c r="AI55" s="21">
        <f t="shared" ref="AI55:AI57" si="93">$AC55*F55</f>
        <v>189.36454033284005</v>
      </c>
      <c r="AJ55" s="21">
        <f t="shared" ref="AJ55:AJ57" si="94">$AC55*G55</f>
        <v>42.874990264039255</v>
      </c>
      <c r="AK55" s="21">
        <f t="shared" ref="AK55:AK57" si="95">$AD55*H55</f>
        <v>71.515573937340335</v>
      </c>
      <c r="AL55" s="21">
        <f t="shared" ref="AL55:AL57" si="96">$AD55*I55</f>
        <v>81.365024240087806</v>
      </c>
      <c r="AM55" s="21">
        <f t="shared" ref="AM55:AM57" si="97">$AD55*J55</f>
        <v>36.82837939288185</v>
      </c>
      <c r="AN55" s="21">
        <f t="shared" ref="AN55:AN57" si="98">$AD55*K55</f>
        <v>41.967223029097923</v>
      </c>
      <c r="AO55" s="21">
        <f t="shared" ref="AO55:AO57" si="99">$AE55*L55</f>
        <v>18.499376898512345</v>
      </c>
      <c r="AP55" s="21">
        <f t="shared" ref="AP55:AP57" si="100">$AE55*M55</f>
        <v>13.213840641794532</v>
      </c>
      <c r="AQ55" s="21">
        <f t="shared" ref="AQ55:AQ57" si="101">$AE55*N55</f>
        <v>15.856608770153439</v>
      </c>
      <c r="AR55" s="21">
        <f t="shared" ref="AR55:AR57" si="102">$AE55*O55</f>
        <v>4.4046135472648444</v>
      </c>
      <c r="AT55">
        <f t="shared" ref="AT55:AT57" si="103">(AG55+AK55+AO55)/($AH55+$AG55+$AK55+$AL55+$AO55+$AP55)</f>
        <v>0.64971058652191049</v>
      </c>
      <c r="AU55">
        <f t="shared" ref="AU55:AU57" si="104">(AH55+AL55+AP55)/($AH55+$AG55+$AK55+$AL55+$AO55+$AP55)</f>
        <v>0.35028941347808951</v>
      </c>
      <c r="AV55">
        <f t="shared" ref="AV55:AV57" si="105">(AJ55+AN55+AR55)/($AH55+$AG55+$AK55+$AL55+$AO55+$AP55)</f>
        <v>0.18828444481097473</v>
      </c>
      <c r="AW55">
        <f t="shared" ref="AW55:AW57" si="106">(AI55+AM55+AQ55)/($AH55+$AG55+$AK55+$AL55+$AO55+$AP55)</f>
        <v>0.51065301370437832</v>
      </c>
      <c r="AX55">
        <f t="shared" ref="AX55:AX57" si="107">(AJ55+AR55+AN55)/(AP55+AH55+AL55)</f>
        <v>0.53751109101888928</v>
      </c>
      <c r="AY55">
        <f t="shared" ref="AY55:AY57" si="108">(AQ55+AM55+AI55)/(AG55+AK55+AO55)</f>
        <v>0.78596997539789559</v>
      </c>
    </row>
    <row r="56" spans="1:51" x14ac:dyDescent="0.3">
      <c r="A56" t="s">
        <v>23</v>
      </c>
      <c r="B56" t="s">
        <v>16</v>
      </c>
      <c r="C56">
        <v>2020</v>
      </c>
      <c r="D56">
        <v>43</v>
      </c>
      <c r="E56">
        <v>10</v>
      </c>
      <c r="F56">
        <v>40</v>
      </c>
      <c r="G56">
        <v>7</v>
      </c>
      <c r="H56">
        <v>181</v>
      </c>
      <c r="I56">
        <v>133</v>
      </c>
      <c r="J56">
        <v>73</v>
      </c>
      <c r="K56">
        <v>52</v>
      </c>
      <c r="L56">
        <v>68</v>
      </c>
      <c r="M56">
        <v>38</v>
      </c>
      <c r="N56">
        <v>49</v>
      </c>
      <c r="O56">
        <v>8</v>
      </c>
      <c r="Q56">
        <v>4601</v>
      </c>
      <c r="R56">
        <v>2889</v>
      </c>
      <c r="S56">
        <v>944</v>
      </c>
      <c r="U56" s="13">
        <f t="shared" ref="U56:U57" si="109">Q56/(Q56+R56+S56)</f>
        <v>0.54552999762864596</v>
      </c>
      <c r="V56" s="13">
        <f t="shared" si="85"/>
        <v>0.34254209153426607</v>
      </c>
      <c r="W56" s="13">
        <f t="shared" si="86"/>
        <v>0.11192791083708797</v>
      </c>
      <c r="X56" s="13"/>
      <c r="Y56" s="13">
        <f t="shared" ref="Y56:Y57" si="110">(D56+E56)/($D56+$E56+$H56+$I56+$L56+$M56)</f>
        <v>0.11205073995771671</v>
      </c>
      <c r="Z56" s="13">
        <f t="shared" si="87"/>
        <v>0.66384778012684986</v>
      </c>
      <c r="AA56" s="13">
        <f t="shared" si="88"/>
        <v>0.22410147991543342</v>
      </c>
      <c r="AC56" s="14">
        <f t="shared" ref="AC56:AC57" si="111">U56/Y56</f>
        <v>4.8685979033650852</v>
      </c>
      <c r="AD56" s="14">
        <f t="shared" si="89"/>
        <v>0.51599493406276387</v>
      </c>
      <c r="AE56" s="14">
        <f t="shared" si="90"/>
        <v>0.49945190401832651</v>
      </c>
      <c r="AG56" s="21">
        <f t="shared" si="91"/>
        <v>209.34970984469868</v>
      </c>
      <c r="AH56" s="21">
        <f t="shared" si="92"/>
        <v>48.685979033650852</v>
      </c>
      <c r="AI56" s="21">
        <f t="shared" si="93"/>
        <v>194.74391613460341</v>
      </c>
      <c r="AJ56" s="21">
        <f t="shared" si="94"/>
        <v>34.080185323555597</v>
      </c>
      <c r="AK56" s="21">
        <f t="shared" si="95"/>
        <v>93.395083065360254</v>
      </c>
      <c r="AL56" s="21">
        <f t="shared" si="96"/>
        <v>68.627326230347592</v>
      </c>
      <c r="AM56" s="21">
        <f t="shared" si="97"/>
        <v>37.667630186581761</v>
      </c>
      <c r="AN56" s="21">
        <f t="shared" si="98"/>
        <v>26.831736571263722</v>
      </c>
      <c r="AO56" s="21">
        <f t="shared" si="99"/>
        <v>33.962729473246199</v>
      </c>
      <c r="AP56" s="21">
        <f t="shared" si="100"/>
        <v>18.979172352696409</v>
      </c>
      <c r="AQ56" s="21">
        <f t="shared" si="101"/>
        <v>24.473143296897998</v>
      </c>
      <c r="AR56" s="21">
        <f t="shared" si="102"/>
        <v>3.9956152321466121</v>
      </c>
      <c r="AT56">
        <f t="shared" si="103"/>
        <v>0.711855227026015</v>
      </c>
      <c r="AU56">
        <f t="shared" si="104"/>
        <v>0.28814477297398483</v>
      </c>
      <c r="AV56">
        <f t="shared" si="105"/>
        <v>0.13722523705489625</v>
      </c>
      <c r="AW56">
        <f t="shared" si="106"/>
        <v>0.54309659538706789</v>
      </c>
      <c r="AX56">
        <f t="shared" si="107"/>
        <v>0.47623712080068042</v>
      </c>
      <c r="AY56">
        <f t="shared" si="108"/>
        <v>0.76293124608498553</v>
      </c>
    </row>
    <row r="57" spans="1:51" x14ac:dyDescent="0.3">
      <c r="A57" t="s">
        <v>23</v>
      </c>
      <c r="B57" t="s">
        <v>16</v>
      </c>
      <c r="C57">
        <v>2021</v>
      </c>
      <c r="D57">
        <v>124</v>
      </c>
      <c r="E57">
        <v>15</v>
      </c>
      <c r="F57">
        <v>108</v>
      </c>
      <c r="G57">
        <v>6</v>
      </c>
      <c r="H57">
        <v>166</v>
      </c>
      <c r="I57">
        <v>85</v>
      </c>
      <c r="J57">
        <v>100</v>
      </c>
      <c r="K57">
        <v>27</v>
      </c>
      <c r="L57">
        <v>25</v>
      </c>
      <c r="M57">
        <v>4</v>
      </c>
      <c r="N57">
        <v>21</v>
      </c>
      <c r="O57">
        <v>2</v>
      </c>
      <c r="Q57">
        <v>8036</v>
      </c>
      <c r="R57">
        <v>4607</v>
      </c>
      <c r="S57">
        <v>1356</v>
      </c>
      <c r="U57" s="13">
        <f t="shared" si="109"/>
        <v>0.57404100292878057</v>
      </c>
      <c r="V57" s="13">
        <f t="shared" si="85"/>
        <v>0.32909493535252515</v>
      </c>
      <c r="W57" s="13">
        <f t="shared" si="86"/>
        <v>9.6864061718694189E-2</v>
      </c>
      <c r="X57" s="13"/>
      <c r="Y57" s="13">
        <f t="shared" si="110"/>
        <v>0.33174224343675418</v>
      </c>
      <c r="Z57" s="13">
        <f t="shared" si="87"/>
        <v>0.59904534606205251</v>
      </c>
      <c r="AA57" s="13">
        <f t="shared" si="88"/>
        <v>6.9212410501193311E-2</v>
      </c>
      <c r="AC57" s="14">
        <f t="shared" si="111"/>
        <v>1.7303825915622955</v>
      </c>
      <c r="AD57" s="14">
        <f t="shared" si="89"/>
        <v>0.54936564905461371</v>
      </c>
      <c r="AE57" s="14">
        <f t="shared" si="90"/>
        <v>1.3995186848321679</v>
      </c>
      <c r="AG57" s="21">
        <f t="shared" si="91"/>
        <v>214.56744135372463</v>
      </c>
      <c r="AH57" s="21">
        <f t="shared" si="92"/>
        <v>25.955738873434431</v>
      </c>
      <c r="AI57" s="21">
        <f t="shared" si="93"/>
        <v>186.88131988872792</v>
      </c>
      <c r="AJ57" s="21">
        <f t="shared" si="94"/>
        <v>10.382295549373772</v>
      </c>
      <c r="AK57" s="21">
        <f t="shared" si="95"/>
        <v>91.194697743065873</v>
      </c>
      <c r="AL57" s="21">
        <f t="shared" si="96"/>
        <v>46.696080169642165</v>
      </c>
      <c r="AM57" s="21">
        <f t="shared" si="97"/>
        <v>54.936564905461374</v>
      </c>
      <c r="AN57" s="21">
        <f t="shared" si="98"/>
        <v>14.83287252447457</v>
      </c>
      <c r="AO57" s="21">
        <f t="shared" si="99"/>
        <v>34.9879671208042</v>
      </c>
      <c r="AP57" s="21">
        <f t="shared" si="100"/>
        <v>5.5980747393286716</v>
      </c>
      <c r="AQ57" s="21">
        <f t="shared" si="101"/>
        <v>29.389892381475526</v>
      </c>
      <c r="AR57" s="21">
        <f t="shared" si="102"/>
        <v>2.7990373696643358</v>
      </c>
      <c r="AT57">
        <f t="shared" si="103"/>
        <v>0.8132460768916342</v>
      </c>
      <c r="AU57">
        <f t="shared" si="104"/>
        <v>0.18675392310836578</v>
      </c>
      <c r="AV57">
        <f t="shared" si="105"/>
        <v>6.6859678862798755E-2</v>
      </c>
      <c r="AW57">
        <f t="shared" si="106"/>
        <v>0.64727393120683729</v>
      </c>
      <c r="AX57">
        <f t="shared" si="107"/>
        <v>0.35800950121943503</v>
      </c>
      <c r="AY57">
        <f t="shared" si="108"/>
        <v>0.79591399159382248</v>
      </c>
    </row>
    <row r="58" spans="1:51" x14ac:dyDescent="0.3">
      <c r="A58" t="s">
        <v>23</v>
      </c>
      <c r="B58" t="s">
        <v>16</v>
      </c>
      <c r="C58">
        <v>2022</v>
      </c>
      <c r="D58">
        <f>102+10+2</f>
        <v>114</v>
      </c>
      <c r="E58">
        <f>1+3+7+1+1</f>
        <v>13</v>
      </c>
      <c r="F58">
        <v>102</v>
      </c>
      <c r="G58">
        <v>1</v>
      </c>
      <c r="H58">
        <v>682</v>
      </c>
      <c r="I58">
        <v>137</v>
      </c>
      <c r="J58">
        <v>435</v>
      </c>
      <c r="K58">
        <v>26</v>
      </c>
      <c r="L58">
        <v>90</v>
      </c>
      <c r="M58">
        <v>39</v>
      </c>
      <c r="N58">
        <v>79</v>
      </c>
      <c r="O58">
        <v>18</v>
      </c>
      <c r="Q58" s="34">
        <v>11379</v>
      </c>
      <c r="R58" s="34">
        <v>6469</v>
      </c>
      <c r="S58" s="34">
        <v>1804</v>
      </c>
      <c r="U58" s="13">
        <f t="shared" ref="U58" si="112">Q58/(Q58+R58+S58)</f>
        <v>0.57902503561978425</v>
      </c>
      <c r="V58" s="13">
        <f t="shared" ref="V58" si="113">R58/(Q58+R58+S58)</f>
        <v>0.32917769183798085</v>
      </c>
      <c r="W58" s="13">
        <f t="shared" ref="W58" si="114">S58/(Q58+R58+S58)</f>
        <v>9.1797272542234881E-2</v>
      </c>
      <c r="X58" s="13"/>
      <c r="Y58" s="13">
        <f t="shared" ref="Y58" si="115">(D58+E58)/($D58+$E58+$H58+$I58+$L58+$M58)</f>
        <v>0.11813953488372093</v>
      </c>
      <c r="Z58" s="13">
        <f t="shared" ref="Z58" si="116">(H58+I58)/($D58+$E58+$H58+$I58+$L58+$M58)</f>
        <v>0.76186046511627903</v>
      </c>
      <c r="AA58" s="13">
        <f t="shared" ref="AA58" si="117">(L58+M58)/($D58+$E58+$H58+$I58+$L58+$M58)</f>
        <v>0.12</v>
      </c>
      <c r="AC58" s="14">
        <f t="shared" ref="AC58" si="118">U58/Y58</f>
        <v>4.9011961676477798</v>
      </c>
      <c r="AD58" s="14">
        <f t="shared" ref="AD58" si="119">V58/Z58</f>
        <v>0.43207084093507869</v>
      </c>
      <c r="AE58" s="14">
        <f t="shared" ref="AE58" si="120">W58/AA58</f>
        <v>0.76497727118529069</v>
      </c>
      <c r="AG58" s="21">
        <f t="shared" ref="AG58" si="121">$AC58*D58</f>
        <v>558.73636311184691</v>
      </c>
      <c r="AH58" s="21">
        <f t="shared" ref="AH58" si="122">$AC58*E58</f>
        <v>63.715550179421136</v>
      </c>
      <c r="AI58" s="21">
        <f t="shared" ref="AI58" si="123">$AC58*F58</f>
        <v>499.92200910007352</v>
      </c>
      <c r="AJ58" s="21">
        <f t="shared" ref="AJ58" si="124">$AC58*G58</f>
        <v>4.9011961676477798</v>
      </c>
      <c r="AK58" s="21">
        <f t="shared" ref="AK58" si="125">$AD58*H58</f>
        <v>294.67231351772369</v>
      </c>
      <c r="AL58" s="21">
        <f t="shared" ref="AL58" si="126">$AD58*I58</f>
        <v>59.193705208105783</v>
      </c>
      <c r="AM58" s="21">
        <f t="shared" ref="AM58" si="127">$AD58*J58</f>
        <v>187.95081580675924</v>
      </c>
      <c r="AN58" s="21">
        <f t="shared" ref="AN58" si="128">$AD58*K58</f>
        <v>11.233841864312046</v>
      </c>
      <c r="AO58" s="21">
        <f t="shared" ref="AO58" si="129">$AE58*L58</f>
        <v>68.847954406676166</v>
      </c>
      <c r="AP58" s="21">
        <f t="shared" ref="AP58" si="130">$AE58*M58</f>
        <v>29.834113576226336</v>
      </c>
      <c r="AQ58" s="21">
        <f t="shared" ref="AQ58" si="131">$AE58*N58</f>
        <v>60.433204423637967</v>
      </c>
      <c r="AR58" s="21">
        <f t="shared" ref="AR58" si="132">$AE58*O58</f>
        <v>13.769590881335233</v>
      </c>
      <c r="AT58">
        <f t="shared" ref="AT58" si="133">(AG58+AK58+AO58)/($AH58+$AG58+$AK58+$AL58+$AO58+$AP58)</f>
        <v>0.85791314514999695</v>
      </c>
      <c r="AU58">
        <f t="shared" ref="AU58" si="134">(AH58+AL58+AP58)/($AH58+$AG58+$AK58+$AL58+$AO58+$AP58)</f>
        <v>0.142086854850003</v>
      </c>
      <c r="AV58">
        <f t="shared" ref="AV58" si="135">(AJ58+AN58+AR58)/($AH58+$AG58+$AK58+$AL58+$AO58+$AP58)</f>
        <v>2.7818259454227955E-2</v>
      </c>
      <c r="AW58">
        <f t="shared" ref="AW58" si="136">(AI58+AM58+AQ58)/($AH58+$AG58+$AK58+$AL58+$AO58+$AP58)</f>
        <v>0.69609863193532151</v>
      </c>
      <c r="AX58">
        <f t="shared" ref="AX58" si="137">(AJ58+AR58+AN58)/(AP58+AH58+AL58)</f>
        <v>0.19578348386692696</v>
      </c>
      <c r="AY58">
        <f t="shared" ref="AY58" si="138">(AQ58+AM58+AI58)/(AG58+AK58+AO58)</f>
        <v>0.81138590295596424</v>
      </c>
    </row>
    <row r="60" spans="1:51" x14ac:dyDescent="0.3">
      <c r="D60" s="31" t="s">
        <v>99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Q60" s="27" t="s">
        <v>75</v>
      </c>
      <c r="R60" s="27"/>
      <c r="S60" s="27"/>
      <c r="U60" t="s">
        <v>76</v>
      </c>
      <c r="Y60" t="s">
        <v>77</v>
      </c>
      <c r="AC60" s="29" t="s">
        <v>79</v>
      </c>
      <c r="AD60" s="29"/>
      <c r="AG60" s="27" t="s">
        <v>104</v>
      </c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T60" s="27" t="s">
        <v>80</v>
      </c>
      <c r="AU60" s="27"/>
      <c r="AV60" s="27"/>
      <c r="AW60" s="27"/>
      <c r="AX60" s="27"/>
      <c r="AY60" s="27"/>
    </row>
    <row r="61" spans="1:51" x14ac:dyDescent="0.3">
      <c r="D61" s="27" t="s">
        <v>66</v>
      </c>
      <c r="E61" s="27"/>
      <c r="F61" s="27"/>
      <c r="G61" s="27"/>
      <c r="H61" s="27" t="s">
        <v>67</v>
      </c>
      <c r="I61" s="27"/>
      <c r="J61" s="27"/>
      <c r="K61" s="27"/>
      <c r="L61" s="27" t="s">
        <v>68</v>
      </c>
      <c r="M61" s="27"/>
      <c r="N61" s="27"/>
      <c r="O61" s="27"/>
      <c r="Q61" s="30" t="s">
        <v>101</v>
      </c>
      <c r="R61" s="30" t="s">
        <v>102</v>
      </c>
      <c r="S61" s="30" t="s">
        <v>103</v>
      </c>
      <c r="U61" t="s">
        <v>24</v>
      </c>
      <c r="V61" t="s">
        <v>20</v>
      </c>
      <c r="W61" t="s">
        <v>78</v>
      </c>
      <c r="Y61" t="s">
        <v>24</v>
      </c>
      <c r="Z61" t="s">
        <v>20</v>
      </c>
      <c r="AA61" t="s">
        <v>78</v>
      </c>
      <c r="AC61" t="s">
        <v>24</v>
      </c>
      <c r="AD61" t="s">
        <v>20</v>
      </c>
      <c r="AE61" t="s">
        <v>78</v>
      </c>
      <c r="AG61" s="27" t="s">
        <v>24</v>
      </c>
      <c r="AH61" s="27"/>
      <c r="AI61" s="27"/>
      <c r="AJ61" s="27"/>
      <c r="AK61" s="27" t="s">
        <v>20</v>
      </c>
      <c r="AL61" s="27"/>
      <c r="AM61" s="27"/>
      <c r="AN61" s="28"/>
      <c r="AO61" s="27" t="s">
        <v>78</v>
      </c>
      <c r="AP61" s="27"/>
      <c r="AQ61" s="27"/>
      <c r="AR61" s="28"/>
      <c r="AT61" s="27"/>
      <c r="AU61" s="27"/>
      <c r="AV61" s="27"/>
      <c r="AW61" s="27"/>
    </row>
    <row r="62" spans="1:51" x14ac:dyDescent="0.3">
      <c r="A62" s="2" t="s">
        <v>1</v>
      </c>
      <c r="B62" s="2" t="s">
        <v>26</v>
      </c>
      <c r="C62" s="2" t="s">
        <v>0</v>
      </c>
      <c r="D62" s="2" t="s">
        <v>62</v>
      </c>
      <c r="E62" s="2" t="s">
        <v>63</v>
      </c>
      <c r="F62" s="2" t="s">
        <v>64</v>
      </c>
      <c r="G62" s="2" t="s">
        <v>65</v>
      </c>
      <c r="H62" s="2" t="s">
        <v>62</v>
      </c>
      <c r="I62" s="2" t="s">
        <v>63</v>
      </c>
      <c r="J62" s="2" t="s">
        <v>64</v>
      </c>
      <c r="K62" s="2" t="s">
        <v>65</v>
      </c>
      <c r="L62" s="2" t="s">
        <v>62</v>
      </c>
      <c r="M62" s="2" t="s">
        <v>63</v>
      </c>
      <c r="N62" s="2" t="s">
        <v>64</v>
      </c>
      <c r="O62" s="2" t="s">
        <v>65</v>
      </c>
      <c r="Q62" s="30"/>
      <c r="R62" s="30"/>
      <c r="S62" s="30"/>
      <c r="T62" s="2"/>
      <c r="U62" s="13"/>
      <c r="V62" s="13"/>
      <c r="W62" s="13"/>
      <c r="Y62" s="13"/>
      <c r="Z62" s="13"/>
      <c r="AA62" s="13"/>
      <c r="AG62" s="2" t="s">
        <v>62</v>
      </c>
      <c r="AH62" s="2" t="s">
        <v>63</v>
      </c>
      <c r="AI62" s="2" t="s">
        <v>64</v>
      </c>
      <c r="AJ62" s="2" t="s">
        <v>65</v>
      </c>
      <c r="AK62" s="2" t="s">
        <v>62</v>
      </c>
      <c r="AL62" s="2" t="s">
        <v>63</v>
      </c>
      <c r="AM62" s="2" t="s">
        <v>64</v>
      </c>
      <c r="AN62" s="12" t="s">
        <v>65</v>
      </c>
      <c r="AO62" s="2" t="s">
        <v>62</v>
      </c>
      <c r="AP62" s="2" t="s">
        <v>63</v>
      </c>
      <c r="AQ62" s="2" t="s">
        <v>64</v>
      </c>
      <c r="AR62" s="12" t="s">
        <v>65</v>
      </c>
      <c r="AT62" s="2" t="s">
        <v>81</v>
      </c>
      <c r="AU62" s="2" t="s">
        <v>82</v>
      </c>
      <c r="AV62" s="2" t="s">
        <v>83</v>
      </c>
      <c r="AW62" s="2" t="s">
        <v>85</v>
      </c>
      <c r="AX62" s="2" t="s">
        <v>86</v>
      </c>
      <c r="AY62" s="2" t="s">
        <v>87</v>
      </c>
    </row>
    <row r="63" spans="1:51" x14ac:dyDescent="0.3">
      <c r="A63" t="s">
        <v>23</v>
      </c>
      <c r="B63" t="s">
        <v>17</v>
      </c>
      <c r="C63">
        <v>1998</v>
      </c>
      <c r="D63">
        <v>39</v>
      </c>
      <c r="E63">
        <v>33</v>
      </c>
      <c r="F63">
        <v>37</v>
      </c>
      <c r="G63">
        <v>24</v>
      </c>
      <c r="L63">
        <v>45</v>
      </c>
      <c r="M63">
        <v>78</v>
      </c>
      <c r="N63">
        <v>43</v>
      </c>
      <c r="O63">
        <v>70</v>
      </c>
      <c r="Q63">
        <v>4563</v>
      </c>
      <c r="R63">
        <v>3</v>
      </c>
      <c r="S63">
        <v>1582</v>
      </c>
      <c r="U63" s="13">
        <f t="shared" ref="U63:U83" si="139">Q63/(Q63+R63+S63)</f>
        <v>0.74219258295380608</v>
      </c>
      <c r="V63" s="13">
        <f t="shared" ref="V63:V83" si="140">R63/(Q63+R63+S63)</f>
        <v>4.8796356538711777E-4</v>
      </c>
      <c r="W63" s="13">
        <f t="shared" ref="W63:W83" si="141">S63/(Q63+R63+S63)</f>
        <v>0.25731945348080676</v>
      </c>
      <c r="Y63" s="13">
        <f t="shared" ref="Y63:Y83" si="142">(D63+E63)/($D63+$E63+$H63+$I63+$L63+$M63)</f>
        <v>0.36923076923076925</v>
      </c>
      <c r="Z63" s="13">
        <f t="shared" ref="Z63:Z83" si="143">(H63+I63)/($D63+$E63+$H63+$I63+$L63+$M63)</f>
        <v>0</v>
      </c>
      <c r="AA63" s="13">
        <f t="shared" ref="AA63:AA83" si="144">(L63+M63)/($D63+$E63+$H63+$I63+$L63+$M63)</f>
        <v>0.63076923076923075</v>
      </c>
      <c r="AC63" s="14">
        <f>U63/Y63</f>
        <v>2.010104912166558</v>
      </c>
      <c r="AD63" s="14">
        <v>0</v>
      </c>
      <c r="AE63" s="14">
        <f t="shared" ref="AE63:AE83" si="145">W63/AA63</f>
        <v>0.40794547503054729</v>
      </c>
      <c r="AG63" s="21">
        <f t="shared" ref="AG63:AG83" si="146">$AC63*D63</f>
        <v>78.394091574495761</v>
      </c>
      <c r="AH63" s="21">
        <f t="shared" ref="AH63:AH83" si="147">$AC63*E63</f>
        <v>66.333462101496409</v>
      </c>
      <c r="AI63" s="21">
        <f t="shared" ref="AI63:AI83" si="148">$AC63*F63</f>
        <v>74.373881750162639</v>
      </c>
      <c r="AJ63" s="21">
        <f t="shared" ref="AJ63:AJ83" si="149">$AC63*G63</f>
        <v>48.242517891997394</v>
      </c>
      <c r="AK63" s="21">
        <f t="shared" ref="AK63:AK83" si="150">$AD63*H63</f>
        <v>0</v>
      </c>
      <c r="AL63" s="21">
        <f t="shared" ref="AL63:AL83" si="151">$AD63*I63</f>
        <v>0</v>
      </c>
      <c r="AM63" s="21">
        <f t="shared" ref="AM63:AM83" si="152">$AD63*J63</f>
        <v>0</v>
      </c>
      <c r="AN63" s="21">
        <f t="shared" ref="AN63:AN83" si="153">$AD63*K63</f>
        <v>0</v>
      </c>
      <c r="AO63" s="21">
        <f t="shared" ref="AO63:AO83" si="154">$AE63*L63</f>
        <v>18.357546376374628</v>
      </c>
      <c r="AP63" s="21">
        <f t="shared" ref="AP63:AP83" si="155">$AE63*M63</f>
        <v>31.819747052382688</v>
      </c>
      <c r="AQ63" s="21">
        <f t="shared" ref="AQ63:AQ83" si="156">$AE63*N63</f>
        <v>17.541655426313532</v>
      </c>
      <c r="AR63" s="21">
        <f t="shared" ref="AR63:AR83" si="157">$AE63*O63</f>
        <v>28.556183252138311</v>
      </c>
      <c r="AT63">
        <f>(AG63+AK63+AO63)/($AH63+$AG63+$AK63+$AL63+$AO63+$AP63)</f>
        <v>0.49640447319851561</v>
      </c>
      <c r="AU63">
        <f>(AH63+AL63+AP63)/($AH63+$AG63+$AK63+$AL63+$AO63+$AP63)</f>
        <v>0.50359552680148445</v>
      </c>
      <c r="AV63">
        <f>(AJ63+AN63+AR63)/($AH63+$AG63+$AK63+$AL63+$AO63+$AP63)</f>
        <v>0.39403176619235686</v>
      </c>
      <c r="AW63">
        <f>(AI63+AM63+AQ63)/($AH63+$AG63+$AK63+$AL63+$AO63+$AP63)</f>
        <v>0.47159184875005783</v>
      </c>
      <c r="AX63">
        <f>(AJ63+AR63+AN63)/(AP63+AH63+AL63)</f>
        <v>0.78243698607688938</v>
      </c>
      <c r="AY63">
        <f>(AQ63+AM63+AI63)/(AG63+AK63+AO63)</f>
        <v>0.95001530850723215</v>
      </c>
    </row>
    <row r="64" spans="1:51" x14ac:dyDescent="0.3">
      <c r="A64" t="s">
        <v>23</v>
      </c>
      <c r="B64" t="s">
        <v>17</v>
      </c>
      <c r="C64">
        <v>1999</v>
      </c>
      <c r="D64">
        <v>12</v>
      </c>
      <c r="E64">
        <v>21</v>
      </c>
      <c r="F64">
        <v>12</v>
      </c>
      <c r="G64">
        <v>19</v>
      </c>
      <c r="H64">
        <v>55</v>
      </c>
      <c r="I64">
        <v>12</v>
      </c>
      <c r="J64">
        <v>50</v>
      </c>
      <c r="K64">
        <v>9</v>
      </c>
      <c r="L64">
        <v>90</v>
      </c>
      <c r="M64">
        <v>143</v>
      </c>
      <c r="N64">
        <v>87</v>
      </c>
      <c r="O64">
        <v>134</v>
      </c>
      <c r="Q64">
        <v>3028</v>
      </c>
      <c r="R64">
        <v>109</v>
      </c>
      <c r="S64">
        <v>994</v>
      </c>
      <c r="U64" s="13">
        <f t="shared" si="139"/>
        <v>0.73299443234083761</v>
      </c>
      <c r="V64" s="13">
        <f t="shared" si="140"/>
        <v>2.6385862987170178E-2</v>
      </c>
      <c r="W64" s="13">
        <f t="shared" si="141"/>
        <v>0.24061970467199226</v>
      </c>
      <c r="Y64" s="13">
        <f t="shared" si="142"/>
        <v>9.90990990990991E-2</v>
      </c>
      <c r="Z64" s="13">
        <f t="shared" si="143"/>
        <v>0.20120120120120119</v>
      </c>
      <c r="AA64" s="13">
        <f t="shared" si="144"/>
        <v>0.6996996996996997</v>
      </c>
      <c r="AC64" s="14">
        <f t="shared" ref="AC64:AC83" si="158">U64/Y64</f>
        <v>7.3965801808939071</v>
      </c>
      <c r="AD64" s="14">
        <f t="shared" ref="AD64:AD83" si="159">V64/Z64</f>
        <v>0.13114167723474135</v>
      </c>
      <c r="AE64" s="14">
        <f t="shared" si="145"/>
        <v>0.34388996418786877</v>
      </c>
      <c r="AG64" s="21">
        <f t="shared" si="146"/>
        <v>88.758962170726889</v>
      </c>
      <c r="AH64" s="21">
        <f t="shared" si="147"/>
        <v>155.32818379877205</v>
      </c>
      <c r="AI64" s="21">
        <f t="shared" si="148"/>
        <v>88.758962170726889</v>
      </c>
      <c r="AJ64" s="21">
        <f t="shared" si="149"/>
        <v>140.53502343698423</v>
      </c>
      <c r="AK64" s="21">
        <f t="shared" si="150"/>
        <v>7.212792247910774</v>
      </c>
      <c r="AL64" s="21">
        <f t="shared" si="151"/>
        <v>1.5737001268168962</v>
      </c>
      <c r="AM64" s="21">
        <f t="shared" si="152"/>
        <v>6.5570838617370679</v>
      </c>
      <c r="AN64" s="21">
        <f t="shared" si="153"/>
        <v>1.1802750951126721</v>
      </c>
      <c r="AO64" s="21">
        <f t="shared" si="154"/>
        <v>30.95009677690819</v>
      </c>
      <c r="AP64" s="21">
        <f t="shared" si="155"/>
        <v>49.176264878865233</v>
      </c>
      <c r="AQ64" s="21">
        <f t="shared" si="156"/>
        <v>29.918426884344584</v>
      </c>
      <c r="AR64" s="21">
        <f t="shared" si="157"/>
        <v>46.081255201174415</v>
      </c>
      <c r="AT64">
        <f>(AG64+AK64+AO64)/($AH64+$AG64+$AK64+$AL64+$AO64+$AP64)</f>
        <v>0.38114670028692443</v>
      </c>
      <c r="AU64">
        <f t="shared" ref="AU64:AU83" si="160">(AH64+AL64+AP64)/($AH64+$AG64+$AK64+$AL64+$AO64+$AP64)</f>
        <v>0.61885329971307546</v>
      </c>
      <c r="AV64">
        <f t="shared" ref="AV64:AV83" si="161">(AJ64+AN64+AR64)/($AH64+$AG64+$AK64+$AL64+$AO64+$AP64)</f>
        <v>0.56395361481462847</v>
      </c>
      <c r="AW64">
        <f t="shared" ref="AW64:AW83" si="162">(AI64+AM64+AQ64)/($AH64+$AG64+$AK64+$AL64+$AO64+$AP64)</f>
        <v>0.37607949824867426</v>
      </c>
      <c r="AX64">
        <f t="shared" ref="AX64:AX83" si="163">(AJ64+AR64+AN64)/(AP64+AH64+AL64)</f>
        <v>0.91128804690239085</v>
      </c>
      <c r="AY64">
        <f t="shared" ref="AY64:AY83" si="164">(AQ64+AM64+AI64)/(AG64+AK64+AO64)</f>
        <v>0.98670537608108466</v>
      </c>
    </row>
    <row r="65" spans="1:51" x14ac:dyDescent="0.3">
      <c r="A65" t="s">
        <v>23</v>
      </c>
      <c r="B65" t="s">
        <v>17</v>
      </c>
      <c r="C65">
        <v>2000</v>
      </c>
      <c r="D65">
        <v>7</v>
      </c>
      <c r="E65">
        <v>35</v>
      </c>
      <c r="F65">
        <v>7</v>
      </c>
      <c r="G65">
        <v>30</v>
      </c>
      <c r="H65">
        <v>28</v>
      </c>
      <c r="I65">
        <v>43</v>
      </c>
      <c r="J65">
        <v>19</v>
      </c>
      <c r="K65">
        <v>35</v>
      </c>
      <c r="L65">
        <v>39</v>
      </c>
      <c r="M65">
        <v>213</v>
      </c>
      <c r="N65">
        <v>38</v>
      </c>
      <c r="O65">
        <v>206</v>
      </c>
      <c r="Q65">
        <v>7122</v>
      </c>
      <c r="R65">
        <v>189</v>
      </c>
      <c r="S65">
        <v>1461</v>
      </c>
      <c r="U65" s="13">
        <f t="shared" si="139"/>
        <v>0.81190150478796175</v>
      </c>
      <c r="V65" s="13">
        <f t="shared" si="140"/>
        <v>2.1545827633378933E-2</v>
      </c>
      <c r="W65" s="13">
        <f t="shared" si="141"/>
        <v>0.16655266757865936</v>
      </c>
      <c r="Y65" s="13">
        <f t="shared" si="142"/>
        <v>0.11506849315068493</v>
      </c>
      <c r="Z65" s="13">
        <f t="shared" si="143"/>
        <v>0.19452054794520549</v>
      </c>
      <c r="AA65" s="13">
        <f t="shared" si="144"/>
        <v>0.69041095890410964</v>
      </c>
      <c r="AC65" s="14">
        <f t="shared" si="158"/>
        <v>7.0558106963715721</v>
      </c>
      <c r="AD65" s="14">
        <f t="shared" si="159"/>
        <v>0.11076376177722973</v>
      </c>
      <c r="AE65" s="14">
        <f t="shared" si="145"/>
        <v>0.24123699867543913</v>
      </c>
      <c r="AG65" s="21">
        <f t="shared" si="146"/>
        <v>49.390674874601004</v>
      </c>
      <c r="AH65" s="21">
        <f t="shared" si="147"/>
        <v>246.95337437300503</v>
      </c>
      <c r="AI65" s="21">
        <f t="shared" si="148"/>
        <v>49.390674874601004</v>
      </c>
      <c r="AJ65" s="21">
        <f t="shared" si="149"/>
        <v>211.67432089114718</v>
      </c>
      <c r="AK65" s="21">
        <f t="shared" si="150"/>
        <v>3.1013853297624325</v>
      </c>
      <c r="AL65" s="21">
        <f t="shared" si="151"/>
        <v>4.7628417564208787</v>
      </c>
      <c r="AM65" s="21">
        <f t="shared" si="152"/>
        <v>2.1045114737673649</v>
      </c>
      <c r="AN65" s="21">
        <f t="shared" si="153"/>
        <v>3.8767316622030403</v>
      </c>
      <c r="AO65" s="21">
        <f t="shared" si="154"/>
        <v>9.4082429483421262</v>
      </c>
      <c r="AP65" s="21">
        <f t="shared" si="155"/>
        <v>51.383480717868537</v>
      </c>
      <c r="AQ65" s="21">
        <f t="shared" si="156"/>
        <v>9.1670059496666862</v>
      </c>
      <c r="AR65" s="21">
        <f t="shared" si="157"/>
        <v>49.694821727140457</v>
      </c>
      <c r="AT65">
        <f t="shared" ref="AT65:AT83" si="165">(AG65+AK65+AO65)/($AH65+$AG65+$AK65+$AL65+$AO65+$AP65)</f>
        <v>0.16958987165124811</v>
      </c>
      <c r="AU65">
        <f t="shared" si="160"/>
        <v>0.83041012834875194</v>
      </c>
      <c r="AV65">
        <f t="shared" si="161"/>
        <v>0.7267010254260019</v>
      </c>
      <c r="AW65">
        <f t="shared" si="162"/>
        <v>0.16619778711790428</v>
      </c>
      <c r="AX65">
        <f t="shared" si="163"/>
        <v>0.87511098506352192</v>
      </c>
      <c r="AY65">
        <f t="shared" si="164"/>
        <v>0.97999830709041702</v>
      </c>
    </row>
    <row r="66" spans="1:51" x14ac:dyDescent="0.3">
      <c r="A66" t="s">
        <v>23</v>
      </c>
      <c r="B66" t="s">
        <v>17</v>
      </c>
      <c r="C66">
        <v>2001</v>
      </c>
      <c r="D66">
        <v>87</v>
      </c>
      <c r="E66">
        <v>31</v>
      </c>
      <c r="F66">
        <v>79</v>
      </c>
      <c r="G66">
        <v>22</v>
      </c>
      <c r="H66">
        <v>76</v>
      </c>
      <c r="I66">
        <v>46</v>
      </c>
      <c r="J66">
        <v>71</v>
      </c>
      <c r="K66">
        <v>22</v>
      </c>
      <c r="L66">
        <v>46</v>
      </c>
      <c r="M66">
        <v>199</v>
      </c>
      <c r="N66">
        <v>44</v>
      </c>
      <c r="O66">
        <v>195</v>
      </c>
      <c r="Q66">
        <v>8541</v>
      </c>
      <c r="R66">
        <v>178</v>
      </c>
      <c r="S66">
        <v>1893</v>
      </c>
      <c r="U66" s="13">
        <f t="shared" si="139"/>
        <v>0.80484357331323031</v>
      </c>
      <c r="V66" s="13">
        <f t="shared" si="140"/>
        <v>1.6773464003015454E-2</v>
      </c>
      <c r="W66" s="13">
        <f t="shared" si="141"/>
        <v>0.17838296268375425</v>
      </c>
      <c r="Y66" s="13">
        <f t="shared" si="142"/>
        <v>0.24329896907216494</v>
      </c>
      <c r="Z66" s="13">
        <f t="shared" si="143"/>
        <v>0.25154639175257731</v>
      </c>
      <c r="AA66" s="13">
        <f t="shared" si="144"/>
        <v>0.50515463917525771</v>
      </c>
      <c r="AC66" s="14">
        <f>U66/Y66</f>
        <v>3.308043500482345</v>
      </c>
      <c r="AD66" s="14">
        <f t="shared" si="159"/>
        <v>6.6681393782479476E-2</v>
      </c>
      <c r="AE66" s="14">
        <f t="shared" si="145"/>
        <v>0.35312545674130946</v>
      </c>
      <c r="AG66" s="21">
        <f t="shared" si="146"/>
        <v>287.79978454196402</v>
      </c>
      <c r="AH66" s="21">
        <f t="shared" si="147"/>
        <v>102.5493485149527</v>
      </c>
      <c r="AI66" s="21">
        <f t="shared" si="148"/>
        <v>261.33543653810523</v>
      </c>
      <c r="AJ66" s="21">
        <f t="shared" si="149"/>
        <v>72.776957010611596</v>
      </c>
      <c r="AK66" s="21">
        <f t="shared" si="150"/>
        <v>5.0677859274684405</v>
      </c>
      <c r="AL66" s="21">
        <f t="shared" si="151"/>
        <v>3.0673441139940558</v>
      </c>
      <c r="AM66" s="21">
        <f t="shared" si="152"/>
        <v>4.734378958556043</v>
      </c>
      <c r="AN66" s="21">
        <f t="shared" si="153"/>
        <v>1.4669906632145484</v>
      </c>
      <c r="AO66" s="21">
        <f t="shared" si="154"/>
        <v>16.243771010100236</v>
      </c>
      <c r="AP66" s="21">
        <f t="shared" si="155"/>
        <v>70.27196589152058</v>
      </c>
      <c r="AQ66" s="21">
        <f t="shared" si="156"/>
        <v>15.537520096617616</v>
      </c>
      <c r="AR66" s="21">
        <f t="shared" si="157"/>
        <v>68.85946406455534</v>
      </c>
      <c r="AT66">
        <f t="shared" si="165"/>
        <v>0.63734297212274782</v>
      </c>
      <c r="AU66">
        <f t="shared" si="160"/>
        <v>0.36265702787725224</v>
      </c>
      <c r="AV66">
        <f t="shared" si="161"/>
        <v>0.29505858090387932</v>
      </c>
      <c r="AW66">
        <f t="shared" si="162"/>
        <v>0.58063368163562656</v>
      </c>
      <c r="AX66">
        <f t="shared" si="163"/>
        <v>0.81360226942505909</v>
      </c>
      <c r="AY66">
        <f t="shared" si="164"/>
        <v>0.91102233339414707</v>
      </c>
    </row>
    <row r="67" spans="1:51" x14ac:dyDescent="0.3">
      <c r="A67" t="s">
        <v>23</v>
      </c>
      <c r="B67" t="s">
        <v>17</v>
      </c>
      <c r="C67">
        <v>2002</v>
      </c>
      <c r="D67">
        <v>66</v>
      </c>
      <c r="E67">
        <v>22</v>
      </c>
      <c r="F67">
        <v>61</v>
      </c>
      <c r="G67">
        <v>19</v>
      </c>
      <c r="H67">
        <v>54</v>
      </c>
      <c r="I67">
        <v>37</v>
      </c>
      <c r="J67">
        <v>45</v>
      </c>
      <c r="K67">
        <v>32</v>
      </c>
      <c r="L67">
        <v>76</v>
      </c>
      <c r="M67">
        <f>7+218</f>
        <v>225</v>
      </c>
      <c r="N67">
        <v>72</v>
      </c>
      <c r="O67">
        <v>204</v>
      </c>
      <c r="Q67">
        <v>6019</v>
      </c>
      <c r="R67">
        <v>61</v>
      </c>
      <c r="S67">
        <v>1884</v>
      </c>
      <c r="U67" s="13">
        <f t="shared" si="139"/>
        <v>0.75577599196383727</v>
      </c>
      <c r="V67" s="13">
        <f t="shared" si="140"/>
        <v>7.6594676042189853E-3</v>
      </c>
      <c r="W67" s="13">
        <f t="shared" si="141"/>
        <v>0.23656454043194375</v>
      </c>
      <c r="Y67" s="13">
        <f t="shared" si="142"/>
        <v>0.18333333333333332</v>
      </c>
      <c r="Z67" s="13">
        <f t="shared" si="143"/>
        <v>0.18958333333333333</v>
      </c>
      <c r="AA67" s="13">
        <f t="shared" si="144"/>
        <v>0.62708333333333333</v>
      </c>
      <c r="AC67" s="14">
        <f t="shared" si="158"/>
        <v>4.1224145016209306</v>
      </c>
      <c r="AD67" s="14">
        <f t="shared" si="159"/>
        <v>4.0401587362913327E-2</v>
      </c>
      <c r="AE67" s="14">
        <f t="shared" si="145"/>
        <v>0.37724577876190368</v>
      </c>
      <c r="AG67" s="21">
        <f t="shared" si="146"/>
        <v>272.07935710698143</v>
      </c>
      <c r="AH67" s="21">
        <f t="shared" si="147"/>
        <v>90.693119035660473</v>
      </c>
      <c r="AI67" s="21">
        <f t="shared" si="148"/>
        <v>251.46728459887677</v>
      </c>
      <c r="AJ67" s="21">
        <f t="shared" si="149"/>
        <v>78.325875530797674</v>
      </c>
      <c r="AK67" s="21">
        <f t="shared" si="150"/>
        <v>2.1816857175973197</v>
      </c>
      <c r="AL67" s="21">
        <f t="shared" si="151"/>
        <v>1.4948587324277931</v>
      </c>
      <c r="AM67" s="21">
        <f t="shared" si="152"/>
        <v>1.8180714313310997</v>
      </c>
      <c r="AN67" s="21">
        <f t="shared" si="153"/>
        <v>1.2928507956132265</v>
      </c>
      <c r="AO67" s="21">
        <f t="shared" si="154"/>
        <v>28.670679185904682</v>
      </c>
      <c r="AP67" s="21">
        <f t="shared" si="155"/>
        <v>84.880300221428328</v>
      </c>
      <c r="AQ67" s="21">
        <f t="shared" si="156"/>
        <v>27.161696070857065</v>
      </c>
      <c r="AR67" s="21">
        <f t="shared" si="157"/>
        <v>76.958138867428346</v>
      </c>
      <c r="AT67">
        <f t="shared" si="165"/>
        <v>0.63110775418850706</v>
      </c>
      <c r="AU67">
        <f t="shared" si="160"/>
        <v>0.36889224581149282</v>
      </c>
      <c r="AV67">
        <f t="shared" si="161"/>
        <v>0.32620180248716507</v>
      </c>
      <c r="AW67">
        <f t="shared" si="162"/>
        <v>0.58426469187721863</v>
      </c>
      <c r="AX67">
        <f>(AJ67+AR67+AN67)/(AP67+AH67+AL67)</f>
        <v>0.88427394772037848</v>
      </c>
      <c r="AY67">
        <f t="shared" si="164"/>
        <v>0.92577644308693297</v>
      </c>
    </row>
    <row r="68" spans="1:51" x14ac:dyDescent="0.3">
      <c r="A68" t="s">
        <v>23</v>
      </c>
      <c r="B68" t="s">
        <v>17</v>
      </c>
      <c r="C68">
        <v>2003</v>
      </c>
      <c r="D68">
        <v>192</v>
      </c>
      <c r="E68">
        <v>38</v>
      </c>
      <c r="F68">
        <v>186</v>
      </c>
      <c r="G68">
        <v>26</v>
      </c>
      <c r="H68">
        <v>6</v>
      </c>
      <c r="I68">
        <v>28</v>
      </c>
      <c r="J68">
        <v>6</v>
      </c>
      <c r="K68">
        <v>21</v>
      </c>
      <c r="L68">
        <v>114</v>
      </c>
      <c r="M68">
        <v>222</v>
      </c>
      <c r="N68">
        <v>103</v>
      </c>
      <c r="O68">
        <v>214</v>
      </c>
      <c r="Q68">
        <v>6478</v>
      </c>
      <c r="R68">
        <v>73</v>
      </c>
      <c r="S68">
        <v>2349</v>
      </c>
      <c r="U68" s="13">
        <f t="shared" si="139"/>
        <v>0.72786516853932581</v>
      </c>
      <c r="V68" s="13">
        <f t="shared" si="140"/>
        <v>8.2022471910112357E-3</v>
      </c>
      <c r="W68" s="13">
        <f t="shared" si="141"/>
        <v>0.26393258426966293</v>
      </c>
      <c r="Y68" s="13">
        <f t="shared" si="142"/>
        <v>0.38333333333333336</v>
      </c>
      <c r="Z68" s="13">
        <f t="shared" si="143"/>
        <v>5.6666666666666664E-2</v>
      </c>
      <c r="AA68" s="13">
        <f t="shared" si="144"/>
        <v>0.56000000000000005</v>
      </c>
      <c r="AC68" s="14">
        <f t="shared" si="158"/>
        <v>1.8987787005373715</v>
      </c>
      <c r="AD68" s="14">
        <f t="shared" si="159"/>
        <v>0.14474553866490417</v>
      </c>
      <c r="AE68" s="14">
        <f t="shared" si="145"/>
        <v>0.4713081861958266</v>
      </c>
      <c r="AG68" s="21">
        <f t="shared" si="146"/>
        <v>364.56551050317535</v>
      </c>
      <c r="AH68" s="21">
        <f t="shared" si="147"/>
        <v>72.153590620420118</v>
      </c>
      <c r="AI68" s="21">
        <f t="shared" si="148"/>
        <v>353.17283829995108</v>
      </c>
      <c r="AJ68" s="21">
        <f t="shared" si="149"/>
        <v>49.368246213971659</v>
      </c>
      <c r="AK68" s="21">
        <f t="shared" si="150"/>
        <v>0.86847323198942505</v>
      </c>
      <c r="AL68" s="21">
        <f t="shared" si="151"/>
        <v>4.0528750826173168</v>
      </c>
      <c r="AM68" s="21">
        <f t="shared" si="152"/>
        <v>0.86847323198942505</v>
      </c>
      <c r="AN68" s="21">
        <f t="shared" si="153"/>
        <v>3.0396563119629874</v>
      </c>
      <c r="AO68" s="21">
        <f t="shared" si="154"/>
        <v>53.72913322632423</v>
      </c>
      <c r="AP68" s="21">
        <f t="shared" si="155"/>
        <v>104.63041733547351</v>
      </c>
      <c r="AQ68" s="21">
        <f t="shared" si="156"/>
        <v>48.544743178170137</v>
      </c>
      <c r="AR68" s="21">
        <f t="shared" si="157"/>
        <v>100.85995184590689</v>
      </c>
      <c r="AT68">
        <f t="shared" si="165"/>
        <v>0.69860519493581497</v>
      </c>
      <c r="AU68">
        <f t="shared" si="160"/>
        <v>0.30139480506418492</v>
      </c>
      <c r="AV68">
        <f t="shared" si="161"/>
        <v>0.25544642395306921</v>
      </c>
      <c r="AW68">
        <f t="shared" si="162"/>
        <v>0.67097675785018429</v>
      </c>
      <c r="AX68">
        <f t="shared" si="163"/>
        <v>0.84754753453255272</v>
      </c>
      <c r="AY68">
        <f t="shared" si="164"/>
        <v>0.96045200166573497</v>
      </c>
    </row>
    <row r="69" spans="1:51" x14ac:dyDescent="0.3">
      <c r="A69" t="s">
        <v>23</v>
      </c>
      <c r="B69" t="s">
        <v>17</v>
      </c>
      <c r="C69">
        <v>2004</v>
      </c>
      <c r="D69">
        <v>222</v>
      </c>
      <c r="E69">
        <f>6+76</f>
        <v>82</v>
      </c>
      <c r="F69">
        <v>204</v>
      </c>
      <c r="G69">
        <v>64</v>
      </c>
      <c r="H69">
        <v>68</v>
      </c>
      <c r="I69">
        <v>19</v>
      </c>
      <c r="J69">
        <v>63</v>
      </c>
      <c r="K69">
        <v>9</v>
      </c>
      <c r="L69">
        <v>86</v>
      </c>
      <c r="M69">
        <v>207</v>
      </c>
      <c r="N69">
        <v>82</v>
      </c>
      <c r="O69">
        <v>202</v>
      </c>
      <c r="Q69">
        <v>8195</v>
      </c>
      <c r="R69">
        <v>200</v>
      </c>
      <c r="S69">
        <v>2931</v>
      </c>
      <c r="U69" s="13">
        <f t="shared" si="139"/>
        <v>0.72355641885926192</v>
      </c>
      <c r="V69" s="13">
        <f t="shared" si="140"/>
        <v>1.7658484901995408E-2</v>
      </c>
      <c r="W69" s="13">
        <f t="shared" si="141"/>
        <v>0.25878509623874274</v>
      </c>
      <c r="Y69" s="13">
        <f t="shared" si="142"/>
        <v>0.44444444444444442</v>
      </c>
      <c r="Z69" s="13">
        <f t="shared" si="143"/>
        <v>0.12719298245614036</v>
      </c>
      <c r="AA69" s="13">
        <f t="shared" si="144"/>
        <v>0.42836257309941522</v>
      </c>
      <c r="AC69" s="14">
        <f t="shared" si="158"/>
        <v>1.6280019424333394</v>
      </c>
      <c r="AD69" s="14">
        <f t="shared" si="159"/>
        <v>0.13883222612603285</v>
      </c>
      <c r="AE69" s="14">
        <f t="shared" si="145"/>
        <v>0.60412629975187726</v>
      </c>
      <c r="AG69" s="21">
        <f t="shared" si="146"/>
        <v>361.41643122020133</v>
      </c>
      <c r="AH69" s="21">
        <f t="shared" si="147"/>
        <v>133.49615927953383</v>
      </c>
      <c r="AI69" s="21">
        <f t="shared" si="148"/>
        <v>332.11239625640121</v>
      </c>
      <c r="AJ69" s="21">
        <f t="shared" si="149"/>
        <v>104.19212431573372</v>
      </c>
      <c r="AK69" s="21">
        <f t="shared" si="150"/>
        <v>9.4405913765702341</v>
      </c>
      <c r="AL69" s="21">
        <f t="shared" si="151"/>
        <v>2.6378122963946242</v>
      </c>
      <c r="AM69" s="21">
        <f t="shared" si="152"/>
        <v>8.7464302459400702</v>
      </c>
      <c r="AN69" s="21">
        <f t="shared" si="153"/>
        <v>1.2494900351342957</v>
      </c>
      <c r="AO69" s="21">
        <f t="shared" si="154"/>
        <v>51.954861778661446</v>
      </c>
      <c r="AP69" s="21">
        <f t="shared" si="155"/>
        <v>125.05414404863859</v>
      </c>
      <c r="AQ69" s="21">
        <f t="shared" si="156"/>
        <v>49.538356579653936</v>
      </c>
      <c r="AR69" s="21">
        <f t="shared" si="157"/>
        <v>122.03351254987921</v>
      </c>
      <c r="AT69">
        <f t="shared" si="165"/>
        <v>0.61814602978864464</v>
      </c>
      <c r="AU69">
        <f t="shared" si="160"/>
        <v>0.38185397021135525</v>
      </c>
      <c r="AV69">
        <f t="shared" si="161"/>
        <v>0.33256597500109236</v>
      </c>
      <c r="AW69">
        <f t="shared" si="162"/>
        <v>0.57075611561695194</v>
      </c>
      <c r="AX69">
        <f t="shared" si="163"/>
        <v>0.87092449193868005</v>
      </c>
      <c r="AY69">
        <f t="shared" si="164"/>
        <v>0.92333540637978995</v>
      </c>
    </row>
    <row r="70" spans="1:51" x14ac:dyDescent="0.3">
      <c r="A70" t="s">
        <v>23</v>
      </c>
      <c r="B70" t="s">
        <v>17</v>
      </c>
      <c r="C70">
        <v>2005</v>
      </c>
      <c r="D70">
        <v>137</v>
      </c>
      <c r="E70">
        <v>27</v>
      </c>
      <c r="F70">
        <v>125</v>
      </c>
      <c r="G70">
        <v>15</v>
      </c>
      <c r="H70">
        <v>4</v>
      </c>
      <c r="I70">
        <v>6</v>
      </c>
      <c r="J70">
        <v>4</v>
      </c>
      <c r="K70">
        <v>4</v>
      </c>
      <c r="L70">
        <v>94</v>
      </c>
      <c r="M70">
        <v>71</v>
      </c>
      <c r="N70">
        <v>94</v>
      </c>
      <c r="O70">
        <v>62</v>
      </c>
      <c r="Q70">
        <v>6288</v>
      </c>
      <c r="R70">
        <v>94</v>
      </c>
      <c r="S70">
        <v>2567</v>
      </c>
      <c r="U70" s="13">
        <f t="shared" si="139"/>
        <v>0.70264834059671477</v>
      </c>
      <c r="V70" s="13">
        <f t="shared" si="140"/>
        <v>1.0503966923678623E-2</v>
      </c>
      <c r="W70" s="13">
        <f t="shared" si="141"/>
        <v>0.28684769247960668</v>
      </c>
      <c r="Y70" s="13">
        <f t="shared" si="142"/>
        <v>0.48377581120943952</v>
      </c>
      <c r="Z70" s="13">
        <f t="shared" si="143"/>
        <v>2.9498525073746312E-2</v>
      </c>
      <c r="AA70" s="13">
        <f t="shared" si="144"/>
        <v>0.48672566371681414</v>
      </c>
      <c r="AC70" s="14">
        <f t="shared" si="158"/>
        <v>1.4524255333066238</v>
      </c>
      <c r="AD70" s="14">
        <f t="shared" si="159"/>
        <v>0.35608447871270532</v>
      </c>
      <c r="AE70" s="14">
        <f t="shared" si="145"/>
        <v>0.58934162273082824</v>
      </c>
      <c r="AG70" s="21">
        <f t="shared" si="146"/>
        <v>198.98229806300748</v>
      </c>
      <c r="AH70" s="21">
        <f t="shared" si="147"/>
        <v>39.215489399278844</v>
      </c>
      <c r="AI70" s="21">
        <f t="shared" si="148"/>
        <v>181.55319166332796</v>
      </c>
      <c r="AJ70" s="21">
        <f t="shared" si="149"/>
        <v>21.786382999599358</v>
      </c>
      <c r="AK70" s="21">
        <f t="shared" si="150"/>
        <v>1.4243379148508213</v>
      </c>
      <c r="AL70" s="21">
        <f t="shared" si="151"/>
        <v>2.1365068722762319</v>
      </c>
      <c r="AM70" s="21">
        <f t="shared" si="152"/>
        <v>1.4243379148508213</v>
      </c>
      <c r="AN70" s="21">
        <f t="shared" si="153"/>
        <v>1.4243379148508213</v>
      </c>
      <c r="AO70" s="21">
        <f t="shared" si="154"/>
        <v>55.398112536697852</v>
      </c>
      <c r="AP70" s="21">
        <f t="shared" si="155"/>
        <v>41.843255213888803</v>
      </c>
      <c r="AQ70" s="21">
        <f t="shared" si="156"/>
        <v>55.398112536697852</v>
      </c>
      <c r="AR70" s="21">
        <f t="shared" si="157"/>
        <v>36.539180609311352</v>
      </c>
      <c r="AT70">
        <f t="shared" si="165"/>
        <v>0.75458627880400031</v>
      </c>
      <c r="AU70">
        <f t="shared" si="160"/>
        <v>0.24541372119599961</v>
      </c>
      <c r="AV70">
        <f t="shared" si="161"/>
        <v>0.17625339682525523</v>
      </c>
      <c r="AW70">
        <f t="shared" si="162"/>
        <v>0.7031729855896065</v>
      </c>
      <c r="AX70">
        <f t="shared" si="163"/>
        <v>0.71818884439835584</v>
      </c>
      <c r="AY70">
        <f t="shared" si="164"/>
        <v>0.93186558693343524</v>
      </c>
    </row>
    <row r="71" spans="1:51" x14ac:dyDescent="0.3">
      <c r="A71" t="s">
        <v>23</v>
      </c>
      <c r="B71" t="s">
        <v>17</v>
      </c>
      <c r="C71">
        <v>2006</v>
      </c>
      <c r="D71">
        <v>207</v>
      </c>
      <c r="E71">
        <v>63</v>
      </c>
      <c r="F71">
        <v>197</v>
      </c>
      <c r="G71">
        <v>46</v>
      </c>
      <c r="H71">
        <v>9</v>
      </c>
      <c r="I71">
        <v>4</v>
      </c>
      <c r="J71">
        <v>9</v>
      </c>
      <c r="K71">
        <v>4</v>
      </c>
      <c r="L71">
        <v>101</v>
      </c>
      <c r="M71">
        <v>99</v>
      </c>
      <c r="N71">
        <v>101</v>
      </c>
      <c r="O71">
        <v>97</v>
      </c>
      <c r="Q71">
        <v>6842</v>
      </c>
      <c r="R71">
        <v>88</v>
      </c>
      <c r="S71">
        <v>2176</v>
      </c>
      <c r="U71" s="13">
        <f t="shared" si="139"/>
        <v>0.75137272128267074</v>
      </c>
      <c r="V71" s="13">
        <f t="shared" si="140"/>
        <v>9.6639578300021962E-3</v>
      </c>
      <c r="W71" s="13">
        <f t="shared" si="141"/>
        <v>0.23896332088732702</v>
      </c>
      <c r="Y71" s="13">
        <f t="shared" si="142"/>
        <v>0.55900621118012417</v>
      </c>
      <c r="Z71" s="13">
        <f t="shared" si="143"/>
        <v>2.6915113871635612E-2</v>
      </c>
      <c r="AA71" s="13">
        <f t="shared" si="144"/>
        <v>0.41407867494824019</v>
      </c>
      <c r="AC71" s="14">
        <f t="shared" si="158"/>
        <v>1.3441223125167778</v>
      </c>
      <c r="AD71" s="14">
        <f t="shared" si="159"/>
        <v>0.35905320245315853</v>
      </c>
      <c r="AE71" s="14">
        <f t="shared" si="145"/>
        <v>0.57709641994289473</v>
      </c>
      <c r="AG71" s="21">
        <f t="shared" si="146"/>
        <v>278.23331869097302</v>
      </c>
      <c r="AH71" s="21">
        <f t="shared" si="147"/>
        <v>84.679705688557007</v>
      </c>
      <c r="AI71" s="21">
        <f t="shared" si="148"/>
        <v>264.79209556580525</v>
      </c>
      <c r="AJ71" s="21">
        <f t="shared" si="149"/>
        <v>61.829626375771781</v>
      </c>
      <c r="AK71" s="21">
        <f t="shared" si="150"/>
        <v>3.2314788220784267</v>
      </c>
      <c r="AL71" s="21">
        <f t="shared" si="151"/>
        <v>1.4362128098126341</v>
      </c>
      <c r="AM71" s="21">
        <f t="shared" si="152"/>
        <v>3.2314788220784267</v>
      </c>
      <c r="AN71" s="21">
        <f t="shared" si="153"/>
        <v>1.4362128098126341</v>
      </c>
      <c r="AO71" s="21">
        <f t="shared" si="154"/>
        <v>58.286738414232367</v>
      </c>
      <c r="AP71" s="21">
        <f t="shared" si="155"/>
        <v>57.13254557434658</v>
      </c>
      <c r="AQ71" s="21">
        <f t="shared" si="156"/>
        <v>58.286738414232367</v>
      </c>
      <c r="AR71" s="21">
        <f t="shared" si="157"/>
        <v>55.978352734460792</v>
      </c>
      <c r="AT71">
        <f t="shared" si="165"/>
        <v>0.70341932904199544</v>
      </c>
      <c r="AU71">
        <f t="shared" si="160"/>
        <v>0.29658067095800456</v>
      </c>
      <c r="AV71">
        <f t="shared" si="161"/>
        <v>0.24688238492762982</v>
      </c>
      <c r="AW71">
        <f t="shared" si="162"/>
        <v>0.67559070973522983</v>
      </c>
      <c r="AX71">
        <f t="shared" si="163"/>
        <v>0.83242911323303315</v>
      </c>
      <c r="AY71">
        <f t="shared" si="164"/>
        <v>0.96043807987951357</v>
      </c>
    </row>
    <row r="72" spans="1:51" x14ac:dyDescent="0.3">
      <c r="A72" t="s">
        <v>23</v>
      </c>
      <c r="B72" t="s">
        <v>17</v>
      </c>
      <c r="C72">
        <v>2007</v>
      </c>
      <c r="D72">
        <v>209</v>
      </c>
      <c r="E72">
        <v>79</v>
      </c>
      <c r="F72">
        <v>203</v>
      </c>
      <c r="G72">
        <v>70</v>
      </c>
      <c r="L72">
        <v>230</v>
      </c>
      <c r="M72">
        <v>100</v>
      </c>
      <c r="N72">
        <v>228</v>
      </c>
      <c r="O72">
        <v>97</v>
      </c>
      <c r="Q72">
        <v>8428</v>
      </c>
      <c r="R72">
        <v>60</v>
      </c>
      <c r="S72">
        <v>3783</v>
      </c>
      <c r="U72" s="13">
        <f t="shared" si="139"/>
        <v>0.68682258984597833</v>
      </c>
      <c r="V72" s="13">
        <f t="shared" si="140"/>
        <v>4.8895770515850383E-3</v>
      </c>
      <c r="W72" s="13">
        <f t="shared" si="141"/>
        <v>0.30828783310243663</v>
      </c>
      <c r="Y72" s="13">
        <f t="shared" si="142"/>
        <v>0.46601941747572817</v>
      </c>
      <c r="Z72" s="13">
        <f t="shared" si="143"/>
        <v>0</v>
      </c>
      <c r="AA72" s="13">
        <f t="shared" si="144"/>
        <v>0.53398058252427183</v>
      </c>
      <c r="AC72" s="14">
        <f t="shared" si="158"/>
        <v>1.4738068073778285</v>
      </c>
      <c r="AD72" s="14">
        <v>0</v>
      </c>
      <c r="AE72" s="14">
        <f t="shared" si="145"/>
        <v>0.57733903290092681</v>
      </c>
      <c r="AG72" s="21">
        <f t="shared" si="146"/>
        <v>308.02562274196617</v>
      </c>
      <c r="AH72" s="21">
        <f t="shared" si="147"/>
        <v>116.43073778284845</v>
      </c>
      <c r="AI72" s="21">
        <f t="shared" si="148"/>
        <v>299.18278189769921</v>
      </c>
      <c r="AJ72" s="21">
        <f t="shared" si="149"/>
        <v>103.166476516448</v>
      </c>
      <c r="AK72" s="21">
        <f t="shared" si="150"/>
        <v>0</v>
      </c>
      <c r="AL72" s="21">
        <f t="shared" si="151"/>
        <v>0</v>
      </c>
      <c r="AM72" s="21">
        <f t="shared" si="152"/>
        <v>0</v>
      </c>
      <c r="AN72" s="21">
        <f t="shared" si="153"/>
        <v>0</v>
      </c>
      <c r="AO72" s="21">
        <f t="shared" si="154"/>
        <v>132.78797756721318</v>
      </c>
      <c r="AP72" s="21">
        <f t="shared" si="155"/>
        <v>57.733903290092684</v>
      </c>
      <c r="AQ72" s="21">
        <f t="shared" si="156"/>
        <v>131.6332995014113</v>
      </c>
      <c r="AR72" s="21">
        <f t="shared" si="157"/>
        <v>56.0018861913899</v>
      </c>
      <c r="AT72">
        <f t="shared" si="165"/>
        <v>0.7167954419305661</v>
      </c>
      <c r="AU72">
        <f t="shared" si="160"/>
        <v>0.28320455806943401</v>
      </c>
      <c r="AV72">
        <f t="shared" si="161"/>
        <v>0.25881950286585453</v>
      </c>
      <c r="AW72">
        <f t="shared" si="162"/>
        <v>0.70053873846151304</v>
      </c>
      <c r="AX72">
        <f t="shared" si="163"/>
        <v>0.91389596491734093</v>
      </c>
      <c r="AY72">
        <f t="shared" si="164"/>
        <v>0.97732030295105066</v>
      </c>
    </row>
    <row r="73" spans="1:51" x14ac:dyDescent="0.3">
      <c r="A73" t="s">
        <v>23</v>
      </c>
      <c r="B73" t="s">
        <v>17</v>
      </c>
      <c r="C73">
        <v>2008</v>
      </c>
      <c r="D73">
        <v>206</v>
      </c>
      <c r="E73">
        <v>56</v>
      </c>
      <c r="F73">
        <v>188</v>
      </c>
      <c r="G73">
        <v>37</v>
      </c>
      <c r="H73">
        <v>2</v>
      </c>
      <c r="I73">
        <v>1</v>
      </c>
      <c r="J73">
        <v>2</v>
      </c>
      <c r="K73">
        <v>1</v>
      </c>
      <c r="L73">
        <v>152</v>
      </c>
      <c r="M73">
        <v>151</v>
      </c>
      <c r="N73">
        <v>152</v>
      </c>
      <c r="O73">
        <v>143</v>
      </c>
      <c r="Q73">
        <v>10238</v>
      </c>
      <c r="R73">
        <v>35</v>
      </c>
      <c r="S73">
        <v>3004</v>
      </c>
      <c r="U73" s="13">
        <f t="shared" si="139"/>
        <v>0.77110793100851094</v>
      </c>
      <c r="V73" s="13">
        <f t="shared" si="140"/>
        <v>2.6361376817052046E-3</v>
      </c>
      <c r="W73" s="13">
        <f t="shared" si="141"/>
        <v>0.22625593130978383</v>
      </c>
      <c r="Y73" s="13">
        <f t="shared" si="142"/>
        <v>0.46126760563380281</v>
      </c>
      <c r="Z73" s="13">
        <f t="shared" si="143"/>
        <v>5.2816901408450703E-3</v>
      </c>
      <c r="AA73" s="13">
        <f t="shared" si="144"/>
        <v>0.53345070422535212</v>
      </c>
      <c r="AC73" s="14">
        <f t="shared" si="158"/>
        <v>1.6717149038657795</v>
      </c>
      <c r="AD73" s="14">
        <f t="shared" si="159"/>
        <v>0.49910873440285208</v>
      </c>
      <c r="AE73" s="14">
        <f t="shared" si="145"/>
        <v>0.4241365313001888</v>
      </c>
      <c r="AG73" s="21">
        <f t="shared" si="146"/>
        <v>344.37327019635057</v>
      </c>
      <c r="AH73" s="21">
        <f t="shared" si="147"/>
        <v>93.616034616483645</v>
      </c>
      <c r="AI73" s="21">
        <f t="shared" si="148"/>
        <v>314.28240192676657</v>
      </c>
      <c r="AJ73" s="21">
        <f t="shared" si="149"/>
        <v>61.85345144303384</v>
      </c>
      <c r="AK73" s="21">
        <f t="shared" si="150"/>
        <v>0.99821746880570417</v>
      </c>
      <c r="AL73" s="21">
        <f t="shared" si="151"/>
        <v>0.49910873440285208</v>
      </c>
      <c r="AM73" s="21">
        <f t="shared" si="152"/>
        <v>0.99821746880570417</v>
      </c>
      <c r="AN73" s="21">
        <f t="shared" si="153"/>
        <v>0.49910873440285208</v>
      </c>
      <c r="AO73" s="21">
        <f t="shared" si="154"/>
        <v>64.468752757628693</v>
      </c>
      <c r="AP73" s="21">
        <f t="shared" si="155"/>
        <v>64.044616226328515</v>
      </c>
      <c r="AQ73" s="21">
        <f t="shared" si="156"/>
        <v>64.468752757628693</v>
      </c>
      <c r="AR73" s="21">
        <f t="shared" si="157"/>
        <v>60.651523975926999</v>
      </c>
      <c r="AT73">
        <f t="shared" si="165"/>
        <v>0.72154971905419885</v>
      </c>
      <c r="AU73">
        <f t="shared" si="160"/>
        <v>0.2784502809458011</v>
      </c>
      <c r="AV73">
        <f t="shared" si="161"/>
        <v>0.21655648618549947</v>
      </c>
      <c r="AW73">
        <f t="shared" si="162"/>
        <v>0.66857283829788905</v>
      </c>
      <c r="AX73">
        <f t="shared" si="163"/>
        <v>0.77772048011562622</v>
      </c>
      <c r="AY73">
        <f t="shared" si="164"/>
        <v>0.92657902933459457</v>
      </c>
    </row>
    <row r="74" spans="1:51" x14ac:dyDescent="0.3">
      <c r="A74" t="s">
        <v>23</v>
      </c>
      <c r="B74" t="s">
        <v>17</v>
      </c>
      <c r="C74">
        <v>2009</v>
      </c>
      <c r="D74">
        <v>575</v>
      </c>
      <c r="E74">
        <v>118</v>
      </c>
      <c r="F74">
        <v>452</v>
      </c>
      <c r="G74">
        <v>81</v>
      </c>
      <c r="H74">
        <v>18</v>
      </c>
      <c r="I74">
        <v>7</v>
      </c>
      <c r="J74">
        <v>15</v>
      </c>
      <c r="K74">
        <v>6</v>
      </c>
      <c r="L74">
        <v>190</v>
      </c>
      <c r="M74">
        <v>203</v>
      </c>
      <c r="N74">
        <v>187</v>
      </c>
      <c r="O74">
        <v>182</v>
      </c>
      <c r="Q74">
        <v>9851</v>
      </c>
      <c r="R74">
        <v>327</v>
      </c>
      <c r="S74">
        <v>3460</v>
      </c>
      <c r="U74" s="13">
        <f t="shared" si="139"/>
        <v>0.72231998826807453</v>
      </c>
      <c r="V74" s="13">
        <f t="shared" si="140"/>
        <v>2.3977122745270567E-2</v>
      </c>
      <c r="W74" s="13">
        <f t="shared" si="141"/>
        <v>0.25370288898665494</v>
      </c>
      <c r="Y74" s="13">
        <f t="shared" si="142"/>
        <v>0.62376237623762376</v>
      </c>
      <c r="Z74" s="13">
        <f t="shared" si="143"/>
        <v>2.2502250225022502E-2</v>
      </c>
      <c r="AA74" s="13">
        <f t="shared" si="144"/>
        <v>0.35373537353735374</v>
      </c>
      <c r="AC74" s="14">
        <f t="shared" si="158"/>
        <v>1.1580050605567545</v>
      </c>
      <c r="AD74" s="14">
        <f t="shared" si="159"/>
        <v>1.065543334799824</v>
      </c>
      <c r="AE74" s="14">
        <f t="shared" si="145"/>
        <v>0.71721096606659962</v>
      </c>
      <c r="AG74" s="21">
        <f t="shared" si="146"/>
        <v>665.85290982013385</v>
      </c>
      <c r="AH74" s="21">
        <f t="shared" si="147"/>
        <v>136.64459714569702</v>
      </c>
      <c r="AI74" s="21">
        <f t="shared" si="148"/>
        <v>523.41828737165304</v>
      </c>
      <c r="AJ74" s="21">
        <f t="shared" si="149"/>
        <v>93.798409905097117</v>
      </c>
      <c r="AK74" s="21">
        <f t="shared" si="150"/>
        <v>19.179780026396831</v>
      </c>
      <c r="AL74" s="21">
        <f t="shared" si="151"/>
        <v>7.4588033435987677</v>
      </c>
      <c r="AM74" s="21">
        <f t="shared" si="152"/>
        <v>15.983150021997361</v>
      </c>
      <c r="AN74" s="21">
        <f t="shared" si="153"/>
        <v>6.3932600087989435</v>
      </c>
      <c r="AO74" s="21">
        <f t="shared" si="154"/>
        <v>136.27008355265392</v>
      </c>
      <c r="AP74" s="21">
        <f t="shared" si="155"/>
        <v>145.59382611151972</v>
      </c>
      <c r="AQ74" s="21">
        <f t="shared" si="156"/>
        <v>134.11845065445414</v>
      </c>
      <c r="AR74" s="21">
        <f t="shared" si="157"/>
        <v>130.53239582412112</v>
      </c>
      <c r="AT74">
        <f t="shared" si="165"/>
        <v>0.73924642070133617</v>
      </c>
      <c r="AU74">
        <f t="shared" si="160"/>
        <v>0.26075357929866377</v>
      </c>
      <c r="AV74">
        <f t="shared" si="161"/>
        <v>0.20767242640685613</v>
      </c>
      <c r="AW74">
        <f t="shared" si="162"/>
        <v>0.6062285220955036</v>
      </c>
      <c r="AX74">
        <f t="shared" si="163"/>
        <v>0.79643173821591462</v>
      </c>
      <c r="AY74">
        <f t="shared" si="164"/>
        <v>0.82006284388954342</v>
      </c>
    </row>
    <row r="75" spans="1:51" x14ac:dyDescent="0.3">
      <c r="A75" t="s">
        <v>23</v>
      </c>
      <c r="B75" t="s">
        <v>17</v>
      </c>
      <c r="C75">
        <v>2010</v>
      </c>
      <c r="D75">
        <v>296</v>
      </c>
      <c r="E75">
        <v>119</v>
      </c>
      <c r="F75">
        <v>257</v>
      </c>
      <c r="G75">
        <v>95</v>
      </c>
      <c r="H75">
        <v>1</v>
      </c>
      <c r="I75">
        <v>3</v>
      </c>
      <c r="J75">
        <v>1</v>
      </c>
      <c r="K75">
        <v>3</v>
      </c>
      <c r="L75">
        <v>169</v>
      </c>
      <c r="M75">
        <v>178</v>
      </c>
      <c r="N75">
        <v>167</v>
      </c>
      <c r="O75">
        <v>164</v>
      </c>
      <c r="Q75">
        <v>8843</v>
      </c>
      <c r="R75">
        <v>182</v>
      </c>
      <c r="S75">
        <v>3748</v>
      </c>
      <c r="U75" s="13">
        <f t="shared" si="139"/>
        <v>0.69231973694511861</v>
      </c>
      <c r="V75" s="13">
        <f t="shared" si="140"/>
        <v>1.4248806075315118E-2</v>
      </c>
      <c r="W75" s="13">
        <f t="shared" si="141"/>
        <v>0.2934314569795663</v>
      </c>
      <c r="Y75" s="13">
        <f t="shared" si="142"/>
        <v>0.54177545691906004</v>
      </c>
      <c r="Z75" s="13">
        <f t="shared" si="143"/>
        <v>5.2219321148825066E-3</v>
      </c>
      <c r="AA75" s="13">
        <f t="shared" si="144"/>
        <v>0.45300261096605743</v>
      </c>
      <c r="AC75" s="14">
        <f t="shared" si="158"/>
        <v>1.2778720927709901</v>
      </c>
      <c r="AD75" s="14">
        <f t="shared" si="159"/>
        <v>2.7286463634228451</v>
      </c>
      <c r="AE75" s="14">
        <f t="shared" si="145"/>
        <v>0.64774782722290425</v>
      </c>
      <c r="AG75" s="21">
        <f t="shared" si="146"/>
        <v>378.25013946021306</v>
      </c>
      <c r="AH75" s="21">
        <f t="shared" si="147"/>
        <v>152.06677903974781</v>
      </c>
      <c r="AI75" s="21">
        <f t="shared" si="148"/>
        <v>328.41312784214443</v>
      </c>
      <c r="AJ75" s="21">
        <f t="shared" si="149"/>
        <v>121.39784881324407</v>
      </c>
      <c r="AK75" s="21">
        <f t="shared" si="150"/>
        <v>2.7286463634228451</v>
      </c>
      <c r="AL75" s="21">
        <f t="shared" si="151"/>
        <v>8.1859390902685352</v>
      </c>
      <c r="AM75" s="21">
        <f t="shared" si="152"/>
        <v>2.7286463634228451</v>
      </c>
      <c r="AN75" s="21">
        <f t="shared" si="153"/>
        <v>8.1859390902685352</v>
      </c>
      <c r="AO75" s="21">
        <f t="shared" si="154"/>
        <v>109.46938280067081</v>
      </c>
      <c r="AP75" s="21">
        <f t="shared" si="155"/>
        <v>115.29911324567695</v>
      </c>
      <c r="AQ75" s="21">
        <f t="shared" si="156"/>
        <v>108.17388714622501</v>
      </c>
      <c r="AR75" s="21">
        <f t="shared" si="157"/>
        <v>106.2306436645563</v>
      </c>
      <c r="AT75">
        <f t="shared" si="165"/>
        <v>0.64027176060614455</v>
      </c>
      <c r="AU75">
        <f t="shared" si="160"/>
        <v>0.35972823939385545</v>
      </c>
      <c r="AV75">
        <f t="shared" si="161"/>
        <v>0.30785173833951557</v>
      </c>
      <c r="AW75">
        <f t="shared" si="162"/>
        <v>0.57351914014594296</v>
      </c>
      <c r="AX75">
        <f t="shared" si="163"/>
        <v>0.85578974522058027</v>
      </c>
      <c r="AY75">
        <f t="shared" si="164"/>
        <v>0.89574330063064633</v>
      </c>
    </row>
    <row r="76" spans="1:51" x14ac:dyDescent="0.3">
      <c r="A76" t="s">
        <v>23</v>
      </c>
      <c r="B76" t="s">
        <v>17</v>
      </c>
      <c r="C76">
        <v>2011</v>
      </c>
      <c r="D76">
        <v>288</v>
      </c>
      <c r="E76">
        <v>89</v>
      </c>
      <c r="F76">
        <v>263</v>
      </c>
      <c r="G76">
        <v>73</v>
      </c>
      <c r="H76">
        <v>35</v>
      </c>
      <c r="I76">
        <v>14</v>
      </c>
      <c r="J76">
        <v>29</v>
      </c>
      <c r="K76">
        <v>9</v>
      </c>
      <c r="L76">
        <v>229</v>
      </c>
      <c r="M76">
        <v>94</v>
      </c>
      <c r="N76">
        <v>223</v>
      </c>
      <c r="O76">
        <v>76</v>
      </c>
      <c r="Q76">
        <v>11643</v>
      </c>
      <c r="R76">
        <v>228</v>
      </c>
      <c r="S76">
        <v>3525</v>
      </c>
      <c r="U76" s="13">
        <f t="shared" si="139"/>
        <v>0.75623538581449723</v>
      </c>
      <c r="V76" s="13">
        <f t="shared" si="140"/>
        <v>1.4809041309431021E-2</v>
      </c>
      <c r="W76" s="13">
        <f t="shared" si="141"/>
        <v>0.22895557287607171</v>
      </c>
      <c r="Y76" s="13">
        <f t="shared" si="142"/>
        <v>0.50333778371161553</v>
      </c>
      <c r="Z76" s="13">
        <f t="shared" si="143"/>
        <v>6.5420560747663545E-2</v>
      </c>
      <c r="AA76" s="13">
        <f t="shared" si="144"/>
        <v>0.43124165554072097</v>
      </c>
      <c r="AC76" s="14">
        <f t="shared" si="158"/>
        <v>1.5024411246022769</v>
      </c>
      <c r="AD76" s="14">
        <f t="shared" si="159"/>
        <v>0.22636677430130278</v>
      </c>
      <c r="AE76" s="14">
        <f t="shared" si="145"/>
        <v>0.53092174639064305</v>
      </c>
      <c r="AG76" s="21">
        <f t="shared" si="146"/>
        <v>432.70304388545571</v>
      </c>
      <c r="AH76" s="21">
        <f t="shared" si="147"/>
        <v>133.71726008960263</v>
      </c>
      <c r="AI76" s="21">
        <f t="shared" si="148"/>
        <v>395.14201577039881</v>
      </c>
      <c r="AJ76" s="21">
        <f t="shared" si="149"/>
        <v>109.67820209596621</v>
      </c>
      <c r="AK76" s="21">
        <f t="shared" si="150"/>
        <v>7.9228371005455971</v>
      </c>
      <c r="AL76" s="21">
        <f t="shared" si="151"/>
        <v>3.1691348402182391</v>
      </c>
      <c r="AM76" s="21">
        <f t="shared" si="152"/>
        <v>6.5646364547377809</v>
      </c>
      <c r="AN76" s="21">
        <f t="shared" si="153"/>
        <v>2.0373009687117252</v>
      </c>
      <c r="AO76" s="21">
        <f t="shared" si="154"/>
        <v>121.58107992345725</v>
      </c>
      <c r="AP76" s="21">
        <f t="shared" si="155"/>
        <v>49.906644160720447</v>
      </c>
      <c r="AQ76" s="21">
        <f t="shared" si="156"/>
        <v>118.3955494451134</v>
      </c>
      <c r="AR76" s="21">
        <f t="shared" si="157"/>
        <v>40.350052725688869</v>
      </c>
      <c r="AT76">
        <f t="shared" si="165"/>
        <v>0.75061009467217443</v>
      </c>
      <c r="AU76">
        <f t="shared" si="160"/>
        <v>0.24938990532782557</v>
      </c>
      <c r="AV76">
        <f t="shared" si="161"/>
        <v>0.20302477408593703</v>
      </c>
      <c r="AW76">
        <f t="shared" si="162"/>
        <v>0.69439546284412557</v>
      </c>
      <c r="AX76">
        <f t="shared" si="163"/>
        <v>0.81408577391718751</v>
      </c>
      <c r="AY76">
        <f t="shared" si="164"/>
        <v>0.92510807911183202</v>
      </c>
    </row>
    <row r="77" spans="1:51" x14ac:dyDescent="0.3">
      <c r="A77" t="s">
        <v>23</v>
      </c>
      <c r="B77" t="s">
        <v>17</v>
      </c>
      <c r="C77">
        <v>2012</v>
      </c>
      <c r="D77">
        <v>359</v>
      </c>
      <c r="E77">
        <f>18+151</f>
        <v>169</v>
      </c>
      <c r="F77">
        <v>293</v>
      </c>
      <c r="G77">
        <v>116</v>
      </c>
      <c r="H77">
        <v>17</v>
      </c>
      <c r="I77">
        <v>4</v>
      </c>
      <c r="J77">
        <v>15</v>
      </c>
      <c r="K77">
        <v>1</v>
      </c>
      <c r="L77">
        <v>188</v>
      </c>
      <c r="M77">
        <v>152</v>
      </c>
      <c r="N77">
        <v>182</v>
      </c>
      <c r="O77">
        <v>126</v>
      </c>
      <c r="Q77">
        <v>13844</v>
      </c>
      <c r="R77">
        <v>187</v>
      </c>
      <c r="S77">
        <v>2344</v>
      </c>
      <c r="U77" s="13">
        <f t="shared" si="139"/>
        <v>0.84543511450381681</v>
      </c>
      <c r="V77" s="13">
        <f t="shared" si="140"/>
        <v>1.1419847328244274E-2</v>
      </c>
      <c r="W77" s="13">
        <f t="shared" si="141"/>
        <v>0.14314503816793894</v>
      </c>
      <c r="Y77" s="13">
        <f t="shared" si="142"/>
        <v>0.59392575928008995</v>
      </c>
      <c r="Z77" s="13">
        <f t="shared" si="143"/>
        <v>2.3622047244094488E-2</v>
      </c>
      <c r="AA77" s="13">
        <f t="shared" si="144"/>
        <v>0.38245219347581555</v>
      </c>
      <c r="AC77" s="14">
        <f t="shared" si="158"/>
        <v>1.4234693499884341</v>
      </c>
      <c r="AD77" s="14">
        <f t="shared" si="159"/>
        <v>0.48344020356234096</v>
      </c>
      <c r="AE77" s="14">
        <f t="shared" si="145"/>
        <v>0.3742821733273462</v>
      </c>
      <c r="AG77" s="21">
        <f t="shared" si="146"/>
        <v>511.02549664584785</v>
      </c>
      <c r="AH77" s="21">
        <f t="shared" si="147"/>
        <v>240.56632014804538</v>
      </c>
      <c r="AI77" s="21">
        <f t="shared" si="148"/>
        <v>417.07651954661117</v>
      </c>
      <c r="AJ77" s="21">
        <f t="shared" si="149"/>
        <v>165.12244459865835</v>
      </c>
      <c r="AK77" s="21">
        <f t="shared" si="150"/>
        <v>8.2184834605597956</v>
      </c>
      <c r="AL77" s="21">
        <f t="shared" si="151"/>
        <v>1.9337608142493639</v>
      </c>
      <c r="AM77" s="21">
        <f t="shared" si="152"/>
        <v>7.2516030534351144</v>
      </c>
      <c r="AN77" s="21">
        <f t="shared" si="153"/>
        <v>0.48344020356234096</v>
      </c>
      <c r="AO77" s="21">
        <f t="shared" si="154"/>
        <v>70.365048585541089</v>
      </c>
      <c r="AP77" s="21">
        <f t="shared" si="155"/>
        <v>56.890890345756624</v>
      </c>
      <c r="AQ77" s="21">
        <f t="shared" si="156"/>
        <v>68.119355545577008</v>
      </c>
      <c r="AR77" s="21">
        <f t="shared" si="157"/>
        <v>47.159553839245625</v>
      </c>
      <c r="AT77">
        <f t="shared" si="165"/>
        <v>0.66322725387170833</v>
      </c>
      <c r="AU77">
        <f t="shared" si="160"/>
        <v>0.33677274612829167</v>
      </c>
      <c r="AV77">
        <f t="shared" si="161"/>
        <v>0.23933120207139066</v>
      </c>
      <c r="AW77">
        <f t="shared" si="162"/>
        <v>0.55393417114243337</v>
      </c>
      <c r="AX77">
        <f t="shared" si="163"/>
        <v>0.71066083827406501</v>
      </c>
      <c r="AY77">
        <f t="shared" si="164"/>
        <v>0.83521020571567739</v>
      </c>
    </row>
    <row r="78" spans="1:51" x14ac:dyDescent="0.3">
      <c r="A78" t="s">
        <v>23</v>
      </c>
      <c r="B78" t="s">
        <v>17</v>
      </c>
      <c r="C78">
        <v>2013</v>
      </c>
      <c r="D78">
        <v>270</v>
      </c>
      <c r="E78">
        <v>89</v>
      </c>
      <c r="F78">
        <v>181</v>
      </c>
      <c r="G78">
        <v>56</v>
      </c>
      <c r="H78">
        <v>43</v>
      </c>
      <c r="I78">
        <v>26</v>
      </c>
      <c r="J78">
        <v>41</v>
      </c>
      <c r="K78">
        <v>24</v>
      </c>
      <c r="L78">
        <v>283</v>
      </c>
      <c r="M78">
        <v>181</v>
      </c>
      <c r="N78">
        <v>270</v>
      </c>
      <c r="O78">
        <v>143</v>
      </c>
      <c r="Q78">
        <v>16121</v>
      </c>
      <c r="R78">
        <v>483</v>
      </c>
      <c r="S78">
        <v>2719</v>
      </c>
      <c r="U78" s="13">
        <f t="shared" si="139"/>
        <v>0.83429074160327077</v>
      </c>
      <c r="V78" s="13">
        <f t="shared" si="140"/>
        <v>2.4996118615121875E-2</v>
      </c>
      <c r="W78" s="13">
        <f t="shared" si="141"/>
        <v>0.1407131397816074</v>
      </c>
      <c r="Y78" s="13">
        <f t="shared" si="142"/>
        <v>0.40246636771300448</v>
      </c>
      <c r="Z78" s="13">
        <f t="shared" si="143"/>
        <v>7.73542600896861E-2</v>
      </c>
      <c r="AA78" s="13">
        <f t="shared" si="144"/>
        <v>0.52017937219730936</v>
      </c>
      <c r="AC78" s="14">
        <f t="shared" si="158"/>
        <v>2.0729452409752578</v>
      </c>
      <c r="AD78" s="14">
        <f t="shared" si="159"/>
        <v>0.32313822905345957</v>
      </c>
      <c r="AE78" s="14">
        <f t="shared" si="145"/>
        <v>0.27050888078705565</v>
      </c>
      <c r="AG78" s="21">
        <f t="shared" si="146"/>
        <v>559.69521506331955</v>
      </c>
      <c r="AH78" s="21">
        <f t="shared" si="147"/>
        <v>184.49212644679795</v>
      </c>
      <c r="AI78" s="21">
        <f t="shared" si="148"/>
        <v>375.20308861652165</v>
      </c>
      <c r="AJ78" s="21">
        <f t="shared" si="149"/>
        <v>116.08493349461443</v>
      </c>
      <c r="AK78" s="21">
        <f t="shared" si="150"/>
        <v>13.894943849298761</v>
      </c>
      <c r="AL78" s="21">
        <f t="shared" si="151"/>
        <v>8.4015939553899486</v>
      </c>
      <c r="AM78" s="21">
        <f t="shared" si="152"/>
        <v>13.248667391191843</v>
      </c>
      <c r="AN78" s="21">
        <f t="shared" si="153"/>
        <v>7.7553174972830297</v>
      </c>
      <c r="AO78" s="21">
        <f t="shared" si="154"/>
        <v>76.554013262736746</v>
      </c>
      <c r="AP78" s="21">
        <f t="shared" si="155"/>
        <v>48.962107422457073</v>
      </c>
      <c r="AQ78" s="21">
        <f t="shared" si="156"/>
        <v>73.03739781250502</v>
      </c>
      <c r="AR78" s="21">
        <f t="shared" si="157"/>
        <v>38.682769952548959</v>
      </c>
      <c r="AT78">
        <f t="shared" si="165"/>
        <v>0.72886117956878382</v>
      </c>
      <c r="AU78">
        <f t="shared" si="160"/>
        <v>0.2711388204312164</v>
      </c>
      <c r="AV78">
        <f t="shared" si="161"/>
        <v>0.18220069612606102</v>
      </c>
      <c r="AW78">
        <f t="shared" si="162"/>
        <v>0.51736452221997598</v>
      </c>
      <c r="AX78">
        <f t="shared" si="163"/>
        <v>0.67198306696286025</v>
      </c>
      <c r="AY78">
        <f t="shared" si="164"/>
        <v>0.70982587181562395</v>
      </c>
    </row>
    <row r="79" spans="1:51" x14ac:dyDescent="0.3">
      <c r="A79" t="s">
        <v>23</v>
      </c>
      <c r="B79" t="s">
        <v>17</v>
      </c>
      <c r="C79">
        <v>2014</v>
      </c>
      <c r="D79">
        <v>530</v>
      </c>
      <c r="E79">
        <f>13+112</f>
        <v>125</v>
      </c>
      <c r="F79">
        <v>377</v>
      </c>
      <c r="G79">
        <v>68</v>
      </c>
      <c r="H79">
        <v>249</v>
      </c>
      <c r="I79">
        <v>37</v>
      </c>
      <c r="J79">
        <v>216</v>
      </c>
      <c r="K79">
        <v>18</v>
      </c>
      <c r="L79">
        <v>197</v>
      </c>
      <c r="M79">
        <v>97</v>
      </c>
      <c r="N79">
        <v>196</v>
      </c>
      <c r="O79">
        <v>78</v>
      </c>
      <c r="Q79">
        <v>16623</v>
      </c>
      <c r="R79">
        <v>1014</v>
      </c>
      <c r="S79">
        <v>3299</v>
      </c>
      <c r="U79" s="13">
        <f t="shared" si="139"/>
        <v>0.79399121131066108</v>
      </c>
      <c r="V79" s="13">
        <f t="shared" si="140"/>
        <v>4.8433320596102405E-2</v>
      </c>
      <c r="W79" s="13">
        <f t="shared" si="141"/>
        <v>0.15757546809323653</v>
      </c>
      <c r="Y79" s="13">
        <f t="shared" si="142"/>
        <v>0.53036437246963564</v>
      </c>
      <c r="Z79" s="13">
        <f t="shared" si="143"/>
        <v>0.23157894736842105</v>
      </c>
      <c r="AA79" s="13">
        <f t="shared" si="144"/>
        <v>0.23805668016194331</v>
      </c>
      <c r="AC79" s="14">
        <f t="shared" si="158"/>
        <v>1.497067398425445</v>
      </c>
      <c r="AD79" s="14">
        <f t="shared" si="159"/>
        <v>0.20914388439226039</v>
      </c>
      <c r="AE79" s="14">
        <f t="shared" si="145"/>
        <v>0.66192416018757527</v>
      </c>
      <c r="AG79" s="21">
        <f t="shared" si="146"/>
        <v>793.44572116548591</v>
      </c>
      <c r="AH79" s="21">
        <f t="shared" si="147"/>
        <v>187.13342480318062</v>
      </c>
      <c r="AI79" s="21">
        <f t="shared" si="148"/>
        <v>564.39440920639277</v>
      </c>
      <c r="AJ79" s="21">
        <f t="shared" si="149"/>
        <v>101.80058309293025</v>
      </c>
      <c r="AK79" s="21">
        <f t="shared" si="150"/>
        <v>52.076827213672836</v>
      </c>
      <c r="AL79" s="21">
        <f t="shared" si="151"/>
        <v>7.7383237225136341</v>
      </c>
      <c r="AM79" s="21">
        <f t="shared" si="152"/>
        <v>45.175079028728248</v>
      </c>
      <c r="AN79" s="21">
        <f t="shared" si="153"/>
        <v>3.7645899190606871</v>
      </c>
      <c r="AO79" s="21">
        <f t="shared" si="154"/>
        <v>130.39905955695232</v>
      </c>
      <c r="AP79" s="21">
        <f t="shared" si="155"/>
        <v>64.206643538194797</v>
      </c>
      <c r="AQ79" s="21">
        <f t="shared" si="156"/>
        <v>129.73713539676476</v>
      </c>
      <c r="AR79" s="21">
        <f t="shared" si="157"/>
        <v>51.630084494630871</v>
      </c>
      <c r="AT79">
        <f t="shared" si="165"/>
        <v>0.79021992545434083</v>
      </c>
      <c r="AU79">
        <f t="shared" si="160"/>
        <v>0.20978007454565911</v>
      </c>
      <c r="AV79">
        <f t="shared" si="161"/>
        <v>0.12728360931710264</v>
      </c>
      <c r="AW79">
        <f t="shared" si="162"/>
        <v>0.59862884504606129</v>
      </c>
      <c r="AX79">
        <f t="shared" si="163"/>
        <v>0.60674785054192115</v>
      </c>
      <c r="AY79">
        <f t="shared" si="164"/>
        <v>0.75754714069235429</v>
      </c>
    </row>
    <row r="80" spans="1:51" x14ac:dyDescent="0.3">
      <c r="A80" t="s">
        <v>23</v>
      </c>
      <c r="B80" t="s">
        <v>17</v>
      </c>
      <c r="C80">
        <v>2015</v>
      </c>
      <c r="D80">
        <v>192</v>
      </c>
      <c r="E80">
        <f>17+58</f>
        <v>75</v>
      </c>
      <c r="F80">
        <v>119</v>
      </c>
      <c r="G80">
        <v>34</v>
      </c>
      <c r="H80">
        <v>233</v>
      </c>
      <c r="I80">
        <v>12</v>
      </c>
      <c r="J80">
        <v>224</v>
      </c>
      <c r="K80">
        <v>8</v>
      </c>
      <c r="L80">
        <v>477</v>
      </c>
      <c r="M80">
        <f>7+209</f>
        <v>216</v>
      </c>
      <c r="N80">
        <v>467</v>
      </c>
      <c r="O80">
        <v>168</v>
      </c>
      <c r="Q80">
        <v>18599</v>
      </c>
      <c r="R80">
        <v>1041</v>
      </c>
      <c r="S80">
        <v>4096</v>
      </c>
      <c r="U80" s="13">
        <f t="shared" si="139"/>
        <v>0.78357768790023596</v>
      </c>
      <c r="V80" s="13">
        <f t="shared" si="140"/>
        <v>4.3857431749241657E-2</v>
      </c>
      <c r="W80" s="13">
        <f t="shared" si="141"/>
        <v>0.17256488035052242</v>
      </c>
      <c r="Y80" s="13">
        <f t="shared" si="142"/>
        <v>0.22157676348547717</v>
      </c>
      <c r="Z80" s="13">
        <f t="shared" si="143"/>
        <v>0.2033195020746888</v>
      </c>
      <c r="AA80" s="13">
        <f t="shared" si="144"/>
        <v>0.57510373443983398</v>
      </c>
      <c r="AC80" s="14">
        <f t="shared" si="158"/>
        <v>3.5363712131827132</v>
      </c>
      <c r="AD80" s="14">
        <f t="shared" si="159"/>
        <v>0.21570696023606611</v>
      </c>
      <c r="AE80" s="14">
        <f t="shared" si="145"/>
        <v>0.30005870248539618</v>
      </c>
      <c r="AG80" s="21">
        <f t="shared" si="146"/>
        <v>678.98327293108093</v>
      </c>
      <c r="AH80" s="21">
        <f t="shared" si="147"/>
        <v>265.22784098870346</v>
      </c>
      <c r="AI80" s="21">
        <f t="shared" si="148"/>
        <v>420.82817436874285</v>
      </c>
      <c r="AJ80" s="21">
        <f t="shared" si="149"/>
        <v>120.23662124821224</v>
      </c>
      <c r="AK80" s="21">
        <f t="shared" si="150"/>
        <v>50.259721735003403</v>
      </c>
      <c r="AL80" s="21">
        <f t="shared" si="151"/>
        <v>2.5884835228327931</v>
      </c>
      <c r="AM80" s="21">
        <f t="shared" si="152"/>
        <v>48.318359092878808</v>
      </c>
      <c r="AN80" s="21">
        <f t="shared" si="153"/>
        <v>1.7256556818885289</v>
      </c>
      <c r="AO80" s="21">
        <f t="shared" si="154"/>
        <v>143.12800108553398</v>
      </c>
      <c r="AP80" s="21">
        <f t="shared" si="155"/>
        <v>64.812679736845581</v>
      </c>
      <c r="AQ80" s="21">
        <f t="shared" si="156"/>
        <v>140.12741406068002</v>
      </c>
      <c r="AR80" s="21">
        <f t="shared" si="157"/>
        <v>50.409862017546558</v>
      </c>
      <c r="AT80">
        <f t="shared" si="165"/>
        <v>0.72395933257395695</v>
      </c>
      <c r="AU80">
        <f t="shared" si="160"/>
        <v>0.276040667426043</v>
      </c>
      <c r="AV80">
        <f t="shared" si="161"/>
        <v>0.1430474182138152</v>
      </c>
      <c r="AW80">
        <f t="shared" si="162"/>
        <v>0.50562153321352832</v>
      </c>
      <c r="AX80">
        <f t="shared" si="163"/>
        <v>0.51821139090724933</v>
      </c>
      <c r="AY80">
        <f t="shared" si="164"/>
        <v>0.69841151355262887</v>
      </c>
    </row>
    <row r="81" spans="1:51" x14ac:dyDescent="0.3">
      <c r="A81" t="s">
        <v>23</v>
      </c>
      <c r="B81" t="s">
        <v>17</v>
      </c>
      <c r="C81">
        <v>2016</v>
      </c>
      <c r="D81">
        <v>312</v>
      </c>
      <c r="E81">
        <f>9+95</f>
        <v>104</v>
      </c>
      <c r="F81">
        <v>261</v>
      </c>
      <c r="G81">
        <v>62</v>
      </c>
      <c r="H81">
        <v>316</v>
      </c>
      <c r="I81">
        <v>23</v>
      </c>
      <c r="J81">
        <v>295</v>
      </c>
      <c r="K81">
        <v>17</v>
      </c>
      <c r="L81">
        <v>201</v>
      </c>
      <c r="M81">
        <v>147</v>
      </c>
      <c r="N81">
        <v>186</v>
      </c>
      <c r="O81">
        <v>130</v>
      </c>
      <c r="Q81">
        <v>21685</v>
      </c>
      <c r="R81">
        <v>1595</v>
      </c>
      <c r="S81">
        <v>5445</v>
      </c>
      <c r="U81" s="13">
        <f t="shared" si="139"/>
        <v>0.75491731940818108</v>
      </c>
      <c r="V81" s="13">
        <f t="shared" si="140"/>
        <v>5.5526544821583985E-2</v>
      </c>
      <c r="W81" s="13">
        <f t="shared" si="141"/>
        <v>0.18955613577023497</v>
      </c>
      <c r="Y81" s="13">
        <f t="shared" si="142"/>
        <v>0.3771532184950136</v>
      </c>
      <c r="Z81" s="13">
        <f t="shared" si="143"/>
        <v>0.30734360834088847</v>
      </c>
      <c r="AA81" s="13">
        <f t="shared" si="144"/>
        <v>0.31550317316409793</v>
      </c>
      <c r="AC81" s="14">
        <f t="shared" si="158"/>
        <v>2.0016197194885188</v>
      </c>
      <c r="AD81" s="14">
        <f t="shared" si="159"/>
        <v>0.1806660145669827</v>
      </c>
      <c r="AE81" s="14">
        <f t="shared" si="145"/>
        <v>0.60080579814531365</v>
      </c>
      <c r="AG81" s="21">
        <f t="shared" si="146"/>
        <v>624.50535248041786</v>
      </c>
      <c r="AH81" s="21">
        <f t="shared" si="147"/>
        <v>208.16845082680595</v>
      </c>
      <c r="AI81" s="21">
        <f t="shared" si="148"/>
        <v>522.42274678650335</v>
      </c>
      <c r="AJ81" s="21">
        <f t="shared" si="149"/>
        <v>124.10042260828817</v>
      </c>
      <c r="AK81" s="21">
        <f t="shared" si="150"/>
        <v>57.090460603166534</v>
      </c>
      <c r="AL81" s="21">
        <f t="shared" si="151"/>
        <v>4.1553183350406018</v>
      </c>
      <c r="AM81" s="21">
        <f t="shared" si="152"/>
        <v>53.296474297259898</v>
      </c>
      <c r="AN81" s="21">
        <f t="shared" si="153"/>
        <v>3.0713222476387059</v>
      </c>
      <c r="AO81" s="21">
        <f t="shared" si="154"/>
        <v>120.76196542720804</v>
      </c>
      <c r="AP81" s="21">
        <f t="shared" si="155"/>
        <v>88.318452327361101</v>
      </c>
      <c r="AQ81" s="21">
        <f t="shared" si="156"/>
        <v>111.74987845502834</v>
      </c>
      <c r="AR81" s="21">
        <f t="shared" si="157"/>
        <v>78.10475375889078</v>
      </c>
      <c r="AT81">
        <f t="shared" si="165"/>
        <v>0.72743225612945817</v>
      </c>
      <c r="AU81">
        <f t="shared" si="160"/>
        <v>0.27256774387054183</v>
      </c>
      <c r="AV81">
        <f t="shared" si="161"/>
        <v>0.18610743301434057</v>
      </c>
      <c r="AW81">
        <f t="shared" si="162"/>
        <v>0.62327207573779841</v>
      </c>
      <c r="AX81">
        <f t="shared" si="163"/>
        <v>0.6827933135871489</v>
      </c>
      <c r="AY81">
        <f t="shared" si="164"/>
        <v>0.85681116074522434</v>
      </c>
    </row>
    <row r="82" spans="1:51" x14ac:dyDescent="0.3">
      <c r="A82" t="s">
        <v>23</v>
      </c>
      <c r="B82" t="s">
        <v>17</v>
      </c>
      <c r="C82">
        <v>2017</v>
      </c>
      <c r="D82">
        <v>223</v>
      </c>
      <c r="E82">
        <v>77</v>
      </c>
      <c r="F82">
        <v>189</v>
      </c>
      <c r="G82">
        <v>44</v>
      </c>
      <c r="H82">
        <v>161</v>
      </c>
      <c r="I82">
        <v>25</v>
      </c>
      <c r="J82">
        <v>157</v>
      </c>
      <c r="K82">
        <v>7</v>
      </c>
      <c r="L82">
        <v>254</v>
      </c>
      <c r="M82">
        <v>95</v>
      </c>
      <c r="N82">
        <v>233</v>
      </c>
      <c r="O82">
        <v>55</v>
      </c>
      <c r="Q82">
        <v>20487</v>
      </c>
      <c r="R82">
        <v>1216</v>
      </c>
      <c r="S82">
        <v>6117</v>
      </c>
      <c r="U82" s="13">
        <f t="shared" si="139"/>
        <v>0.736412652767793</v>
      </c>
      <c r="V82" s="13">
        <f t="shared" si="140"/>
        <v>4.3709561466570811E-2</v>
      </c>
      <c r="W82" s="13">
        <f t="shared" si="141"/>
        <v>0.21987778576563624</v>
      </c>
      <c r="Y82" s="13">
        <f t="shared" si="142"/>
        <v>0.3592814371257485</v>
      </c>
      <c r="Z82" s="13">
        <f t="shared" si="143"/>
        <v>0.22275449101796407</v>
      </c>
      <c r="AA82" s="13">
        <f t="shared" si="144"/>
        <v>0.41796407185628742</v>
      </c>
      <c r="AC82" s="14">
        <f t="shared" si="158"/>
        <v>2.0496818835370236</v>
      </c>
      <c r="AD82" s="14">
        <f t="shared" si="159"/>
        <v>0.19622303131498187</v>
      </c>
      <c r="AE82" s="14">
        <f t="shared" si="145"/>
        <v>0.52606862783468844</v>
      </c>
      <c r="AG82" s="21">
        <f t="shared" si="146"/>
        <v>457.07906002875626</v>
      </c>
      <c r="AH82" s="21">
        <f t="shared" si="147"/>
        <v>157.82550503235083</v>
      </c>
      <c r="AI82" s="21">
        <f t="shared" si="148"/>
        <v>387.38987598849747</v>
      </c>
      <c r="AJ82" s="21">
        <f t="shared" si="149"/>
        <v>90.186002875629043</v>
      </c>
      <c r="AK82" s="21">
        <f t="shared" si="150"/>
        <v>31.591908041712081</v>
      </c>
      <c r="AL82" s="21">
        <f t="shared" si="151"/>
        <v>4.9055757828745463</v>
      </c>
      <c r="AM82" s="21">
        <f t="shared" si="152"/>
        <v>30.807015916452151</v>
      </c>
      <c r="AN82" s="21">
        <f t="shared" si="153"/>
        <v>1.373561219204873</v>
      </c>
      <c r="AO82" s="21">
        <f t="shared" si="154"/>
        <v>133.62143147001086</v>
      </c>
      <c r="AP82" s="21">
        <f t="shared" si="155"/>
        <v>49.976519644295401</v>
      </c>
      <c r="AQ82" s="21">
        <f t="shared" si="156"/>
        <v>122.57399028548241</v>
      </c>
      <c r="AR82" s="21">
        <f t="shared" si="157"/>
        <v>28.933774530907865</v>
      </c>
      <c r="AT82">
        <f t="shared" si="165"/>
        <v>0.74526035873111296</v>
      </c>
      <c r="AU82">
        <f t="shared" si="160"/>
        <v>0.25473964126888715</v>
      </c>
      <c r="AV82">
        <f t="shared" si="161"/>
        <v>0.14430339955178659</v>
      </c>
      <c r="AW82">
        <f t="shared" si="162"/>
        <v>0.6476297990304577</v>
      </c>
      <c r="AX82">
        <f t="shared" si="163"/>
        <v>0.56647406282349666</v>
      </c>
      <c r="AY82">
        <f t="shared" si="164"/>
        <v>0.86899805073909753</v>
      </c>
    </row>
    <row r="83" spans="1:51" x14ac:dyDescent="0.3">
      <c r="A83" t="s">
        <v>23</v>
      </c>
      <c r="B83" t="s">
        <v>17</v>
      </c>
      <c r="C83">
        <v>2018</v>
      </c>
      <c r="D83">
        <v>193</v>
      </c>
      <c r="E83">
        <v>80</v>
      </c>
      <c r="F83">
        <v>168</v>
      </c>
      <c r="G83">
        <v>48</v>
      </c>
      <c r="H83">
        <v>102</v>
      </c>
      <c r="I83">
        <v>5</v>
      </c>
      <c r="J83">
        <v>88</v>
      </c>
      <c r="K83">
        <v>1</v>
      </c>
      <c r="L83">
        <v>344</v>
      </c>
      <c r="M83">
        <v>117</v>
      </c>
      <c r="N83">
        <v>324</v>
      </c>
      <c r="O83">
        <v>81</v>
      </c>
      <c r="Q83">
        <v>20535</v>
      </c>
      <c r="R83">
        <v>4588</v>
      </c>
      <c r="S83">
        <v>1437</v>
      </c>
      <c r="U83" s="13">
        <f t="shared" si="139"/>
        <v>0.77315512048192769</v>
      </c>
      <c r="V83" s="13">
        <f t="shared" si="140"/>
        <v>0.17274096385542168</v>
      </c>
      <c r="W83" s="13">
        <f t="shared" si="141"/>
        <v>5.4103915662650603E-2</v>
      </c>
      <c r="Y83" s="13">
        <f t="shared" si="142"/>
        <v>0.32461355529131986</v>
      </c>
      <c r="Z83" s="13">
        <f t="shared" si="143"/>
        <v>0.12722948870392389</v>
      </c>
      <c r="AA83" s="13">
        <f t="shared" si="144"/>
        <v>0.54815695600475622</v>
      </c>
      <c r="AC83" s="14">
        <f t="shared" si="158"/>
        <v>2.3817709022904805</v>
      </c>
      <c r="AD83" s="14">
        <f t="shared" si="159"/>
        <v>1.3577116878729873</v>
      </c>
      <c r="AE83" s="14">
        <f t="shared" si="145"/>
        <v>9.8701503410605546E-2</v>
      </c>
      <c r="AG83" s="21">
        <f t="shared" si="146"/>
        <v>459.68178414206272</v>
      </c>
      <c r="AH83" s="21">
        <f t="shared" si="147"/>
        <v>190.54167218323843</v>
      </c>
      <c r="AI83" s="21">
        <f t="shared" si="148"/>
        <v>400.13751158480073</v>
      </c>
      <c r="AJ83" s="21">
        <f t="shared" si="149"/>
        <v>114.32500330994307</v>
      </c>
      <c r="AK83" s="21">
        <f t="shared" si="150"/>
        <v>138.48659216304472</v>
      </c>
      <c r="AL83" s="21">
        <f t="shared" si="151"/>
        <v>6.7885584393649365</v>
      </c>
      <c r="AM83" s="21">
        <f t="shared" si="152"/>
        <v>119.47862853282288</v>
      </c>
      <c r="AN83" s="21">
        <f t="shared" si="153"/>
        <v>1.3577116878729873</v>
      </c>
      <c r="AO83" s="21">
        <f t="shared" si="154"/>
        <v>33.953317173248308</v>
      </c>
      <c r="AP83" s="21">
        <f t="shared" si="155"/>
        <v>11.54807589904085</v>
      </c>
      <c r="AQ83" s="21">
        <f t="shared" si="156"/>
        <v>31.979287105036196</v>
      </c>
      <c r="AR83" s="21">
        <f t="shared" si="157"/>
        <v>7.994821776259049</v>
      </c>
      <c r="AT83">
        <f t="shared" si="165"/>
        <v>0.7516310267281282</v>
      </c>
      <c r="AU83">
        <f t="shared" si="160"/>
        <v>0.24836897327187185</v>
      </c>
      <c r="AV83">
        <f t="shared" si="161"/>
        <v>0.14706009128903105</v>
      </c>
      <c r="AW83">
        <f t="shared" si="162"/>
        <v>0.65588041286879883</v>
      </c>
      <c r="AX83">
        <f t="shared" si="163"/>
        <v>0.59210331045679698</v>
      </c>
      <c r="AY83">
        <f t="shared" si="164"/>
        <v>0.87260955115685612</v>
      </c>
    </row>
    <row r="84" spans="1:51" x14ac:dyDescent="0.3">
      <c r="A84" t="s">
        <v>23</v>
      </c>
      <c r="B84" t="s">
        <v>17</v>
      </c>
      <c r="C84">
        <v>2019</v>
      </c>
      <c r="D84">
        <v>294</v>
      </c>
      <c r="E84">
        <v>95</v>
      </c>
      <c r="F84">
        <v>220</v>
      </c>
      <c r="G84">
        <v>51</v>
      </c>
      <c r="H84">
        <v>120</v>
      </c>
      <c r="I84">
        <v>34</v>
      </c>
      <c r="J84">
        <v>115</v>
      </c>
      <c r="K84">
        <v>25</v>
      </c>
      <c r="L84">
        <v>534</v>
      </c>
      <c r="M84">
        <v>180</v>
      </c>
      <c r="N84">
        <v>466</v>
      </c>
      <c r="O84">
        <v>138</v>
      </c>
      <c r="Q84">
        <v>23011</v>
      </c>
      <c r="R84">
        <v>1901</v>
      </c>
      <c r="S84">
        <v>7732</v>
      </c>
      <c r="U84" s="13">
        <f t="shared" ref="U84:U86" si="166">Q84/(Q84+R84+S84)</f>
        <v>0.70490748682759463</v>
      </c>
      <c r="V84" s="13">
        <f t="shared" ref="V84:V86" si="167">R84/(Q84+R84+S84)</f>
        <v>5.8234285014091412E-2</v>
      </c>
      <c r="W84" s="13">
        <f t="shared" ref="W84:W86" si="168">S84/(Q84+R84+S84)</f>
        <v>0.23685822815831392</v>
      </c>
      <c r="Y84" s="13">
        <f t="shared" ref="Y84:Y86" si="169">(D84+E84)/($D84+$E84+$H84+$I84+$L84+$M84)</f>
        <v>0.30946698488464597</v>
      </c>
      <c r="Z84" s="13">
        <f t="shared" ref="Z84:Z86" si="170">(H84+I84)/($D84+$E84+$H84+$I84+$L84+$M84)</f>
        <v>0.12251392203659507</v>
      </c>
      <c r="AA84" s="13">
        <f t="shared" ref="AA84:AA86" si="171">(L84+M84)/($D84+$E84+$H84+$I84+$L84+$M84)</f>
        <v>0.56801909307875897</v>
      </c>
      <c r="AC84" s="14">
        <f t="shared" ref="AC84:AC86" si="172">U84/Y84</f>
        <v>2.2778115962526644</v>
      </c>
      <c r="AD84" s="14">
        <f t="shared" ref="AD84:AD86" si="173">V84/Z84</f>
        <v>0.47532789780982404</v>
      </c>
      <c r="AE84" s="14">
        <f t="shared" ref="AE84:AE86" si="174">W84/AA84</f>
        <v>0.41698990587535095</v>
      </c>
      <c r="AG84" s="21">
        <f t="shared" ref="AG84:AG86" si="175">$AC84*D84</f>
        <v>669.67660929828332</v>
      </c>
      <c r="AH84" s="21">
        <f t="shared" ref="AH84:AH86" si="176">$AC84*E84</f>
        <v>216.39210164400311</v>
      </c>
      <c r="AI84" s="21">
        <f t="shared" ref="AI84:AI86" si="177">$AC84*F84</f>
        <v>501.11855117558616</v>
      </c>
      <c r="AJ84" s="21">
        <f t="shared" ref="AJ84:AJ86" si="178">$AC84*G84</f>
        <v>116.16839140888588</v>
      </c>
      <c r="AK84" s="21">
        <f t="shared" ref="AK84:AK86" si="179">$AD84*H84</f>
        <v>57.039347737178886</v>
      </c>
      <c r="AL84" s="21">
        <f t="shared" ref="AL84:AL86" si="180">$AD84*I84</f>
        <v>16.161148525534017</v>
      </c>
      <c r="AM84" s="21">
        <f t="shared" ref="AM84:AM86" si="181">$AD84*J84</f>
        <v>54.662708248129768</v>
      </c>
      <c r="AN84" s="21">
        <f t="shared" ref="AN84:AN86" si="182">$AD84*K84</f>
        <v>11.883197445245601</v>
      </c>
      <c r="AO84" s="21">
        <f t="shared" ref="AO84:AO86" si="183">$AE84*L84</f>
        <v>222.6726097374374</v>
      </c>
      <c r="AP84" s="21">
        <f t="shared" ref="AP84:AP86" si="184">$AE84*M84</f>
        <v>75.05818305756317</v>
      </c>
      <c r="AQ84" s="21">
        <f t="shared" ref="AQ84:AQ86" si="185">$AE84*N84</f>
        <v>194.31729613791353</v>
      </c>
      <c r="AR84" s="21">
        <f t="shared" ref="AR84:AR86" si="186">$AE84*O84</f>
        <v>57.54460701079843</v>
      </c>
      <c r="AT84">
        <f t="shared" ref="AT84:AT86" si="187">(AG84+AK84+AO84)/($AH84+$AG84+$AK84+$AL84+$AO84+$AP84)</f>
        <v>0.7552812782600633</v>
      </c>
      <c r="AU84">
        <f t="shared" ref="AU84:AU86" si="188">(AH84+AL84+AP84)/($AH84+$AG84+$AK84+$AL84+$AO84+$AP84)</f>
        <v>0.24471872173993658</v>
      </c>
      <c r="AV84">
        <f t="shared" ref="AV84:AV86" si="189">(AJ84+AN84+AR84)/($AH84+$AG84+$AK84+$AL84+$AO84+$AP84)</f>
        <v>0.14765011604210815</v>
      </c>
      <c r="AW84">
        <f t="shared" ref="AW84:AW86" si="190">(AI84+AM84+AQ84)/($AH84+$AG84+$AK84+$AL84+$AO84+$AP84)</f>
        <v>0.59673711659636397</v>
      </c>
      <c r="AX84">
        <f t="shared" ref="AX84:AX86" si="191">(AJ84+AR84+AN84)/(AP84+AH84+AL84)</f>
        <v>0.60334622129571436</v>
      </c>
      <c r="AY84">
        <f t="shared" ref="AY84:AY86" si="192">(AQ84+AM84+AI84)/(AG84+AK84+AO84)</f>
        <v>0.79008593721674591</v>
      </c>
    </row>
    <row r="85" spans="1:51" x14ac:dyDescent="0.3">
      <c r="A85" t="s">
        <v>23</v>
      </c>
      <c r="B85" t="s">
        <v>17</v>
      </c>
      <c r="C85">
        <v>2020</v>
      </c>
      <c r="D85">
        <v>229</v>
      </c>
      <c r="E85">
        <v>83</v>
      </c>
      <c r="F85">
        <v>206</v>
      </c>
      <c r="G85">
        <v>37</v>
      </c>
      <c r="H85">
        <v>80</v>
      </c>
      <c r="I85">
        <v>15</v>
      </c>
      <c r="J85">
        <v>72</v>
      </c>
      <c r="K85">
        <v>9</v>
      </c>
      <c r="L85">
        <v>725</v>
      </c>
      <c r="M85">
        <v>123</v>
      </c>
      <c r="N85">
        <v>657</v>
      </c>
      <c r="O85">
        <v>85</v>
      </c>
      <c r="Q85">
        <v>19806</v>
      </c>
      <c r="R85">
        <v>1632</v>
      </c>
      <c r="S85">
        <v>7495</v>
      </c>
      <c r="U85" s="13">
        <f t="shared" si="166"/>
        <v>0.68454705699374419</v>
      </c>
      <c r="V85" s="13">
        <f t="shared" si="167"/>
        <v>5.6406179794698093E-2</v>
      </c>
      <c r="W85" s="13">
        <f t="shared" si="168"/>
        <v>0.25904676321155773</v>
      </c>
      <c r="Y85" s="13">
        <f t="shared" si="169"/>
        <v>0.24860557768924302</v>
      </c>
      <c r="Z85" s="13">
        <f t="shared" si="170"/>
        <v>7.5697211155378488E-2</v>
      </c>
      <c r="AA85" s="13">
        <f t="shared" si="171"/>
        <v>0.67569721115537851</v>
      </c>
      <c r="AC85" s="14">
        <f t="shared" si="172"/>
        <v>2.7535466555357337</v>
      </c>
      <c r="AD85" s="14">
        <f t="shared" si="173"/>
        <v>0.74515532255101158</v>
      </c>
      <c r="AE85" s="14">
        <f t="shared" si="174"/>
        <v>0.38337699036616146</v>
      </c>
      <c r="AG85" s="21">
        <f t="shared" si="175"/>
        <v>630.56218411768305</v>
      </c>
      <c r="AH85" s="21">
        <f t="shared" si="176"/>
        <v>228.54437240946589</v>
      </c>
      <c r="AI85" s="21">
        <f t="shared" si="177"/>
        <v>567.23061104036117</v>
      </c>
      <c r="AJ85" s="21">
        <f t="shared" si="178"/>
        <v>101.88122625482215</v>
      </c>
      <c r="AK85" s="21">
        <f t="shared" si="179"/>
        <v>59.612425804080928</v>
      </c>
      <c r="AL85" s="21">
        <f t="shared" si="180"/>
        <v>11.177329838265173</v>
      </c>
      <c r="AM85" s="21">
        <f t="shared" si="181"/>
        <v>53.651183223672831</v>
      </c>
      <c r="AN85" s="21">
        <f t="shared" si="182"/>
        <v>6.7063979029591039</v>
      </c>
      <c r="AO85" s="21">
        <f t="shared" si="183"/>
        <v>277.94831801546707</v>
      </c>
      <c r="AP85" s="21">
        <f t="shared" si="184"/>
        <v>47.155369815037858</v>
      </c>
      <c r="AQ85" s="21">
        <f t="shared" si="185"/>
        <v>251.87868267056808</v>
      </c>
      <c r="AR85" s="21">
        <f t="shared" si="186"/>
        <v>32.587044181123723</v>
      </c>
      <c r="AT85">
        <f t="shared" si="187"/>
        <v>0.77141269158345105</v>
      </c>
      <c r="AU85">
        <f t="shared" si="188"/>
        <v>0.22858730841654892</v>
      </c>
      <c r="AV85">
        <f t="shared" si="189"/>
        <v>0.11248977556884859</v>
      </c>
      <c r="AW85">
        <f t="shared" si="190"/>
        <v>0.69542667484828846</v>
      </c>
      <c r="AX85">
        <f t="shared" si="191"/>
        <v>0.49210857920362433</v>
      </c>
      <c r="AY85">
        <f t="shared" si="192"/>
        <v>0.90149758026512539</v>
      </c>
    </row>
    <row r="86" spans="1:51" x14ac:dyDescent="0.3">
      <c r="A86" t="s">
        <v>23</v>
      </c>
      <c r="B86" t="s">
        <v>17</v>
      </c>
      <c r="C86">
        <v>2021</v>
      </c>
      <c r="D86">
        <v>197</v>
      </c>
      <c r="E86">
        <v>32</v>
      </c>
      <c r="F86">
        <v>163</v>
      </c>
      <c r="G86">
        <v>19</v>
      </c>
      <c r="H86">
        <v>72</v>
      </c>
      <c r="I86">
        <v>9</v>
      </c>
      <c r="J86">
        <v>65</v>
      </c>
      <c r="K86">
        <v>2</v>
      </c>
      <c r="L86">
        <v>508</v>
      </c>
      <c r="M86">
        <v>82</v>
      </c>
      <c r="N86">
        <v>450</v>
      </c>
      <c r="O86">
        <v>63</v>
      </c>
      <c r="Q86">
        <v>27130</v>
      </c>
      <c r="R86">
        <v>1736</v>
      </c>
      <c r="S86">
        <v>9091</v>
      </c>
      <c r="U86" s="13">
        <f t="shared" si="166"/>
        <v>0.71475617145717518</v>
      </c>
      <c r="V86" s="13">
        <f t="shared" si="167"/>
        <v>4.5735964380746633E-2</v>
      </c>
      <c r="W86" s="13">
        <f t="shared" si="168"/>
        <v>0.23950786416207814</v>
      </c>
      <c r="Y86" s="13">
        <f t="shared" si="169"/>
        <v>0.25444444444444442</v>
      </c>
      <c r="Z86" s="13">
        <f t="shared" si="170"/>
        <v>0.09</v>
      </c>
      <c r="AA86" s="13">
        <f t="shared" si="171"/>
        <v>0.65555555555555556</v>
      </c>
      <c r="AC86" s="14">
        <f t="shared" si="172"/>
        <v>2.8090853900063655</v>
      </c>
      <c r="AD86" s="14">
        <f t="shared" si="173"/>
        <v>0.50817738200829599</v>
      </c>
      <c r="AE86" s="14">
        <f t="shared" si="174"/>
        <v>0.3653509792302887</v>
      </c>
      <c r="AG86" s="21">
        <f t="shared" si="175"/>
        <v>553.38982183125404</v>
      </c>
      <c r="AH86" s="21">
        <f t="shared" si="176"/>
        <v>89.890732480203695</v>
      </c>
      <c r="AI86" s="21">
        <f t="shared" si="177"/>
        <v>457.88091857103757</v>
      </c>
      <c r="AJ86" s="21">
        <f t="shared" si="178"/>
        <v>53.372622410120947</v>
      </c>
      <c r="AK86" s="21">
        <f t="shared" si="179"/>
        <v>36.588771504597311</v>
      </c>
      <c r="AL86" s="21">
        <f t="shared" si="180"/>
        <v>4.5735964380746639</v>
      </c>
      <c r="AM86" s="21">
        <f t="shared" si="181"/>
        <v>33.031529830539242</v>
      </c>
      <c r="AN86" s="21">
        <f t="shared" si="182"/>
        <v>1.016354764016592</v>
      </c>
      <c r="AO86" s="21">
        <f t="shared" si="183"/>
        <v>185.59829744898667</v>
      </c>
      <c r="AP86" s="21">
        <f t="shared" si="184"/>
        <v>29.958780296883674</v>
      </c>
      <c r="AQ86" s="21">
        <f t="shared" si="185"/>
        <v>164.40794065362991</v>
      </c>
      <c r="AR86" s="21">
        <f t="shared" si="186"/>
        <v>23.017111691508187</v>
      </c>
      <c r="AT86">
        <f t="shared" si="187"/>
        <v>0.86175210087204213</v>
      </c>
      <c r="AU86">
        <f t="shared" si="188"/>
        <v>0.13824789912795779</v>
      </c>
      <c r="AV86">
        <f t="shared" si="189"/>
        <v>8.6006765406273014E-2</v>
      </c>
      <c r="AW86">
        <f t="shared" si="190"/>
        <v>0.72813376561689636</v>
      </c>
      <c r="AX86">
        <f t="shared" si="191"/>
        <v>0.62211987269815894</v>
      </c>
      <c r="AY86">
        <f t="shared" si="192"/>
        <v>0.84494573889645064</v>
      </c>
    </row>
    <row r="87" spans="1:51" x14ac:dyDescent="0.3">
      <c r="A87" t="s">
        <v>23</v>
      </c>
      <c r="B87" t="s">
        <v>17</v>
      </c>
      <c r="C87">
        <v>2022</v>
      </c>
      <c r="D87">
        <f>199+18</f>
        <v>217</v>
      </c>
      <c r="E87">
        <f>1+22+1+1+41</f>
        <v>66</v>
      </c>
      <c r="F87">
        <v>199</v>
      </c>
      <c r="G87">
        <v>41</v>
      </c>
      <c r="H87">
        <f>29+26+1</f>
        <v>56</v>
      </c>
      <c r="I87">
        <f>2+1+3+1</f>
        <v>7</v>
      </c>
      <c r="J87">
        <v>29</v>
      </c>
      <c r="K87">
        <v>1</v>
      </c>
      <c r="L87">
        <f>291+23+6+16</f>
        <v>336</v>
      </c>
      <c r="M87">
        <f>10+5+39+2+4+92</f>
        <v>152</v>
      </c>
      <c r="N87">
        <v>291</v>
      </c>
      <c r="O87">
        <v>92</v>
      </c>
      <c r="Q87" s="34">
        <v>25182</v>
      </c>
      <c r="R87" s="34">
        <v>1777</v>
      </c>
      <c r="S87" s="34">
        <v>9006</v>
      </c>
      <c r="U87" s="13">
        <f t="shared" ref="U87" si="193">Q87/(Q87+R87+S87)</f>
        <v>0.70018073126650915</v>
      </c>
      <c r="V87" s="13">
        <f t="shared" ref="V87" si="194">R87/(Q87+R87+S87)</f>
        <v>4.9409147782566387E-2</v>
      </c>
      <c r="W87" s="13">
        <f t="shared" ref="W87" si="195">S87/(Q87+R87+S87)</f>
        <v>0.25041012095092452</v>
      </c>
      <c r="Y87" s="13">
        <f t="shared" ref="Y87" si="196">(D87+E87)/($D87+$E87+$H87+$I87+$L87+$M87)</f>
        <v>0.33932853717026379</v>
      </c>
      <c r="Z87" s="13">
        <f t="shared" ref="Z87" si="197">(H87+I87)/($D87+$E87+$H87+$I87+$L87+$M87)</f>
        <v>7.5539568345323743E-2</v>
      </c>
      <c r="AA87" s="13">
        <f t="shared" ref="AA87" si="198">(L87+M87)/($D87+$E87+$H87+$I87+$L87+$M87)</f>
        <v>0.5851318944844125</v>
      </c>
      <c r="AC87" s="14">
        <f t="shared" ref="AC87" si="199">U87/Y87</f>
        <v>2.0634301409055427</v>
      </c>
      <c r="AD87" s="14">
        <f t="shared" ref="AD87" si="200">V87/Z87</f>
        <v>0.65408300397873598</v>
      </c>
      <c r="AE87" s="14">
        <f t="shared" ref="AE87" si="201">W87/AA87</f>
        <v>0.42795500178908003</v>
      </c>
      <c r="AG87" s="21">
        <f t="shared" ref="AG87" si="202">$AC87*D87</f>
        <v>447.76434057650278</v>
      </c>
      <c r="AH87" s="21">
        <f t="shared" ref="AH87" si="203">$AC87*E87</f>
        <v>136.18638929976581</v>
      </c>
      <c r="AI87" s="21">
        <f t="shared" ref="AI87" si="204">$AC87*F87</f>
        <v>410.622598040203</v>
      </c>
      <c r="AJ87" s="21">
        <f t="shared" ref="AJ87" si="205">$AC87*G87</f>
        <v>84.600635777127252</v>
      </c>
      <c r="AK87" s="21">
        <f t="shared" ref="AK87" si="206">$AD87*H87</f>
        <v>36.628648222809218</v>
      </c>
      <c r="AL87" s="21">
        <f t="shared" ref="AL87" si="207">$AD87*I87</f>
        <v>4.5785810278511523</v>
      </c>
      <c r="AM87" s="21">
        <f t="shared" ref="AM87" si="208">$AD87*J87</f>
        <v>18.968407115383343</v>
      </c>
      <c r="AN87" s="21">
        <f t="shared" ref="AN87" si="209">$AD87*K87</f>
        <v>0.65408300397873598</v>
      </c>
      <c r="AO87" s="21">
        <f t="shared" ref="AO87" si="210">$AE87*L87</f>
        <v>143.79288060113089</v>
      </c>
      <c r="AP87" s="21">
        <f t="shared" ref="AP87" si="211">$AE87*M87</f>
        <v>65.049160271940167</v>
      </c>
      <c r="AQ87" s="21">
        <f t="shared" ref="AQ87" si="212">$AE87*N87</f>
        <v>124.53490552062229</v>
      </c>
      <c r="AR87" s="21">
        <f t="shared" ref="AR87" si="213">$AE87*O87</f>
        <v>39.371860164595361</v>
      </c>
      <c r="AT87">
        <f t="shared" ref="AT87" si="214">(AG87+AK87+AO87)/($AH87+$AG87+$AK87+$AL87+$AO87+$AP87)</f>
        <v>0.75322046690700584</v>
      </c>
      <c r="AU87">
        <f t="shared" ref="AU87" si="215">(AH87+AL87+AP87)/($AH87+$AG87+$AK87+$AL87+$AO87+$AP87)</f>
        <v>0.24677953309299414</v>
      </c>
      <c r="AV87">
        <f t="shared" ref="AV87" si="216">(AJ87+AN87+AR87)/($AH87+$AG87+$AK87+$AL87+$AO87+$AP87)</f>
        <v>0.14943234885575699</v>
      </c>
      <c r="AW87">
        <f t="shared" ref="AW87" si="217">(AI87+AM87+AQ87)/($AH87+$AG87+$AK87+$AL87+$AO87+$AP87)</f>
        <v>0.66441955716571766</v>
      </c>
      <c r="AX87">
        <f t="shared" ref="AX87" si="218">(AJ87+AR87+AN87)/(AP87+AH87+AL87)</f>
        <v>0.60552974950092919</v>
      </c>
      <c r="AY87">
        <f t="shared" ref="AY87" si="219">(AQ87+AM87+AI87)/(AG87+AK87+AO87)</f>
        <v>0.88210502284153725</v>
      </c>
    </row>
  </sheetData>
  <mergeCells count="43">
    <mergeCell ref="AG61:AJ61"/>
    <mergeCell ref="AK61:AN61"/>
    <mergeCell ref="AO61:AR61"/>
    <mergeCell ref="AT61:AW61"/>
    <mergeCell ref="AG60:AR60"/>
    <mergeCell ref="D1:K1"/>
    <mergeCell ref="AC2:AD2"/>
    <mergeCell ref="D61:G61"/>
    <mergeCell ref="H61:K61"/>
    <mergeCell ref="L61:O61"/>
    <mergeCell ref="D32:G32"/>
    <mergeCell ref="H32:K32"/>
    <mergeCell ref="AC31:AD31"/>
    <mergeCell ref="D2:K2"/>
    <mergeCell ref="D3:G3"/>
    <mergeCell ref="H3:K3"/>
    <mergeCell ref="L32:O32"/>
    <mergeCell ref="D31:O31"/>
    <mergeCell ref="Q61:Q62"/>
    <mergeCell ref="R61:R62"/>
    <mergeCell ref="S61:S62"/>
    <mergeCell ref="Q60:S60"/>
    <mergeCell ref="D60:O60"/>
    <mergeCell ref="AT31:AY31"/>
    <mergeCell ref="AT60:AY60"/>
    <mergeCell ref="Q3:Q4"/>
    <mergeCell ref="R3:R4"/>
    <mergeCell ref="AT3:AW3"/>
    <mergeCell ref="AX3:BA3"/>
    <mergeCell ref="AO32:AR32"/>
    <mergeCell ref="AG31:AR31"/>
    <mergeCell ref="AT32:AW32"/>
    <mergeCell ref="AC60:AD60"/>
    <mergeCell ref="AT2:AY2"/>
    <mergeCell ref="AG32:AJ32"/>
    <mergeCell ref="AK32:AN32"/>
    <mergeCell ref="Q1:R2"/>
    <mergeCell ref="Q32:Q33"/>
    <mergeCell ref="R32:R33"/>
    <mergeCell ref="S32:S33"/>
    <mergeCell ref="AG2:AN2"/>
    <mergeCell ref="AG3:AJ3"/>
    <mergeCell ref="AK3:AN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8A1A-6EF7-4622-88DE-DA8C081FC642}">
  <dimension ref="A1:AW115"/>
  <sheetViews>
    <sheetView topLeftCell="U79" zoomScale="90" zoomScaleNormal="90" workbookViewId="0">
      <selection activeCell="Z115" sqref="Z115"/>
    </sheetView>
  </sheetViews>
  <sheetFormatPr defaultRowHeight="14.4" x14ac:dyDescent="0.3"/>
  <cols>
    <col min="20" max="20" width="10" customWidth="1"/>
    <col min="30" max="30" width="9.5546875" bestFit="1" customWidth="1"/>
    <col min="31" max="31" width="9.21875" bestFit="1" customWidth="1"/>
    <col min="32" max="32" width="9.5546875" bestFit="1" customWidth="1"/>
    <col min="33" max="35" width="9.21875" bestFit="1" customWidth="1"/>
    <col min="36" max="36" width="12.5546875" customWidth="1"/>
    <col min="37" max="38" width="9.21875" bestFit="1" customWidth="1"/>
    <col min="39" max="39" width="8.21875" customWidth="1"/>
    <col min="40" max="41" width="9.21875" bestFit="1" customWidth="1"/>
    <col min="50" max="50" width="8.77734375" customWidth="1"/>
  </cols>
  <sheetData>
    <row r="1" spans="1:12" x14ac:dyDescent="0.3">
      <c r="B1" s="27" t="s">
        <v>74</v>
      </c>
      <c r="C1" s="27"/>
      <c r="D1" s="27"/>
      <c r="E1" s="27"/>
      <c r="F1" s="33" t="s">
        <v>108</v>
      </c>
    </row>
    <row r="2" spans="1:12" x14ac:dyDescent="0.3">
      <c r="B2" s="27" t="s">
        <v>106</v>
      </c>
      <c r="C2" s="27"/>
      <c r="D2" s="27"/>
      <c r="E2" s="27"/>
    </row>
    <row r="3" spans="1:12" x14ac:dyDescent="0.3">
      <c r="A3" t="s">
        <v>71</v>
      </c>
      <c r="B3" t="s">
        <v>66</v>
      </c>
      <c r="C3" t="s">
        <v>67</v>
      </c>
      <c r="D3" t="s">
        <v>73</v>
      </c>
      <c r="E3" t="s">
        <v>72</v>
      </c>
      <c r="G3" t="s">
        <v>66</v>
      </c>
      <c r="H3" t="s">
        <v>67</v>
      </c>
      <c r="I3" t="s">
        <v>73</v>
      </c>
      <c r="J3" t="s">
        <v>72</v>
      </c>
    </row>
    <row r="4" spans="1:12" x14ac:dyDescent="0.3">
      <c r="A4" s="6">
        <v>1998</v>
      </c>
      <c r="B4" s="8">
        <v>14289</v>
      </c>
      <c r="C4" s="7">
        <v>4760</v>
      </c>
      <c r="D4" s="7">
        <v>4091</v>
      </c>
      <c r="E4" s="8">
        <v>2074</v>
      </c>
      <c r="F4" s="7"/>
      <c r="L4" s="7"/>
    </row>
    <row r="5" spans="1:12" x14ac:dyDescent="0.3">
      <c r="A5" s="6">
        <v>1999</v>
      </c>
      <c r="B5" s="8">
        <v>15819</v>
      </c>
      <c r="C5" s="7">
        <v>3533</v>
      </c>
      <c r="D5" s="7">
        <v>3983</v>
      </c>
      <c r="E5" s="8">
        <v>3680</v>
      </c>
      <c r="F5" s="7"/>
      <c r="L5" s="7"/>
    </row>
    <row r="6" spans="1:12" x14ac:dyDescent="0.3">
      <c r="A6" s="6">
        <v>2000</v>
      </c>
      <c r="B6" s="8">
        <v>20617</v>
      </c>
      <c r="C6" s="7">
        <v>5550</v>
      </c>
      <c r="D6" s="7">
        <v>4658</v>
      </c>
      <c r="E6" s="8">
        <v>2958</v>
      </c>
      <c r="F6" s="7"/>
      <c r="L6" s="7"/>
    </row>
    <row r="7" spans="1:12" x14ac:dyDescent="0.3">
      <c r="A7" s="6">
        <v>2001</v>
      </c>
      <c r="B7" s="8">
        <v>16494</v>
      </c>
      <c r="C7" s="7">
        <v>4761</v>
      </c>
      <c r="D7" s="7">
        <v>4037</v>
      </c>
      <c r="E7" s="8">
        <v>1625</v>
      </c>
      <c r="F7" s="7"/>
      <c r="L7" s="7"/>
    </row>
    <row r="8" spans="1:12" x14ac:dyDescent="0.3">
      <c r="A8" s="6">
        <v>2002</v>
      </c>
      <c r="B8" s="8">
        <v>20671</v>
      </c>
      <c r="C8" s="7">
        <v>6318</v>
      </c>
      <c r="D8" s="7">
        <v>4133</v>
      </c>
      <c r="E8" s="8">
        <v>3217</v>
      </c>
      <c r="F8" s="7"/>
      <c r="L8" s="7"/>
    </row>
    <row r="9" spans="1:12" x14ac:dyDescent="0.3">
      <c r="A9" s="6">
        <v>2003</v>
      </c>
      <c r="B9" s="8">
        <v>16387</v>
      </c>
      <c r="C9" s="8">
        <v>6112</v>
      </c>
      <c r="D9" s="8">
        <v>4666</v>
      </c>
      <c r="E9" s="8">
        <v>2987</v>
      </c>
      <c r="F9" s="10"/>
      <c r="L9" s="10"/>
    </row>
    <row r="10" spans="1:12" x14ac:dyDescent="0.3">
      <c r="A10" s="6">
        <v>2004</v>
      </c>
      <c r="B10" s="8">
        <v>26423</v>
      </c>
      <c r="C10" s="8">
        <v>10090</v>
      </c>
      <c r="D10" s="8">
        <v>6731</v>
      </c>
      <c r="E10" s="8">
        <v>3127</v>
      </c>
      <c r="F10" s="10"/>
      <c r="L10" s="10"/>
    </row>
    <row r="11" spans="1:12" x14ac:dyDescent="0.3">
      <c r="A11" s="6">
        <v>2005</v>
      </c>
      <c r="B11" s="8">
        <v>21592</v>
      </c>
      <c r="C11" s="8">
        <v>9278</v>
      </c>
      <c r="D11" s="8">
        <v>6895</v>
      </c>
      <c r="E11" s="8">
        <v>5854</v>
      </c>
      <c r="F11" s="10"/>
      <c r="L11" s="10"/>
    </row>
    <row r="12" spans="1:12" x14ac:dyDescent="0.3">
      <c r="A12" s="6">
        <v>2006</v>
      </c>
      <c r="B12" s="9">
        <v>22008</v>
      </c>
      <c r="C12" s="9">
        <v>10691</v>
      </c>
      <c r="D12" s="9">
        <v>6227</v>
      </c>
      <c r="E12" s="9">
        <v>4031</v>
      </c>
      <c r="F12" s="11"/>
      <c r="L12" s="11"/>
    </row>
    <row r="13" spans="1:12" x14ac:dyDescent="0.3">
      <c r="A13" s="6">
        <v>2007</v>
      </c>
      <c r="B13" s="9">
        <v>24062</v>
      </c>
      <c r="C13" s="9">
        <v>11453</v>
      </c>
      <c r="D13" s="9">
        <v>9339</v>
      </c>
      <c r="E13" s="9">
        <v>5737</v>
      </c>
      <c r="F13" s="11"/>
      <c r="L13" s="11"/>
    </row>
    <row r="14" spans="1:12" x14ac:dyDescent="0.3">
      <c r="A14" s="6">
        <v>2008</v>
      </c>
      <c r="B14" s="9">
        <v>25418</v>
      </c>
      <c r="C14" s="9">
        <v>14151</v>
      </c>
      <c r="D14" s="9">
        <v>5785</v>
      </c>
      <c r="E14" s="9">
        <v>3807</v>
      </c>
      <c r="F14" s="11"/>
      <c r="L14" s="11"/>
    </row>
    <row r="15" spans="1:12" x14ac:dyDescent="0.3">
      <c r="A15" s="6">
        <v>2009</v>
      </c>
      <c r="B15" s="9">
        <v>27339</v>
      </c>
      <c r="C15" s="9">
        <v>16637</v>
      </c>
      <c r="D15" s="9">
        <v>8405</v>
      </c>
      <c r="E15" s="9">
        <v>7065</v>
      </c>
      <c r="F15" s="11"/>
      <c r="L15" s="11"/>
    </row>
    <row r="16" spans="1:12" x14ac:dyDescent="0.3">
      <c r="A16" s="6">
        <v>2010</v>
      </c>
      <c r="B16" s="9">
        <v>23129</v>
      </c>
      <c r="C16" s="9">
        <v>11552</v>
      </c>
      <c r="D16" s="9">
        <v>8138</v>
      </c>
      <c r="E16" s="9">
        <v>6438</v>
      </c>
      <c r="F16" s="11"/>
      <c r="L16" s="11"/>
    </row>
    <row r="17" spans="1:49" x14ac:dyDescent="0.3">
      <c r="A17" s="6">
        <v>2011</v>
      </c>
      <c r="B17" s="9">
        <v>18511</v>
      </c>
      <c r="C17" s="9">
        <v>11937</v>
      </c>
      <c r="D17" s="9">
        <v>7277</v>
      </c>
      <c r="E17" s="9">
        <v>4996</v>
      </c>
      <c r="F17" s="11"/>
      <c r="L17" s="11"/>
    </row>
    <row r="18" spans="1:49" x14ac:dyDescent="0.3">
      <c r="A18" s="6">
        <v>2012</v>
      </c>
      <c r="B18" s="9">
        <v>11505</v>
      </c>
      <c r="C18" s="9">
        <v>9478</v>
      </c>
      <c r="D18" s="9">
        <v>5565</v>
      </c>
      <c r="E18" s="9">
        <v>5588</v>
      </c>
      <c r="F18" s="11"/>
      <c r="L18" s="11"/>
    </row>
    <row r="19" spans="1:49" x14ac:dyDescent="0.3">
      <c r="A19" s="6">
        <v>2013</v>
      </c>
      <c r="B19" s="9">
        <v>18932</v>
      </c>
      <c r="C19" s="9">
        <v>13331</v>
      </c>
      <c r="D19" s="9">
        <v>5850</v>
      </c>
      <c r="E19" s="9">
        <v>4581</v>
      </c>
      <c r="F19" s="11"/>
      <c r="L19" s="11"/>
    </row>
    <row r="20" spans="1:49" x14ac:dyDescent="0.3">
      <c r="A20" s="6">
        <v>2014</v>
      </c>
      <c r="B20" s="9">
        <v>21949</v>
      </c>
      <c r="C20" s="9">
        <v>13582</v>
      </c>
      <c r="D20" s="9">
        <v>8787</v>
      </c>
      <c r="E20" s="9">
        <v>5937</v>
      </c>
      <c r="F20" s="11"/>
      <c r="L20" s="11"/>
    </row>
    <row r="21" spans="1:49" x14ac:dyDescent="0.3">
      <c r="A21" s="6">
        <v>2015</v>
      </c>
      <c r="B21" s="9">
        <v>18207</v>
      </c>
      <c r="C21" s="9">
        <v>11818</v>
      </c>
      <c r="D21" s="9">
        <v>10813</v>
      </c>
      <c r="E21" s="9">
        <v>7841</v>
      </c>
      <c r="F21" s="11"/>
      <c r="L21" s="11"/>
    </row>
    <row r="22" spans="1:49" x14ac:dyDescent="0.3">
      <c r="A22" s="6">
        <v>2016</v>
      </c>
      <c r="B22" s="9">
        <v>20425</v>
      </c>
      <c r="C22" s="9">
        <v>13843</v>
      </c>
      <c r="D22" s="9">
        <v>9143</v>
      </c>
      <c r="E22" s="9">
        <v>7726</v>
      </c>
      <c r="F22" s="11"/>
      <c r="L22" s="11"/>
    </row>
    <row r="23" spans="1:49" x14ac:dyDescent="0.3">
      <c r="A23" s="6">
        <v>2017</v>
      </c>
      <c r="B23" s="9">
        <v>15102</v>
      </c>
      <c r="C23" s="9">
        <v>8422</v>
      </c>
      <c r="D23" s="9">
        <v>8035</v>
      </c>
      <c r="E23" s="9">
        <v>6265</v>
      </c>
      <c r="F23" s="11"/>
      <c r="L23" s="11"/>
    </row>
    <row r="24" spans="1:49" x14ac:dyDescent="0.3">
      <c r="A24" s="6">
        <v>2018</v>
      </c>
      <c r="B24" s="9">
        <v>11958</v>
      </c>
      <c r="C24" s="9">
        <v>9929</v>
      </c>
      <c r="D24" s="9">
        <v>7471</v>
      </c>
      <c r="E24" s="9">
        <v>12963</v>
      </c>
      <c r="F24" s="11"/>
      <c r="L24" s="11"/>
      <c r="N24" s="9"/>
      <c r="O24" s="9"/>
      <c r="P24" s="9"/>
    </row>
    <row r="25" spans="1:49" x14ac:dyDescent="0.3">
      <c r="A25" s="6">
        <v>2019</v>
      </c>
      <c r="B25" s="9">
        <v>19319</v>
      </c>
      <c r="C25" s="9">
        <v>16166</v>
      </c>
      <c r="D25" s="9">
        <v>11348</v>
      </c>
      <c r="E25" s="9">
        <v>13358</v>
      </c>
    </row>
    <row r="26" spans="1:49" x14ac:dyDescent="0.3">
      <c r="A26" s="6">
        <v>2020</v>
      </c>
      <c r="B26" s="9">
        <v>10554</v>
      </c>
      <c r="C26" s="9">
        <v>9492</v>
      </c>
      <c r="D26" s="9">
        <v>8344</v>
      </c>
      <c r="E26" s="9">
        <v>8114</v>
      </c>
    </row>
    <row r="27" spans="1:49" x14ac:dyDescent="0.3">
      <c r="A27" s="6">
        <v>2021</v>
      </c>
      <c r="B27" s="9">
        <v>17227</v>
      </c>
      <c r="C27" s="9">
        <v>13065</v>
      </c>
      <c r="D27" s="9">
        <v>7258</v>
      </c>
      <c r="E27" s="9">
        <v>8705</v>
      </c>
      <c r="G27" s="33">
        <f>15572+14868+15359+14624+1865</f>
        <v>62288</v>
      </c>
      <c r="I27" s="33">
        <f>3849+4123+2838+901+1163</f>
        <v>12874</v>
      </c>
      <c r="J27" s="33" t="s">
        <v>109</v>
      </c>
    </row>
    <row r="28" spans="1:49" x14ac:dyDescent="0.3">
      <c r="A28" s="6">
        <v>2022</v>
      </c>
      <c r="B28" s="35">
        <v>16588</v>
      </c>
      <c r="C28" s="36">
        <v>9954</v>
      </c>
      <c r="D28" s="36">
        <v>6667</v>
      </c>
      <c r="E28" s="36">
        <v>11140</v>
      </c>
    </row>
    <row r="30" spans="1:49" x14ac:dyDescent="0.3">
      <c r="C30" s="31" t="s">
        <v>107</v>
      </c>
      <c r="D30" s="31"/>
      <c r="E30" s="31"/>
      <c r="F30" s="31"/>
      <c r="G30" s="31"/>
      <c r="H30" s="31"/>
      <c r="I30" s="31"/>
      <c r="J30" s="31"/>
      <c r="K30" s="20"/>
      <c r="L30" s="20"/>
      <c r="M30" s="20"/>
      <c r="N30" s="20"/>
      <c r="O30" s="20"/>
      <c r="P30" s="20"/>
      <c r="Q30" t="s">
        <v>76</v>
      </c>
      <c r="U30" t="s">
        <v>77</v>
      </c>
      <c r="Y30" s="29" t="s">
        <v>79</v>
      </c>
      <c r="Z30" s="29"/>
      <c r="AA30" s="19"/>
      <c r="AC30" s="27" t="s">
        <v>105</v>
      </c>
      <c r="AD30" s="27"/>
      <c r="AE30" s="27"/>
      <c r="AF30" s="27"/>
      <c r="AG30" s="27"/>
      <c r="AH30" s="27"/>
      <c r="AI30" s="27"/>
      <c r="AJ30" s="27"/>
      <c r="AK30" s="18"/>
      <c r="AL30" s="18"/>
      <c r="AM30" s="18"/>
      <c r="AN30" s="18"/>
      <c r="AO30" s="18"/>
      <c r="AP30" s="27" t="s">
        <v>84</v>
      </c>
      <c r="AQ30" s="27"/>
      <c r="AR30" s="27"/>
      <c r="AS30" s="27"/>
      <c r="AT30" s="27"/>
      <c r="AU30" s="27"/>
    </row>
    <row r="31" spans="1:49" x14ac:dyDescent="0.3">
      <c r="C31" s="27" t="s">
        <v>66</v>
      </c>
      <c r="D31" s="27"/>
      <c r="E31" s="27"/>
      <c r="F31" s="27"/>
      <c r="G31" s="27" t="s">
        <v>27</v>
      </c>
      <c r="H31" s="27"/>
      <c r="I31" s="27"/>
      <c r="J31" s="27"/>
      <c r="K31" s="18"/>
      <c r="L31" s="18"/>
      <c r="M31" s="18"/>
      <c r="N31" s="18"/>
      <c r="O31" s="18"/>
      <c r="P31" s="18"/>
      <c r="Q31" t="s">
        <v>24</v>
      </c>
      <c r="R31" t="s">
        <v>27</v>
      </c>
      <c r="U31" t="s">
        <v>24</v>
      </c>
      <c r="V31" t="s">
        <v>27</v>
      </c>
      <c r="Y31" t="s">
        <v>24</v>
      </c>
      <c r="Z31" t="s">
        <v>27</v>
      </c>
      <c r="AC31" s="27" t="s">
        <v>24</v>
      </c>
      <c r="AD31" s="27"/>
      <c r="AE31" s="27"/>
      <c r="AF31" s="27"/>
      <c r="AG31" s="27" t="s">
        <v>27</v>
      </c>
      <c r="AH31" s="27"/>
      <c r="AI31" s="27"/>
      <c r="AJ31" s="28"/>
      <c r="AK31" s="18"/>
      <c r="AL31" s="18"/>
      <c r="AM31" s="18"/>
      <c r="AN31" s="18"/>
      <c r="AO31" s="18"/>
      <c r="AP31" s="27"/>
      <c r="AQ31" s="27"/>
      <c r="AR31" s="27"/>
      <c r="AS31" s="27"/>
      <c r="AT31" s="27"/>
      <c r="AU31" s="27"/>
      <c r="AV31" s="27"/>
      <c r="AW31" s="28"/>
    </row>
    <row r="32" spans="1:49" x14ac:dyDescent="0.3">
      <c r="A32" s="2" t="s">
        <v>26</v>
      </c>
      <c r="B32" s="2" t="s">
        <v>0</v>
      </c>
      <c r="C32" s="2" t="s">
        <v>62</v>
      </c>
      <c r="D32" s="2" t="s">
        <v>63</v>
      </c>
      <c r="E32" s="2" t="s">
        <v>64</v>
      </c>
      <c r="F32" s="2" t="s">
        <v>65</v>
      </c>
      <c r="G32" s="2" t="s">
        <v>62</v>
      </c>
      <c r="H32" s="2" t="s">
        <v>63</v>
      </c>
      <c r="I32" s="2" t="s">
        <v>64</v>
      </c>
      <c r="J32" s="2" t="s">
        <v>65</v>
      </c>
      <c r="K32" s="2"/>
      <c r="L32" s="2"/>
      <c r="M32" s="2"/>
      <c r="N32" s="2"/>
      <c r="O32" s="2"/>
      <c r="P32" s="2"/>
      <c r="Q32" s="13"/>
      <c r="R32" s="13"/>
      <c r="S32" s="13"/>
      <c r="T32" s="13"/>
      <c r="U32" s="13"/>
      <c r="V32" s="13"/>
      <c r="W32" s="13"/>
      <c r="AC32" s="2" t="s">
        <v>62</v>
      </c>
      <c r="AD32" s="2" t="s">
        <v>63</v>
      </c>
      <c r="AE32" s="2" t="s">
        <v>64</v>
      </c>
      <c r="AF32" s="2" t="s">
        <v>65</v>
      </c>
      <c r="AG32" s="2" t="s">
        <v>62</v>
      </c>
      <c r="AH32" s="2" t="s">
        <v>63</v>
      </c>
      <c r="AI32" s="2" t="s">
        <v>64</v>
      </c>
      <c r="AJ32" s="12" t="s">
        <v>65</v>
      </c>
      <c r="AK32" s="2"/>
      <c r="AL32" s="2"/>
      <c r="AM32" s="2"/>
      <c r="AN32" s="2"/>
      <c r="AO32" s="2"/>
      <c r="AP32" s="2" t="s">
        <v>81</v>
      </c>
      <c r="AQ32" s="2" t="s">
        <v>82</v>
      </c>
      <c r="AR32" s="2" t="s">
        <v>83</v>
      </c>
      <c r="AS32" s="2" t="s">
        <v>85</v>
      </c>
      <c r="AT32" s="2" t="s">
        <v>86</v>
      </c>
      <c r="AU32" s="2" t="s">
        <v>87</v>
      </c>
      <c r="AV32" s="2"/>
      <c r="AW32" s="12"/>
    </row>
    <row r="33" spans="1:47" x14ac:dyDescent="0.3">
      <c r="A33" t="s">
        <v>14</v>
      </c>
      <c r="B33">
        <v>1998</v>
      </c>
      <c r="C33">
        <v>136</v>
      </c>
      <c r="D33">
        <v>27</v>
      </c>
      <c r="E33">
        <v>121</v>
      </c>
      <c r="F33">
        <v>17</v>
      </c>
      <c r="G33">
        <v>2</v>
      </c>
      <c r="H33">
        <v>0</v>
      </c>
      <c r="I33">
        <v>2</v>
      </c>
      <c r="J33">
        <v>0</v>
      </c>
      <c r="Q33" s="13">
        <f>B4/(B4+E4)</f>
        <v>0.87325062641324935</v>
      </c>
      <c r="R33" s="13">
        <f t="shared" ref="R33:R53" si="0">1-Q33</f>
        <v>0.12674937358675065</v>
      </c>
      <c r="S33" s="13"/>
      <c r="T33" s="13"/>
      <c r="U33" s="13">
        <f t="shared" ref="U33:U53" si="1">SUM(C33,D33)/SUM(C33,D33,G33,H33)</f>
        <v>0.98787878787878791</v>
      </c>
      <c r="V33" s="13">
        <f t="shared" ref="V33:V53" si="2">1-U33</f>
        <v>1.2121212121212088E-2</v>
      </c>
      <c r="W33" s="13"/>
      <c r="Y33" s="14">
        <f>Q33/U33</f>
        <v>0.88396535802568188</v>
      </c>
      <c r="Z33" s="14">
        <f>R33/V33</f>
        <v>10.456823320906956</v>
      </c>
      <c r="AA33" s="14"/>
      <c r="AC33" s="21">
        <f t="shared" ref="AC33:AC53" si="3">$Y33*C33</f>
        <v>120.21928869149274</v>
      </c>
      <c r="AD33" s="21">
        <f t="shared" ref="AD33:AD53" si="4">$Y33*D33</f>
        <v>23.867064666693409</v>
      </c>
      <c r="AE33" s="21">
        <f t="shared" ref="AE33:AE53" si="5">$Y33*E33</f>
        <v>106.9598083211075</v>
      </c>
      <c r="AF33" s="21">
        <f t="shared" ref="AF33:AF53" si="6">$Y33*F33</f>
        <v>15.027411086436592</v>
      </c>
      <c r="AG33" s="21">
        <f t="shared" ref="AG33:AG53" si="7">$Z33*G33</f>
        <v>20.913646641813912</v>
      </c>
      <c r="AH33" s="21">
        <f t="shared" ref="AH33:AH53" si="8">$Z33*H33</f>
        <v>0</v>
      </c>
      <c r="AI33" s="21">
        <f t="shared" ref="AI33:AI53" si="9">$Z33*I33</f>
        <v>20.913646641813912</v>
      </c>
      <c r="AJ33" s="21">
        <f t="shared" ref="AJ33:AJ53" si="10">$Z33*J33</f>
        <v>0</v>
      </c>
      <c r="AP33">
        <f t="shared" ref="AP33:AP53" si="11">(AC33+AG33)/($AC33+$AD33+$AG33+$AH33)</f>
        <v>0.85535112323216123</v>
      </c>
      <c r="AQ33">
        <f t="shared" ref="AQ33:AQ53" si="12">(AD33+AH33)/($AC33+$AD33+$AG33+$AH33)</f>
        <v>0.1446488767678388</v>
      </c>
      <c r="AR33">
        <f t="shared" ref="AR33:AR53" si="13">(AF33+AJ33)/(AC33+AD33+AG33+AH33)</f>
        <v>9.1075218705676281E-2</v>
      </c>
      <c r="AS33">
        <f t="shared" ref="AS33:AS53" si="14">(AE33+AI33)/(AC33+AD33+AG33+AH33)</f>
        <v>0.77499063613891739</v>
      </c>
      <c r="AT33">
        <f t="shared" ref="AT33:AT53" si="15">(AJ33+AF33)/(AD33+AH33)</f>
        <v>0.62962962962962965</v>
      </c>
      <c r="AU33">
        <f t="shared" ref="AU33:AU53" si="16">(AI33+AE33)/(AC33+AG33)</f>
        <v>0.90604970881480662</v>
      </c>
    </row>
    <row r="34" spans="1:47" x14ac:dyDescent="0.3">
      <c r="A34" t="s">
        <v>14</v>
      </c>
      <c r="B34">
        <v>1999</v>
      </c>
      <c r="C34">
        <v>104</v>
      </c>
      <c r="D34">
        <v>41</v>
      </c>
      <c r="E34">
        <v>98</v>
      </c>
      <c r="F34">
        <v>16</v>
      </c>
      <c r="G34">
        <v>1</v>
      </c>
      <c r="H34">
        <v>5</v>
      </c>
      <c r="I34">
        <v>1</v>
      </c>
      <c r="J34">
        <v>4</v>
      </c>
      <c r="Q34" s="13">
        <f>B5/(B5+E5)</f>
        <v>0.81127237294220211</v>
      </c>
      <c r="R34" s="13">
        <f t="shared" si="0"/>
        <v>0.18872762705779789</v>
      </c>
      <c r="S34" s="13"/>
      <c r="T34" s="13"/>
      <c r="U34" s="13">
        <f t="shared" si="1"/>
        <v>0.96026490066225167</v>
      </c>
      <c r="V34" s="13">
        <f t="shared" si="2"/>
        <v>3.9735099337748325E-2</v>
      </c>
      <c r="W34" s="13"/>
      <c r="Y34" s="14">
        <f>Q34/U34</f>
        <v>0.84484226423636222</v>
      </c>
      <c r="Z34" s="14">
        <f>R34/V34</f>
        <v>4.7496452809545824</v>
      </c>
      <c r="AA34" s="14"/>
      <c r="AC34" s="21">
        <f t="shared" si="3"/>
        <v>87.863595480581665</v>
      </c>
      <c r="AD34" s="21">
        <f t="shared" si="4"/>
        <v>34.638532833690853</v>
      </c>
      <c r="AE34" s="21">
        <f t="shared" si="5"/>
        <v>82.794541895163491</v>
      </c>
      <c r="AF34" s="21">
        <f t="shared" si="6"/>
        <v>13.517476227781795</v>
      </c>
      <c r="AG34" s="21">
        <f t="shared" si="7"/>
        <v>4.7496452809545824</v>
      </c>
      <c r="AH34" s="21">
        <f t="shared" si="8"/>
        <v>23.748226404772911</v>
      </c>
      <c r="AI34" s="21">
        <f t="shared" si="9"/>
        <v>4.7496452809545824</v>
      </c>
      <c r="AJ34" s="21">
        <f t="shared" si="10"/>
        <v>18.99858112381833</v>
      </c>
      <c r="AP34">
        <f t="shared" si="11"/>
        <v>0.61333272027507446</v>
      </c>
      <c r="AQ34">
        <f t="shared" si="12"/>
        <v>0.38666727972492559</v>
      </c>
      <c r="AR34">
        <f t="shared" si="13"/>
        <v>0.21533812815629222</v>
      </c>
      <c r="AS34">
        <f t="shared" si="14"/>
        <v>0.57976282898091436</v>
      </c>
      <c r="AT34">
        <f t="shared" si="15"/>
        <v>0.55690806915310587</v>
      </c>
      <c r="AU34">
        <f t="shared" si="16"/>
        <v>0.94526642687658291</v>
      </c>
    </row>
    <row r="35" spans="1:47" x14ac:dyDescent="0.3">
      <c r="A35" t="s">
        <v>14</v>
      </c>
      <c r="B35">
        <v>2000</v>
      </c>
      <c r="C35">
        <v>112</v>
      </c>
      <c r="D35">
        <v>24</v>
      </c>
      <c r="E35">
        <v>101</v>
      </c>
      <c r="F35">
        <v>10</v>
      </c>
      <c r="Q35" s="13">
        <f>B6/(B6+E6)</f>
        <v>0.8745281018027572</v>
      </c>
      <c r="R35" s="13">
        <f t="shared" si="0"/>
        <v>0.1254718981972428</v>
      </c>
      <c r="S35" s="13"/>
      <c r="T35" s="13"/>
      <c r="U35" s="13">
        <f t="shared" si="1"/>
        <v>1</v>
      </c>
      <c r="V35" s="13">
        <f t="shared" si="2"/>
        <v>0</v>
      </c>
      <c r="W35" s="13"/>
      <c r="Y35" s="14">
        <f t="shared" ref="Y35:Y53" si="17">Q35/U35</f>
        <v>0.8745281018027572</v>
      </c>
      <c r="Z35" s="14"/>
      <c r="AA35" s="14"/>
      <c r="AC35" s="21">
        <f t="shared" si="3"/>
        <v>97.947147401908808</v>
      </c>
      <c r="AD35" s="21">
        <f t="shared" si="4"/>
        <v>20.988674443266174</v>
      </c>
      <c r="AE35" s="21">
        <f t="shared" si="5"/>
        <v>88.327338282078472</v>
      </c>
      <c r="AF35" s="21">
        <f t="shared" si="6"/>
        <v>8.7452810180275726</v>
      </c>
      <c r="AG35" s="21">
        <f t="shared" si="7"/>
        <v>0</v>
      </c>
      <c r="AH35" s="21">
        <f t="shared" si="8"/>
        <v>0</v>
      </c>
      <c r="AI35" s="21">
        <f t="shared" si="9"/>
        <v>0</v>
      </c>
      <c r="AJ35" s="21">
        <f t="shared" si="10"/>
        <v>0</v>
      </c>
      <c r="AP35">
        <f t="shared" si="11"/>
        <v>0.82352941176470584</v>
      </c>
      <c r="AQ35">
        <f t="shared" si="12"/>
        <v>0.17647058823529413</v>
      </c>
      <c r="AR35">
        <f t="shared" si="13"/>
        <v>7.3529411764705885E-2</v>
      </c>
      <c r="AS35">
        <f t="shared" si="14"/>
        <v>0.74264705882352933</v>
      </c>
      <c r="AT35">
        <f t="shared" si="15"/>
        <v>0.41666666666666669</v>
      </c>
      <c r="AU35">
        <f t="shared" si="16"/>
        <v>0.90178571428571419</v>
      </c>
    </row>
    <row r="36" spans="1:47" x14ac:dyDescent="0.3">
      <c r="A36" t="s">
        <v>14</v>
      </c>
      <c r="B36">
        <v>2001</v>
      </c>
      <c r="C36">
        <v>130</v>
      </c>
      <c r="D36">
        <v>36</v>
      </c>
      <c r="E36">
        <v>122</v>
      </c>
      <c r="F36">
        <v>32</v>
      </c>
      <c r="Q36" s="13">
        <f>B7/(B7+E7)</f>
        <v>0.91031513880456982</v>
      </c>
      <c r="R36" s="13">
        <f t="shared" si="0"/>
        <v>8.9684861195430177E-2</v>
      </c>
      <c r="S36" s="13"/>
      <c r="T36" s="13"/>
      <c r="U36" s="13">
        <f t="shared" si="1"/>
        <v>1</v>
      </c>
      <c r="V36" s="13">
        <f t="shared" si="2"/>
        <v>0</v>
      </c>
      <c r="W36" s="13"/>
      <c r="Y36" s="14">
        <f t="shared" si="17"/>
        <v>0.91031513880456982</v>
      </c>
      <c r="Z36" s="14"/>
      <c r="AA36" s="14"/>
      <c r="AC36" s="21">
        <f t="shared" si="3"/>
        <v>118.34096804459408</v>
      </c>
      <c r="AD36" s="21">
        <f t="shared" si="4"/>
        <v>32.771344996964515</v>
      </c>
      <c r="AE36" s="21">
        <f t="shared" si="5"/>
        <v>111.05844693415752</v>
      </c>
      <c r="AF36" s="21">
        <f t="shared" si="6"/>
        <v>29.130084441746234</v>
      </c>
      <c r="AG36" s="21">
        <f t="shared" si="7"/>
        <v>0</v>
      </c>
      <c r="AH36" s="21">
        <f t="shared" si="8"/>
        <v>0</v>
      </c>
      <c r="AI36" s="21">
        <f t="shared" si="9"/>
        <v>0</v>
      </c>
      <c r="AJ36" s="21">
        <f t="shared" si="10"/>
        <v>0</v>
      </c>
      <c r="AP36">
        <f t="shared" si="11"/>
        <v>0.7831325301204819</v>
      </c>
      <c r="AQ36">
        <f t="shared" si="12"/>
        <v>0.21686746987951808</v>
      </c>
      <c r="AR36">
        <f t="shared" si="13"/>
        <v>0.19277108433734941</v>
      </c>
      <c r="AS36">
        <f t="shared" si="14"/>
        <v>0.7349397590361445</v>
      </c>
      <c r="AT36">
        <f t="shared" si="15"/>
        <v>0.88888888888888884</v>
      </c>
      <c r="AU36">
        <f t="shared" si="16"/>
        <v>0.93846153846153846</v>
      </c>
    </row>
    <row r="37" spans="1:47" x14ac:dyDescent="0.3">
      <c r="A37" t="s">
        <v>14</v>
      </c>
      <c r="B37">
        <v>2002</v>
      </c>
      <c r="C37">
        <v>241</v>
      </c>
      <c r="D37">
        <v>26</v>
      </c>
      <c r="E37">
        <v>216</v>
      </c>
      <c r="F37">
        <v>15</v>
      </c>
      <c r="G37">
        <v>10</v>
      </c>
      <c r="H37">
        <v>2</v>
      </c>
      <c r="I37">
        <v>5</v>
      </c>
      <c r="J37">
        <v>2</v>
      </c>
      <c r="Q37" s="13">
        <f>B8/(B8+E8)</f>
        <v>0.86532987273945072</v>
      </c>
      <c r="R37" s="13">
        <f t="shared" si="0"/>
        <v>0.13467012726054928</v>
      </c>
      <c r="S37" s="13"/>
      <c r="T37" s="13"/>
      <c r="U37" s="13">
        <f t="shared" si="1"/>
        <v>0.956989247311828</v>
      </c>
      <c r="V37" s="13">
        <f t="shared" si="2"/>
        <v>4.3010752688172005E-2</v>
      </c>
      <c r="W37" s="13"/>
      <c r="Y37" s="14">
        <f t="shared" si="17"/>
        <v>0.90422110297493163</v>
      </c>
      <c r="Z37" s="14">
        <f t="shared" ref="Z37:Z42" si="18">R37/V37</f>
        <v>3.1310804588077734</v>
      </c>
      <c r="AA37" s="14"/>
      <c r="AC37" s="21">
        <f t="shared" si="3"/>
        <v>217.91728581695853</v>
      </c>
      <c r="AD37" s="21">
        <f t="shared" si="4"/>
        <v>23.509748677348224</v>
      </c>
      <c r="AE37" s="21">
        <f t="shared" si="5"/>
        <v>195.31175824258523</v>
      </c>
      <c r="AF37" s="21">
        <f t="shared" si="6"/>
        <v>13.563316544623975</v>
      </c>
      <c r="AG37" s="21">
        <f t="shared" si="7"/>
        <v>31.310804588077733</v>
      </c>
      <c r="AH37" s="21">
        <f t="shared" si="8"/>
        <v>6.2621609176155468</v>
      </c>
      <c r="AI37" s="21">
        <f t="shared" si="9"/>
        <v>15.655402294038867</v>
      </c>
      <c r="AJ37" s="21">
        <f t="shared" si="10"/>
        <v>6.2621609176155468</v>
      </c>
      <c r="AP37">
        <f t="shared" si="11"/>
        <v>0.89329064661303303</v>
      </c>
      <c r="AQ37">
        <f t="shared" si="12"/>
        <v>0.1067093533869669</v>
      </c>
      <c r="AR37">
        <f t="shared" si="13"/>
        <v>7.1059059004442718E-2</v>
      </c>
      <c r="AS37">
        <f t="shared" si="14"/>
        <v>0.75615469726388551</v>
      </c>
      <c r="AT37">
        <f t="shared" si="15"/>
        <v>0.66591218809804564</v>
      </c>
      <c r="AU37">
        <f t="shared" si="16"/>
        <v>0.84648227330140879</v>
      </c>
    </row>
    <row r="38" spans="1:47" x14ac:dyDescent="0.3">
      <c r="A38" t="s">
        <v>14</v>
      </c>
      <c r="B38">
        <v>2003</v>
      </c>
      <c r="C38">
        <v>230</v>
      </c>
      <c r="D38">
        <v>27</v>
      </c>
      <c r="E38">
        <v>215</v>
      </c>
      <c r="F38">
        <v>26</v>
      </c>
      <c r="G38">
        <v>39</v>
      </c>
      <c r="H38">
        <v>11</v>
      </c>
      <c r="I38">
        <v>30</v>
      </c>
      <c r="J38">
        <v>9</v>
      </c>
      <c r="Q38" s="13">
        <f>B9/(B9+E9)</f>
        <v>0.84582430060906366</v>
      </c>
      <c r="R38" s="13">
        <f t="shared" si="0"/>
        <v>0.15417569939093634</v>
      </c>
      <c r="S38" s="13"/>
      <c r="T38" s="13"/>
      <c r="U38" s="13">
        <f t="shared" si="1"/>
        <v>0.83713355048859939</v>
      </c>
      <c r="V38" s="13">
        <f t="shared" si="2"/>
        <v>0.16286644951140061</v>
      </c>
      <c r="W38" s="13"/>
      <c r="Y38" s="14">
        <f t="shared" si="17"/>
        <v>1.0103815575368971</v>
      </c>
      <c r="Z38" s="14">
        <f t="shared" si="18"/>
        <v>0.94663879426034936</v>
      </c>
      <c r="AA38" s="14"/>
      <c r="AC38" s="21">
        <f t="shared" si="3"/>
        <v>232.38775823348632</v>
      </c>
      <c r="AD38" s="21">
        <f t="shared" si="4"/>
        <v>27.280302053496222</v>
      </c>
      <c r="AE38" s="21">
        <f t="shared" si="5"/>
        <v>217.23203487043287</v>
      </c>
      <c r="AF38" s="21">
        <f t="shared" si="6"/>
        <v>26.269920495959322</v>
      </c>
      <c r="AG38" s="21">
        <f t="shared" si="7"/>
        <v>36.918912976153628</v>
      </c>
      <c r="AH38" s="21">
        <f t="shared" si="8"/>
        <v>10.413026736863843</v>
      </c>
      <c r="AI38" s="21">
        <f t="shared" si="9"/>
        <v>28.399163827810479</v>
      </c>
      <c r="AJ38" s="21">
        <f t="shared" si="10"/>
        <v>8.5197491483431449</v>
      </c>
      <c r="AP38">
        <f t="shared" si="11"/>
        <v>0.8772204273929638</v>
      </c>
      <c r="AQ38">
        <f t="shared" si="12"/>
        <v>0.12277957260703601</v>
      </c>
      <c r="AR38">
        <f t="shared" si="13"/>
        <v>0.11332139949284188</v>
      </c>
      <c r="AS38">
        <f t="shared" si="14"/>
        <v>0.80010162442424526</v>
      </c>
      <c r="AT38">
        <f t="shared" si="15"/>
        <v>0.92296623197683192</v>
      </c>
      <c r="AU38">
        <f t="shared" si="16"/>
        <v>0.91208731515987362</v>
      </c>
    </row>
    <row r="39" spans="1:47" x14ac:dyDescent="0.3">
      <c r="A39" t="s">
        <v>14</v>
      </c>
      <c r="B39">
        <v>2004</v>
      </c>
      <c r="C39">
        <v>326</v>
      </c>
      <c r="D39">
        <v>112</v>
      </c>
      <c r="E39">
        <v>301</v>
      </c>
      <c r="F39">
        <v>82</v>
      </c>
      <c r="G39">
        <v>2</v>
      </c>
      <c r="H39">
        <v>0</v>
      </c>
      <c r="I39">
        <v>2</v>
      </c>
      <c r="J39">
        <v>0</v>
      </c>
      <c r="Q39" s="13">
        <f>B10/(B10+E10)</f>
        <v>0.89417935702199658</v>
      </c>
      <c r="R39" s="13">
        <f t="shared" si="0"/>
        <v>0.10582064297800342</v>
      </c>
      <c r="S39" s="13"/>
      <c r="T39" s="13"/>
      <c r="U39" s="13">
        <f t="shared" si="1"/>
        <v>0.99545454545454548</v>
      </c>
      <c r="V39" s="13">
        <f t="shared" si="2"/>
        <v>4.5454545454545192E-3</v>
      </c>
      <c r="W39" s="13"/>
      <c r="Y39" s="14">
        <f t="shared" si="17"/>
        <v>0.89826236778465407</v>
      </c>
      <c r="Z39" s="14">
        <f t="shared" si="18"/>
        <v>23.280541455160886</v>
      </c>
      <c r="AA39" s="14"/>
      <c r="AC39" s="21">
        <f t="shared" si="3"/>
        <v>292.83353189779723</v>
      </c>
      <c r="AD39" s="21">
        <f t="shared" si="4"/>
        <v>100.60538519188125</v>
      </c>
      <c r="AE39" s="21">
        <f t="shared" si="5"/>
        <v>270.37697270318085</v>
      </c>
      <c r="AF39" s="21">
        <f t="shared" si="6"/>
        <v>73.657514158341627</v>
      </c>
      <c r="AG39" s="21">
        <f t="shared" si="7"/>
        <v>46.561082910321772</v>
      </c>
      <c r="AH39" s="21">
        <f t="shared" si="8"/>
        <v>0</v>
      </c>
      <c r="AI39" s="21">
        <f t="shared" si="9"/>
        <v>46.561082910321772</v>
      </c>
      <c r="AJ39" s="21">
        <f t="shared" si="10"/>
        <v>0</v>
      </c>
      <c r="AP39">
        <f t="shared" si="11"/>
        <v>0.77135139729117908</v>
      </c>
      <c r="AQ39">
        <f t="shared" si="12"/>
        <v>0.2286486027088209</v>
      </c>
      <c r="AR39">
        <f t="shared" si="13"/>
        <v>0.16740344126895815</v>
      </c>
      <c r="AS39">
        <f t="shared" si="14"/>
        <v>0.72031376275796</v>
      </c>
      <c r="AT39">
        <f t="shared" si="15"/>
        <v>0.7321428571428571</v>
      </c>
      <c r="AU39">
        <f t="shared" si="16"/>
        <v>0.93383348404831801</v>
      </c>
    </row>
    <row r="40" spans="1:47" x14ac:dyDescent="0.3">
      <c r="A40" t="s">
        <v>14</v>
      </c>
      <c r="B40">
        <v>2005</v>
      </c>
      <c r="C40">
        <v>155</v>
      </c>
      <c r="D40">
        <v>71</v>
      </c>
      <c r="E40">
        <v>131</v>
      </c>
      <c r="F40">
        <v>37</v>
      </c>
      <c r="G40">
        <v>18</v>
      </c>
      <c r="H40">
        <v>0</v>
      </c>
      <c r="I40">
        <v>17</v>
      </c>
      <c r="J40">
        <v>0</v>
      </c>
      <c r="Q40" s="13">
        <f>B11/(B11+E11)</f>
        <v>0.78670844567514386</v>
      </c>
      <c r="R40" s="13">
        <f t="shared" si="0"/>
        <v>0.21329155432485614</v>
      </c>
      <c r="S40" s="13"/>
      <c r="T40" s="13"/>
      <c r="U40" s="13">
        <f t="shared" si="1"/>
        <v>0.92622950819672134</v>
      </c>
      <c r="V40" s="13">
        <f t="shared" si="2"/>
        <v>7.3770491803278659E-2</v>
      </c>
      <c r="W40" s="13"/>
      <c r="Y40" s="14">
        <f t="shared" si="17"/>
        <v>0.84936664046342958</v>
      </c>
      <c r="Z40" s="14">
        <f t="shared" si="18"/>
        <v>2.8912855141813845</v>
      </c>
      <c r="AA40" s="14"/>
      <c r="AC40" s="21">
        <f t="shared" si="3"/>
        <v>131.65182927183159</v>
      </c>
      <c r="AD40" s="21">
        <f t="shared" si="4"/>
        <v>60.305031472903501</v>
      </c>
      <c r="AE40" s="21">
        <f t="shared" si="5"/>
        <v>111.26702990070928</v>
      </c>
      <c r="AF40" s="21">
        <f t="shared" si="6"/>
        <v>31.426565697146895</v>
      </c>
      <c r="AG40" s="21">
        <f t="shared" si="7"/>
        <v>52.043139255264919</v>
      </c>
      <c r="AH40" s="21">
        <f t="shared" si="8"/>
        <v>0</v>
      </c>
      <c r="AI40" s="21">
        <f t="shared" si="9"/>
        <v>49.151853741083535</v>
      </c>
      <c r="AJ40" s="21">
        <f t="shared" si="10"/>
        <v>0</v>
      </c>
      <c r="AP40">
        <f t="shared" si="11"/>
        <v>0.75284823166842829</v>
      </c>
      <c r="AQ40">
        <f t="shared" si="12"/>
        <v>0.24715176833157174</v>
      </c>
      <c r="AR40">
        <f t="shared" si="13"/>
        <v>0.12879740039814302</v>
      </c>
      <c r="AS40">
        <f t="shared" si="14"/>
        <v>0.65745444115488849</v>
      </c>
      <c r="AT40">
        <f t="shared" si="15"/>
        <v>0.52112676056338025</v>
      </c>
      <c r="AU40">
        <f t="shared" si="16"/>
        <v>0.87328948053430056</v>
      </c>
    </row>
    <row r="41" spans="1:47" x14ac:dyDescent="0.3">
      <c r="A41" t="s">
        <v>14</v>
      </c>
      <c r="B41">
        <v>2006</v>
      </c>
      <c r="C41">
        <v>206</v>
      </c>
      <c r="D41">
        <v>90</v>
      </c>
      <c r="E41">
        <v>193</v>
      </c>
      <c r="F41">
        <v>52</v>
      </c>
      <c r="G41">
        <v>11</v>
      </c>
      <c r="H41">
        <v>5</v>
      </c>
      <c r="I41">
        <v>5</v>
      </c>
      <c r="J41">
        <v>4</v>
      </c>
      <c r="Q41" s="13">
        <f>B12/(B12+E12)</f>
        <v>0.84519374783977874</v>
      </c>
      <c r="R41" s="13">
        <f t="shared" si="0"/>
        <v>0.15480625216022126</v>
      </c>
      <c r="S41" s="13"/>
      <c r="T41" s="13"/>
      <c r="U41" s="13">
        <f t="shared" si="1"/>
        <v>0.94871794871794868</v>
      </c>
      <c r="V41" s="13">
        <f t="shared" si="2"/>
        <v>5.1282051282051322E-2</v>
      </c>
      <c r="W41" s="13"/>
      <c r="Y41" s="14">
        <f t="shared" si="17"/>
        <v>0.89087989637165876</v>
      </c>
      <c r="Z41" s="14">
        <f t="shared" si="18"/>
        <v>3.0187219171243123</v>
      </c>
      <c r="AA41" s="14"/>
      <c r="AC41" s="21">
        <f t="shared" si="3"/>
        <v>183.5212586525617</v>
      </c>
      <c r="AD41" s="21">
        <f t="shared" si="4"/>
        <v>80.179190673449284</v>
      </c>
      <c r="AE41" s="21">
        <f t="shared" si="5"/>
        <v>171.93981999973013</v>
      </c>
      <c r="AF41" s="21">
        <f t="shared" si="6"/>
        <v>46.325754611326253</v>
      </c>
      <c r="AG41" s="21">
        <f t="shared" si="7"/>
        <v>33.205941088367432</v>
      </c>
      <c r="AH41" s="21">
        <f t="shared" si="8"/>
        <v>15.093609585621561</v>
      </c>
      <c r="AI41" s="21">
        <f t="shared" si="9"/>
        <v>15.093609585621561</v>
      </c>
      <c r="AJ41" s="21">
        <f t="shared" si="10"/>
        <v>12.074887668497249</v>
      </c>
      <c r="AP41">
        <f t="shared" si="11"/>
        <v>0.69463846070810631</v>
      </c>
      <c r="AQ41">
        <f t="shared" si="12"/>
        <v>0.3053615392918938</v>
      </c>
      <c r="AR41">
        <f t="shared" si="13"/>
        <v>0.18718154576866511</v>
      </c>
      <c r="AS41">
        <f t="shared" si="14"/>
        <v>0.59946612046587089</v>
      </c>
      <c r="AT41">
        <f t="shared" si="15"/>
        <v>0.61298337113024259</v>
      </c>
      <c r="AU41">
        <f t="shared" si="16"/>
        <v>0.86299010834324108</v>
      </c>
    </row>
    <row r="42" spans="1:47" x14ac:dyDescent="0.3">
      <c r="A42" t="s">
        <v>14</v>
      </c>
      <c r="B42">
        <v>2007</v>
      </c>
      <c r="C42">
        <v>180</v>
      </c>
      <c r="D42">
        <v>45</v>
      </c>
      <c r="E42">
        <v>154</v>
      </c>
      <c r="F42">
        <v>22</v>
      </c>
      <c r="G42">
        <v>23</v>
      </c>
      <c r="H42">
        <v>8</v>
      </c>
      <c r="I42">
        <v>23</v>
      </c>
      <c r="J42">
        <v>8</v>
      </c>
      <c r="Q42" s="13">
        <f>B13/(B13+E13)</f>
        <v>0.8074767609651331</v>
      </c>
      <c r="R42" s="13">
        <f t="shared" si="0"/>
        <v>0.1925232390348669</v>
      </c>
      <c r="S42" s="13"/>
      <c r="T42" s="13"/>
      <c r="U42" s="13">
        <f t="shared" si="1"/>
        <v>0.87890625</v>
      </c>
      <c r="V42" s="13">
        <f t="shared" si="2"/>
        <v>0.12109375</v>
      </c>
      <c r="W42" s="13"/>
      <c r="Y42" s="14">
        <f t="shared" si="17"/>
        <v>0.91872911469810703</v>
      </c>
      <c r="Z42" s="14">
        <f t="shared" si="18"/>
        <v>1.5898693288040622</v>
      </c>
      <c r="AA42" s="14"/>
      <c r="AC42" s="21">
        <f t="shared" si="3"/>
        <v>165.37124064565927</v>
      </c>
      <c r="AD42" s="21">
        <f t="shared" si="4"/>
        <v>41.342810161414818</v>
      </c>
      <c r="AE42" s="21">
        <f t="shared" si="5"/>
        <v>141.48428366350848</v>
      </c>
      <c r="AF42" s="21">
        <f t="shared" si="6"/>
        <v>20.212040523358354</v>
      </c>
      <c r="AG42" s="21">
        <f t="shared" si="7"/>
        <v>36.566994562493427</v>
      </c>
      <c r="AH42" s="21">
        <f t="shared" si="8"/>
        <v>12.718954630432497</v>
      </c>
      <c r="AI42" s="21">
        <f t="shared" si="9"/>
        <v>36.566994562493427</v>
      </c>
      <c r="AJ42" s="21">
        <f t="shared" si="10"/>
        <v>12.718954630432497</v>
      </c>
      <c r="AP42">
        <f t="shared" si="11"/>
        <v>0.78882123128184645</v>
      </c>
      <c r="AQ42">
        <f t="shared" si="12"/>
        <v>0.21117876871815358</v>
      </c>
      <c r="AR42">
        <f t="shared" si="13"/>
        <v>0.12863669981949552</v>
      </c>
      <c r="AS42">
        <f t="shared" si="14"/>
        <v>0.69551280557031991</v>
      </c>
      <c r="AT42">
        <f t="shared" si="15"/>
        <v>0.60913651784369705</v>
      </c>
      <c r="AU42">
        <f t="shared" si="16"/>
        <v>0.88171156909671544</v>
      </c>
    </row>
    <row r="43" spans="1:47" x14ac:dyDescent="0.3">
      <c r="A43" t="s">
        <v>14</v>
      </c>
      <c r="B43">
        <v>2008</v>
      </c>
      <c r="C43">
        <v>167</v>
      </c>
      <c r="D43">
        <v>52</v>
      </c>
      <c r="E43">
        <v>152</v>
      </c>
      <c r="F43">
        <v>28</v>
      </c>
      <c r="Q43" s="13">
        <f>B14/(B14+E14)</f>
        <v>0.86973481608212144</v>
      </c>
      <c r="R43" s="13">
        <f t="shared" si="0"/>
        <v>0.13026518391787856</v>
      </c>
      <c r="S43" s="13"/>
      <c r="T43" s="13"/>
      <c r="U43" s="13">
        <f t="shared" si="1"/>
        <v>1</v>
      </c>
      <c r="V43" s="13">
        <f t="shared" si="2"/>
        <v>0</v>
      </c>
      <c r="W43" s="13"/>
      <c r="Y43" s="14">
        <f t="shared" si="17"/>
        <v>0.86973481608212144</v>
      </c>
      <c r="Z43" s="14"/>
      <c r="AA43" s="14"/>
      <c r="AC43" s="21">
        <f t="shared" si="3"/>
        <v>145.24571428571429</v>
      </c>
      <c r="AD43" s="21">
        <f t="shared" si="4"/>
        <v>45.226210436270314</v>
      </c>
      <c r="AE43" s="21">
        <f t="shared" si="5"/>
        <v>132.19969204448245</v>
      </c>
      <c r="AF43" s="21">
        <f t="shared" si="6"/>
        <v>24.352574850299401</v>
      </c>
      <c r="AG43" s="21">
        <f t="shared" si="7"/>
        <v>0</v>
      </c>
      <c r="AH43" s="21">
        <f t="shared" si="8"/>
        <v>0</v>
      </c>
      <c r="AI43" s="21">
        <f t="shared" si="9"/>
        <v>0</v>
      </c>
      <c r="AJ43" s="21">
        <f t="shared" si="10"/>
        <v>0</v>
      </c>
      <c r="AP43">
        <f t="shared" si="11"/>
        <v>0.76255707762557079</v>
      </c>
      <c r="AQ43">
        <f t="shared" si="12"/>
        <v>0.23744292237442921</v>
      </c>
      <c r="AR43">
        <f t="shared" si="13"/>
        <v>0.12785388127853881</v>
      </c>
      <c r="AS43">
        <f t="shared" si="14"/>
        <v>0.69406392694063912</v>
      </c>
      <c r="AT43">
        <f t="shared" si="15"/>
        <v>0.53846153846153855</v>
      </c>
      <c r="AU43">
        <f t="shared" si="16"/>
        <v>0.91017964071856272</v>
      </c>
    </row>
    <row r="44" spans="1:47" x14ac:dyDescent="0.3">
      <c r="A44" t="s">
        <v>14</v>
      </c>
      <c r="B44">
        <v>2009</v>
      </c>
      <c r="C44">
        <v>434</v>
      </c>
      <c r="D44">
        <v>94</v>
      </c>
      <c r="E44">
        <v>390</v>
      </c>
      <c r="F44">
        <v>34</v>
      </c>
      <c r="G44">
        <v>19</v>
      </c>
      <c r="H44">
        <v>7</v>
      </c>
      <c r="I44">
        <v>11</v>
      </c>
      <c r="J44">
        <v>7</v>
      </c>
      <c r="Q44" s="13">
        <f>B15/(B15+E15)</f>
        <v>0.79464597139867454</v>
      </c>
      <c r="R44" s="13">
        <f t="shared" si="0"/>
        <v>0.20535402860132546</v>
      </c>
      <c r="S44" s="13"/>
      <c r="T44" s="13"/>
      <c r="U44" s="13">
        <f t="shared" si="1"/>
        <v>0.95306859205776173</v>
      </c>
      <c r="V44" s="13">
        <f t="shared" si="2"/>
        <v>4.6931407942238268E-2</v>
      </c>
      <c r="W44" s="13"/>
      <c r="Y44" s="14">
        <f t="shared" si="17"/>
        <v>0.83377626544482142</v>
      </c>
      <c r="Z44" s="14">
        <f t="shared" ref="Z44:Z53" si="19">R44/V44</f>
        <v>4.3756204555820881</v>
      </c>
      <c r="AA44" s="14"/>
      <c r="AC44" s="21">
        <f t="shared" si="3"/>
        <v>361.85889920305249</v>
      </c>
      <c r="AD44" s="21">
        <f t="shared" si="4"/>
        <v>78.374968951813216</v>
      </c>
      <c r="AE44" s="21">
        <f t="shared" si="5"/>
        <v>325.17274352348034</v>
      </c>
      <c r="AF44" s="21">
        <f t="shared" si="6"/>
        <v>28.348393025123929</v>
      </c>
      <c r="AG44" s="21">
        <f t="shared" si="7"/>
        <v>83.136788656059679</v>
      </c>
      <c r="AH44" s="21">
        <f t="shared" si="8"/>
        <v>30.629343189074618</v>
      </c>
      <c r="AI44" s="21">
        <f t="shared" si="9"/>
        <v>48.131825011402967</v>
      </c>
      <c r="AJ44" s="21">
        <f t="shared" si="10"/>
        <v>30.629343189074618</v>
      </c>
      <c r="AP44">
        <f t="shared" si="11"/>
        <v>0.80324131382511221</v>
      </c>
      <c r="AQ44">
        <f t="shared" si="12"/>
        <v>0.19675868617488779</v>
      </c>
      <c r="AR44">
        <f t="shared" si="13"/>
        <v>0.10645800760685657</v>
      </c>
      <c r="AS44">
        <f t="shared" si="14"/>
        <v>0.67383496125430198</v>
      </c>
      <c r="AT44">
        <f t="shared" si="15"/>
        <v>0.54105874396941245</v>
      </c>
      <c r="AU44">
        <f t="shared" si="16"/>
        <v>0.83889479992685534</v>
      </c>
    </row>
    <row r="45" spans="1:47" x14ac:dyDescent="0.3">
      <c r="A45" t="s">
        <v>14</v>
      </c>
      <c r="B45">
        <v>2010</v>
      </c>
      <c r="C45">
        <v>339</v>
      </c>
      <c r="D45">
        <v>129</v>
      </c>
      <c r="E45">
        <v>306</v>
      </c>
      <c r="F45">
        <v>68</v>
      </c>
      <c r="G45">
        <v>75</v>
      </c>
      <c r="H45">
        <v>3</v>
      </c>
      <c r="I45">
        <v>59</v>
      </c>
      <c r="J45">
        <v>0</v>
      </c>
      <c r="Q45" s="13">
        <f>B16/(B16+E16)</f>
        <v>0.78225724625426996</v>
      </c>
      <c r="R45" s="13">
        <f t="shared" si="0"/>
        <v>0.21774275374573004</v>
      </c>
      <c r="S45" s="13"/>
      <c r="T45" s="13"/>
      <c r="U45" s="13">
        <f t="shared" si="1"/>
        <v>0.8571428571428571</v>
      </c>
      <c r="V45" s="13">
        <f t="shared" si="2"/>
        <v>0.1428571428571429</v>
      </c>
      <c r="W45" s="13"/>
      <c r="Y45" s="14">
        <f t="shared" si="17"/>
        <v>0.91263345396331497</v>
      </c>
      <c r="Z45" s="14">
        <f t="shared" si="19"/>
        <v>1.5241992762201098</v>
      </c>
      <c r="AA45" s="14"/>
      <c r="AC45" s="21">
        <f t="shared" si="3"/>
        <v>309.38274089356378</v>
      </c>
      <c r="AD45" s="21">
        <f t="shared" si="4"/>
        <v>117.72971556126762</v>
      </c>
      <c r="AE45" s="21">
        <f t="shared" si="5"/>
        <v>279.26583691277438</v>
      </c>
      <c r="AF45" s="21">
        <f t="shared" si="6"/>
        <v>62.059074869505416</v>
      </c>
      <c r="AG45" s="21">
        <f t="shared" si="7"/>
        <v>114.31494571650823</v>
      </c>
      <c r="AH45" s="21">
        <f t="shared" si="8"/>
        <v>4.5725978286603297</v>
      </c>
      <c r="AI45" s="21">
        <f t="shared" si="9"/>
        <v>89.927757296986471</v>
      </c>
      <c r="AJ45" s="21">
        <f t="shared" si="10"/>
        <v>0</v>
      </c>
      <c r="AP45">
        <f t="shared" si="11"/>
        <v>0.77600308902943593</v>
      </c>
      <c r="AQ45">
        <f t="shared" si="12"/>
        <v>0.22399691097056404</v>
      </c>
      <c r="AR45">
        <f t="shared" si="13"/>
        <v>0.11366130928480846</v>
      </c>
      <c r="AS45">
        <f t="shared" si="14"/>
        <v>0.67617874397392086</v>
      </c>
      <c r="AT45">
        <f t="shared" si="15"/>
        <v>0.50742355683532159</v>
      </c>
      <c r="AU45">
        <f t="shared" si="16"/>
        <v>0.87136089215782953</v>
      </c>
    </row>
    <row r="46" spans="1:47" x14ac:dyDescent="0.3">
      <c r="A46" t="s">
        <v>14</v>
      </c>
      <c r="B46">
        <v>2011</v>
      </c>
      <c r="C46">
        <v>268</v>
      </c>
      <c r="D46">
        <v>113</v>
      </c>
      <c r="E46">
        <v>239</v>
      </c>
      <c r="F46">
        <v>54</v>
      </c>
      <c r="G46">
        <v>0</v>
      </c>
      <c r="H46">
        <v>6</v>
      </c>
      <c r="I46">
        <v>0</v>
      </c>
      <c r="J46">
        <v>6</v>
      </c>
      <c r="Q46" s="13">
        <f>B17/(B17+E17)</f>
        <v>0.78746756285361807</v>
      </c>
      <c r="R46" s="13">
        <f t="shared" si="0"/>
        <v>0.21253243714638193</v>
      </c>
      <c r="S46" s="13"/>
      <c r="T46" s="13"/>
      <c r="U46" s="13">
        <f t="shared" si="1"/>
        <v>0.98449612403100772</v>
      </c>
      <c r="V46" s="13">
        <f t="shared" si="2"/>
        <v>1.5503875968992276E-2</v>
      </c>
      <c r="W46" s="13"/>
      <c r="Y46" s="14">
        <f t="shared" si="17"/>
        <v>0.79986862683556481</v>
      </c>
      <c r="Z46" s="14">
        <f t="shared" si="19"/>
        <v>13.70834219594161</v>
      </c>
      <c r="AA46" s="14"/>
      <c r="AC46" s="21">
        <f t="shared" si="3"/>
        <v>214.36479199193138</v>
      </c>
      <c r="AD46" s="21">
        <f t="shared" si="4"/>
        <v>90.38515483241882</v>
      </c>
      <c r="AE46" s="21">
        <f t="shared" si="5"/>
        <v>191.16860181369998</v>
      </c>
      <c r="AF46" s="21">
        <f t="shared" si="6"/>
        <v>43.1929058491205</v>
      </c>
      <c r="AG46" s="21">
        <f t="shared" si="7"/>
        <v>0</v>
      </c>
      <c r="AH46" s="21">
        <f t="shared" si="8"/>
        <v>82.250053175649654</v>
      </c>
      <c r="AI46" s="21">
        <f t="shared" si="9"/>
        <v>0</v>
      </c>
      <c r="AJ46" s="21">
        <f t="shared" si="10"/>
        <v>82.250053175649654</v>
      </c>
      <c r="AP46">
        <f t="shared" si="11"/>
        <v>0.55391419119362129</v>
      </c>
      <c r="AQ46">
        <f t="shared" si="12"/>
        <v>0.4460858088063786</v>
      </c>
      <c r="AR46">
        <f t="shared" si="13"/>
        <v>0.32414201298390227</v>
      </c>
      <c r="AS46">
        <f t="shared" si="14"/>
        <v>0.49397571528087864</v>
      </c>
      <c r="AT46">
        <f t="shared" si="15"/>
        <v>0.72663601169297576</v>
      </c>
      <c r="AU46">
        <f t="shared" si="16"/>
        <v>0.89179104477611926</v>
      </c>
    </row>
    <row r="47" spans="1:47" x14ac:dyDescent="0.3">
      <c r="A47" t="s">
        <v>14</v>
      </c>
      <c r="B47">
        <v>2012</v>
      </c>
      <c r="C47">
        <v>395</v>
      </c>
      <c r="D47">
        <v>101</v>
      </c>
      <c r="E47">
        <v>374</v>
      </c>
      <c r="F47">
        <v>56</v>
      </c>
      <c r="G47">
        <v>9</v>
      </c>
      <c r="H47">
        <v>17</v>
      </c>
      <c r="I47">
        <v>9</v>
      </c>
      <c r="J47">
        <v>17</v>
      </c>
      <c r="Q47" s="13">
        <f>B18/(B18+E18)</f>
        <v>0.67308254841163051</v>
      </c>
      <c r="R47" s="13">
        <f t="shared" si="0"/>
        <v>0.32691745158836949</v>
      </c>
      <c r="S47" s="13"/>
      <c r="T47" s="13"/>
      <c r="U47" s="13">
        <f t="shared" si="1"/>
        <v>0.95019157088122608</v>
      </c>
      <c r="V47" s="13">
        <f t="shared" si="2"/>
        <v>4.9808429118773923E-2</v>
      </c>
      <c r="W47" s="13"/>
      <c r="Y47" s="14">
        <f t="shared" si="17"/>
        <v>0.7083651013525627</v>
      </c>
      <c r="Z47" s="14">
        <f t="shared" si="19"/>
        <v>6.5634965280434212</v>
      </c>
      <c r="AA47" s="14"/>
      <c r="AC47" s="21">
        <f t="shared" si="3"/>
        <v>279.80421503426226</v>
      </c>
      <c r="AD47" s="21">
        <f t="shared" si="4"/>
        <v>71.544875236608831</v>
      </c>
      <c r="AE47" s="21">
        <f t="shared" si="5"/>
        <v>264.92854790585847</v>
      </c>
      <c r="AF47" s="21">
        <f t="shared" si="6"/>
        <v>39.668445675743513</v>
      </c>
      <c r="AG47" s="21">
        <f t="shared" si="7"/>
        <v>59.071468752390793</v>
      </c>
      <c r="AH47" s="21">
        <f t="shared" si="8"/>
        <v>111.57944097673816</v>
      </c>
      <c r="AI47" s="21">
        <f t="shared" si="9"/>
        <v>59.071468752390793</v>
      </c>
      <c r="AJ47" s="21">
        <f t="shared" si="10"/>
        <v>111.57944097673816</v>
      </c>
      <c r="AP47">
        <f t="shared" si="11"/>
        <v>0.64918713369090619</v>
      </c>
      <c r="AQ47">
        <f t="shared" si="12"/>
        <v>0.35081286630909386</v>
      </c>
      <c r="AR47">
        <f t="shared" si="13"/>
        <v>0.28974690929594188</v>
      </c>
      <c r="AS47">
        <f t="shared" si="14"/>
        <v>0.62068968708476868</v>
      </c>
      <c r="AT47">
        <f t="shared" si="15"/>
        <v>0.8259301101022104</v>
      </c>
      <c r="AU47">
        <f t="shared" si="16"/>
        <v>0.95610287831165508</v>
      </c>
    </row>
    <row r="48" spans="1:47" x14ac:dyDescent="0.3">
      <c r="A48" t="s">
        <v>14</v>
      </c>
      <c r="B48">
        <v>2013</v>
      </c>
      <c r="C48">
        <v>442</v>
      </c>
      <c r="D48">
        <v>76</v>
      </c>
      <c r="E48">
        <v>406</v>
      </c>
      <c r="F48">
        <v>48</v>
      </c>
      <c r="G48">
        <v>106</v>
      </c>
      <c r="H48">
        <v>22</v>
      </c>
      <c r="I48">
        <v>101</v>
      </c>
      <c r="J48">
        <v>19</v>
      </c>
      <c r="Q48" s="13">
        <f>B19/(B19+E19)</f>
        <v>0.80517160719601921</v>
      </c>
      <c r="R48" s="13">
        <f t="shared" si="0"/>
        <v>0.19482839280398079</v>
      </c>
      <c r="S48" s="13"/>
      <c r="T48" s="13"/>
      <c r="U48" s="13">
        <f t="shared" si="1"/>
        <v>0.80185758513931893</v>
      </c>
      <c r="V48" s="13">
        <f t="shared" si="2"/>
        <v>0.19814241486068107</v>
      </c>
      <c r="W48" s="13"/>
      <c r="Y48" s="14">
        <f t="shared" si="17"/>
        <v>1.004132930981908</v>
      </c>
      <c r="Z48" s="14">
        <f t="shared" si="19"/>
        <v>0.9832745449325907</v>
      </c>
      <c r="AA48" s="14"/>
      <c r="AC48" s="21">
        <f t="shared" si="3"/>
        <v>443.82675549400335</v>
      </c>
      <c r="AD48" s="21">
        <f t="shared" si="4"/>
        <v>76.314102754625011</v>
      </c>
      <c r="AE48" s="21">
        <f t="shared" si="5"/>
        <v>407.67796997865469</v>
      </c>
      <c r="AF48" s="21">
        <f t="shared" si="6"/>
        <v>48.198380687131589</v>
      </c>
      <c r="AG48" s="21">
        <f t="shared" si="7"/>
        <v>104.22710176285462</v>
      </c>
      <c r="AH48" s="21">
        <f t="shared" si="8"/>
        <v>21.632039988516997</v>
      </c>
      <c r="AI48" s="21">
        <f t="shared" si="9"/>
        <v>99.310729038191667</v>
      </c>
      <c r="AJ48" s="21">
        <f t="shared" si="10"/>
        <v>18.682216353719223</v>
      </c>
      <c r="AP48">
        <f t="shared" si="11"/>
        <v>0.84838058398894434</v>
      </c>
      <c r="AQ48">
        <f t="shared" si="12"/>
        <v>0.15161941601105575</v>
      </c>
      <c r="AR48">
        <f t="shared" si="13"/>
        <v>0.10353033597654925</v>
      </c>
      <c r="AS48">
        <f t="shared" si="14"/>
        <v>0.78481222758025748</v>
      </c>
      <c r="AT48">
        <f t="shared" si="15"/>
        <v>0.68283033070777732</v>
      </c>
      <c r="AU48">
        <f t="shared" si="16"/>
        <v>0.92507094385658972</v>
      </c>
    </row>
    <row r="49" spans="1:47" x14ac:dyDescent="0.3">
      <c r="A49" t="s">
        <v>14</v>
      </c>
      <c r="B49">
        <v>2014</v>
      </c>
      <c r="C49">
        <v>371</v>
      </c>
      <c r="D49">
        <v>120</v>
      </c>
      <c r="E49">
        <v>332</v>
      </c>
      <c r="F49">
        <v>72</v>
      </c>
      <c r="G49">
        <v>16</v>
      </c>
      <c r="H49">
        <v>6</v>
      </c>
      <c r="I49">
        <v>15</v>
      </c>
      <c r="J49">
        <v>3</v>
      </c>
      <c r="Q49" s="13">
        <f>B20/(B20+E20)</f>
        <v>0.78709746826364479</v>
      </c>
      <c r="R49" s="13">
        <f t="shared" si="0"/>
        <v>0.21290253173635521</v>
      </c>
      <c r="S49" s="13"/>
      <c r="T49" s="13"/>
      <c r="U49" s="13">
        <f t="shared" si="1"/>
        <v>0.9571150097465887</v>
      </c>
      <c r="V49" s="13">
        <f t="shared" si="2"/>
        <v>4.2884990253411304E-2</v>
      </c>
      <c r="W49" s="13"/>
      <c r="Y49" s="14">
        <f t="shared" si="17"/>
        <v>0.82236456460132334</v>
      </c>
      <c r="Z49" s="14">
        <f t="shared" si="19"/>
        <v>4.9644999445795559</v>
      </c>
      <c r="AA49" s="14"/>
      <c r="AC49" s="21">
        <f t="shared" si="3"/>
        <v>305.09725346709098</v>
      </c>
      <c r="AD49" s="21">
        <f t="shared" si="4"/>
        <v>98.683747752158808</v>
      </c>
      <c r="AE49" s="21">
        <f t="shared" si="5"/>
        <v>273.02503544763937</v>
      </c>
      <c r="AF49" s="21">
        <f t="shared" si="6"/>
        <v>59.210248651295281</v>
      </c>
      <c r="AG49" s="21">
        <f t="shared" si="7"/>
        <v>79.431999113272894</v>
      </c>
      <c r="AH49" s="21">
        <f t="shared" si="8"/>
        <v>29.786999667477335</v>
      </c>
      <c r="AI49" s="21">
        <f t="shared" si="9"/>
        <v>74.467499168693337</v>
      </c>
      <c r="AJ49" s="21">
        <f t="shared" si="10"/>
        <v>14.893499833738668</v>
      </c>
      <c r="AP49">
        <f t="shared" si="11"/>
        <v>0.74956969313911082</v>
      </c>
      <c r="AQ49">
        <f t="shared" si="12"/>
        <v>0.25043030686088918</v>
      </c>
      <c r="AR49">
        <f t="shared" si="13"/>
        <v>0.14445175143281472</v>
      </c>
      <c r="AS49">
        <f t="shared" si="14"/>
        <v>0.67737336182520991</v>
      </c>
      <c r="AT49">
        <f t="shared" si="15"/>
        <v>0.57681417733938967</v>
      </c>
      <c r="AU49">
        <f t="shared" si="16"/>
        <v>0.90368296373943424</v>
      </c>
    </row>
    <row r="50" spans="1:47" x14ac:dyDescent="0.3">
      <c r="A50" t="s">
        <v>14</v>
      </c>
      <c r="B50">
        <v>2015</v>
      </c>
      <c r="C50">
        <v>380</v>
      </c>
      <c r="D50">
        <v>83</v>
      </c>
      <c r="E50">
        <v>337</v>
      </c>
      <c r="F50">
        <v>47</v>
      </c>
      <c r="G50">
        <v>40</v>
      </c>
      <c r="H50">
        <v>14</v>
      </c>
      <c r="I50">
        <v>39</v>
      </c>
      <c r="J50">
        <v>12</v>
      </c>
      <c r="Q50" s="13">
        <f>B21/(B21+E21)</f>
        <v>0.69897880835380832</v>
      </c>
      <c r="R50" s="13">
        <f t="shared" si="0"/>
        <v>0.30102119164619168</v>
      </c>
      <c r="S50" s="13"/>
      <c r="T50" s="13"/>
      <c r="U50" s="13">
        <f t="shared" si="1"/>
        <v>0.89555125725338491</v>
      </c>
      <c r="V50" s="13">
        <f t="shared" si="2"/>
        <v>0.10444874274661509</v>
      </c>
      <c r="W50" s="13"/>
      <c r="Y50" s="14">
        <f t="shared" si="17"/>
        <v>0.78050117477088321</v>
      </c>
      <c r="Z50" s="14">
        <f t="shared" si="19"/>
        <v>2.881999186686687</v>
      </c>
      <c r="AA50" s="14"/>
      <c r="AC50" s="21">
        <f t="shared" si="3"/>
        <v>296.59044641293565</v>
      </c>
      <c r="AD50" s="21">
        <f t="shared" si="4"/>
        <v>64.781597505983314</v>
      </c>
      <c r="AE50" s="21">
        <f t="shared" si="5"/>
        <v>263.02889589778766</v>
      </c>
      <c r="AF50" s="21">
        <f t="shared" si="6"/>
        <v>36.683555214231511</v>
      </c>
      <c r="AG50" s="21">
        <f t="shared" si="7"/>
        <v>115.27996746746749</v>
      </c>
      <c r="AH50" s="21">
        <f t="shared" si="8"/>
        <v>40.347988613613616</v>
      </c>
      <c r="AI50" s="21">
        <f t="shared" si="9"/>
        <v>112.39796828078079</v>
      </c>
      <c r="AJ50" s="21">
        <f t="shared" si="10"/>
        <v>34.58399024024024</v>
      </c>
      <c r="AP50">
        <f t="shared" si="11"/>
        <v>0.79665457230252035</v>
      </c>
      <c r="AQ50">
        <f t="shared" si="12"/>
        <v>0.20334542769747949</v>
      </c>
      <c r="AR50">
        <f t="shared" si="13"/>
        <v>0.13784825039549661</v>
      </c>
      <c r="AS50">
        <f t="shared" si="14"/>
        <v>0.72616414734732759</v>
      </c>
      <c r="AT50">
        <f t="shared" si="15"/>
        <v>0.67790189313022475</v>
      </c>
      <c r="AU50">
        <f t="shared" si="16"/>
        <v>0.91151695175556602</v>
      </c>
    </row>
    <row r="51" spans="1:47" x14ac:dyDescent="0.3">
      <c r="A51" t="s">
        <v>14</v>
      </c>
      <c r="B51">
        <v>2016</v>
      </c>
      <c r="C51">
        <v>349</v>
      </c>
      <c r="D51">
        <v>92</v>
      </c>
      <c r="E51">
        <v>302</v>
      </c>
      <c r="F51">
        <v>49</v>
      </c>
      <c r="G51">
        <v>7</v>
      </c>
      <c r="H51">
        <v>3</v>
      </c>
      <c r="I51">
        <v>4</v>
      </c>
      <c r="J51">
        <v>3</v>
      </c>
      <c r="Q51" s="13">
        <f>B22/(B22+E22)</f>
        <v>0.72555149017796883</v>
      </c>
      <c r="R51" s="13">
        <f t="shared" si="0"/>
        <v>0.27444850982203117</v>
      </c>
      <c r="S51" s="13"/>
      <c r="T51" s="13"/>
      <c r="U51" s="13">
        <f t="shared" si="1"/>
        <v>0.97782705099778267</v>
      </c>
      <c r="V51" s="13">
        <f t="shared" si="2"/>
        <v>2.2172949002217335E-2</v>
      </c>
      <c r="W51" s="13"/>
      <c r="Y51" s="14">
        <f t="shared" si="17"/>
        <v>0.74200390492123347</v>
      </c>
      <c r="Z51" s="14">
        <f t="shared" si="19"/>
        <v>12.377627792973584</v>
      </c>
      <c r="AA51" s="14"/>
      <c r="AC51" s="21">
        <f t="shared" si="3"/>
        <v>258.95936281751051</v>
      </c>
      <c r="AD51" s="21">
        <f t="shared" si="4"/>
        <v>68.264359252753479</v>
      </c>
      <c r="AE51" s="21">
        <f t="shared" si="5"/>
        <v>224.08517928621251</v>
      </c>
      <c r="AF51" s="21">
        <f t="shared" si="6"/>
        <v>36.35819134114044</v>
      </c>
      <c r="AG51" s="21">
        <f t="shared" si="7"/>
        <v>86.643394550815088</v>
      </c>
      <c r="AH51" s="21">
        <f t="shared" si="8"/>
        <v>37.132883378920752</v>
      </c>
      <c r="AI51" s="21">
        <f t="shared" si="9"/>
        <v>49.510511171894336</v>
      </c>
      <c r="AJ51" s="21">
        <f t="shared" si="10"/>
        <v>37.132883378920752</v>
      </c>
      <c r="AP51">
        <f t="shared" si="11"/>
        <v>0.76630323141535639</v>
      </c>
      <c r="AQ51">
        <f t="shared" si="12"/>
        <v>0.23369676858464364</v>
      </c>
      <c r="AR51">
        <f t="shared" si="13"/>
        <v>0.16295138518860583</v>
      </c>
      <c r="AS51">
        <f t="shared" si="14"/>
        <v>0.60664232917540351</v>
      </c>
      <c r="AT51">
        <f t="shared" si="15"/>
        <v>0.69727701489199567</v>
      </c>
      <c r="AU51">
        <f t="shared" si="16"/>
        <v>0.7916478807676951</v>
      </c>
    </row>
    <row r="52" spans="1:47" x14ac:dyDescent="0.3">
      <c r="A52" t="s">
        <v>14</v>
      </c>
      <c r="B52">
        <v>2017</v>
      </c>
      <c r="C52">
        <v>109</v>
      </c>
      <c r="D52">
        <v>29</v>
      </c>
      <c r="E52">
        <v>87</v>
      </c>
      <c r="F52">
        <v>11</v>
      </c>
      <c r="G52">
        <v>64</v>
      </c>
      <c r="H52">
        <v>11</v>
      </c>
      <c r="I52">
        <v>58</v>
      </c>
      <c r="J52">
        <v>9</v>
      </c>
      <c r="Q52" s="13">
        <f>B23/(B23+E23)</f>
        <v>0.70679084569663497</v>
      </c>
      <c r="R52" s="13">
        <f t="shared" si="0"/>
        <v>0.29320915430336503</v>
      </c>
      <c r="S52" s="13"/>
      <c r="T52" s="13"/>
      <c r="U52" s="13">
        <f t="shared" si="1"/>
        <v>0.647887323943662</v>
      </c>
      <c r="V52" s="13">
        <f t="shared" si="2"/>
        <v>0.352112676056338</v>
      </c>
      <c r="W52" s="13"/>
      <c r="Y52" s="14">
        <f t="shared" si="17"/>
        <v>1.0909163053143713</v>
      </c>
      <c r="Z52" s="14">
        <f t="shared" si="19"/>
        <v>0.83271399822155678</v>
      </c>
      <c r="AA52" s="14"/>
      <c r="AC52" s="21">
        <f t="shared" si="3"/>
        <v>118.90987727926648</v>
      </c>
      <c r="AD52" s="21">
        <f t="shared" si="4"/>
        <v>31.636572854116768</v>
      </c>
      <c r="AE52" s="21">
        <f t="shared" si="5"/>
        <v>94.909718562350307</v>
      </c>
      <c r="AF52" s="21">
        <f t="shared" si="6"/>
        <v>12.000079358458084</v>
      </c>
      <c r="AG52" s="21">
        <f t="shared" si="7"/>
        <v>53.293695886179634</v>
      </c>
      <c r="AH52" s="21">
        <f t="shared" si="8"/>
        <v>9.1598539804371253</v>
      </c>
      <c r="AI52" s="21">
        <f t="shared" si="9"/>
        <v>48.297411896850292</v>
      </c>
      <c r="AJ52" s="21">
        <f t="shared" si="10"/>
        <v>7.4944259839940113</v>
      </c>
      <c r="AP52">
        <f t="shared" si="11"/>
        <v>0.80846747964998167</v>
      </c>
      <c r="AQ52">
        <f t="shared" si="12"/>
        <v>0.19153252035001825</v>
      </c>
      <c r="AR52">
        <f t="shared" si="13"/>
        <v>9.1523499260338453E-2</v>
      </c>
      <c r="AS52">
        <f t="shared" si="14"/>
        <v>0.672333945817843</v>
      </c>
      <c r="AT52">
        <f t="shared" si="15"/>
        <v>0.47784835229590678</v>
      </c>
      <c r="AU52">
        <f t="shared" si="16"/>
        <v>0.83161532497129453</v>
      </c>
    </row>
    <row r="53" spans="1:47" x14ac:dyDescent="0.3">
      <c r="A53" t="s">
        <v>14</v>
      </c>
      <c r="B53">
        <v>2018</v>
      </c>
      <c r="C53">
        <v>197</v>
      </c>
      <c r="D53">
        <f>78+7</f>
        <v>85</v>
      </c>
      <c r="E53">
        <v>151</v>
      </c>
      <c r="F53">
        <v>50</v>
      </c>
      <c r="G53">
        <v>59</v>
      </c>
      <c r="H53">
        <v>25</v>
      </c>
      <c r="I53">
        <v>49</v>
      </c>
      <c r="J53">
        <v>17</v>
      </c>
      <c r="Q53" s="13">
        <f>B24/(B24+E24)</f>
        <v>0.47983628265318407</v>
      </c>
      <c r="R53" s="13">
        <f t="shared" si="0"/>
        <v>0.52016371734681588</v>
      </c>
      <c r="S53" s="13"/>
      <c r="T53" s="13"/>
      <c r="U53" s="13">
        <f t="shared" si="1"/>
        <v>0.77049180327868849</v>
      </c>
      <c r="V53" s="13">
        <f t="shared" si="2"/>
        <v>0.22950819672131151</v>
      </c>
      <c r="W53" s="13"/>
      <c r="Y53" s="14">
        <f t="shared" si="17"/>
        <v>0.62276623918817509</v>
      </c>
      <c r="Z53" s="14">
        <f t="shared" si="19"/>
        <v>2.2664276255825544</v>
      </c>
      <c r="AA53" s="14"/>
      <c r="AC53" s="21">
        <f t="shared" si="3"/>
        <v>122.6849491200705</v>
      </c>
      <c r="AD53" s="21">
        <f t="shared" si="4"/>
        <v>52.93513033099488</v>
      </c>
      <c r="AE53" s="21">
        <f t="shared" si="5"/>
        <v>94.03770211741444</v>
      </c>
      <c r="AF53" s="21">
        <f t="shared" si="6"/>
        <v>31.138311959408753</v>
      </c>
      <c r="AG53" s="21">
        <f t="shared" si="7"/>
        <v>133.71922990937071</v>
      </c>
      <c r="AH53" s="21">
        <f t="shared" si="8"/>
        <v>56.66069063956386</v>
      </c>
      <c r="AI53" s="21">
        <f t="shared" si="9"/>
        <v>111.05495365354517</v>
      </c>
      <c r="AJ53" s="21">
        <f t="shared" si="10"/>
        <v>38.529269634903422</v>
      </c>
      <c r="AP53">
        <f t="shared" si="11"/>
        <v>0.70055786620065896</v>
      </c>
      <c r="AQ53">
        <f t="shared" si="12"/>
        <v>0.29944213379934081</v>
      </c>
      <c r="AR53">
        <f t="shared" si="13"/>
        <v>0.19034858359101686</v>
      </c>
      <c r="AS53">
        <f t="shared" si="14"/>
        <v>0.56036244746163821</v>
      </c>
      <c r="AT53">
        <f t="shared" si="15"/>
        <v>0.63567735500633094</v>
      </c>
      <c r="AU53">
        <f t="shared" si="16"/>
        <v>0.79988031609816379</v>
      </c>
    </row>
    <row r="54" spans="1:47" x14ac:dyDescent="0.3">
      <c r="A54" t="s">
        <v>14</v>
      </c>
      <c r="B54">
        <v>2019</v>
      </c>
      <c r="C54">
        <v>232</v>
      </c>
      <c r="D54">
        <v>97</v>
      </c>
      <c r="E54">
        <v>177</v>
      </c>
      <c r="F54">
        <v>59</v>
      </c>
      <c r="G54">
        <v>22</v>
      </c>
      <c r="H54">
        <v>9</v>
      </c>
      <c r="I54">
        <v>15</v>
      </c>
      <c r="J54">
        <v>7</v>
      </c>
      <c r="Q54" s="13">
        <f>B25/(B25+E25)</f>
        <v>0.59121094347706338</v>
      </c>
      <c r="R54" s="13">
        <f t="shared" ref="R54:R56" si="20">1-Q54</f>
        <v>0.40878905652293662</v>
      </c>
      <c r="S54" s="13"/>
      <c r="T54" s="13"/>
      <c r="U54" s="13">
        <f>SUM(C54,D54)/SUM(C54,D54,G54,H54)</f>
        <v>0.91388888888888886</v>
      </c>
      <c r="V54" s="13">
        <f t="shared" ref="V54:V56" si="21">1-U54</f>
        <v>8.6111111111111138E-2</v>
      </c>
      <c r="W54" s="13"/>
      <c r="Y54" s="14">
        <f>Q54/U54</f>
        <v>0.64691774970134597</v>
      </c>
      <c r="Z54" s="14">
        <f t="shared" ref="Z54" si="22">R54/V54</f>
        <v>4.747227753169585</v>
      </c>
      <c r="AA54" s="14"/>
      <c r="AC54" s="21">
        <f>$Y54*C54</f>
        <v>150.08491793071227</v>
      </c>
      <c r="AD54" s="21">
        <f t="shared" ref="AD54:AD56" si="23">$Y54*D54</f>
        <v>62.751021721030561</v>
      </c>
      <c r="AE54" s="21">
        <f t="shared" ref="AE54:AE56" si="24">$Y54*E54</f>
        <v>114.50444169713823</v>
      </c>
      <c r="AF54" s="21">
        <f t="shared" ref="AF54:AF56" si="25">$Y54*F54</f>
        <v>38.168147232379411</v>
      </c>
      <c r="AG54" s="21">
        <f t="shared" ref="AG54:AG56" si="26">$Z54*G54</f>
        <v>104.43901056973087</v>
      </c>
      <c r="AH54" s="21">
        <f t="shared" ref="AH54:AH56" si="27">$Z54*H54</f>
        <v>42.725049778526262</v>
      </c>
      <c r="AI54" s="21">
        <f t="shared" ref="AI54:AI56" si="28">$Z54*I54</f>
        <v>71.208416297543778</v>
      </c>
      <c r="AJ54" s="21">
        <f t="shared" ref="AJ54:AJ56" si="29">$Z54*J54</f>
        <v>33.230594272187098</v>
      </c>
      <c r="AP54">
        <f>(AC54+AG54)/($AC54+$AD54+$AG54+$AH54)</f>
        <v>0.70701091250123105</v>
      </c>
      <c r="AQ54">
        <f t="shared" ref="AQ54:AQ56" si="30">(AD54+AH54)/($AC54+$AD54+$AG54+$AH54)</f>
        <v>0.29298908749876901</v>
      </c>
      <c r="AR54">
        <f t="shared" ref="AR54:AR56" si="31">(AF54+AJ54)/(AC54+AD54+AG54+AH54)</f>
        <v>0.19832983751268479</v>
      </c>
      <c r="AS54">
        <f t="shared" ref="AS54:AS56" si="32">(AE54+AI54)/(AC54+AD54+AG54+AH54)</f>
        <v>0.51586904998522787</v>
      </c>
      <c r="AT54">
        <f t="shared" ref="AT54:AT56" si="33">(AJ54+AF54)/(AD54+AH54)</f>
        <v>0.67691885457514889</v>
      </c>
      <c r="AU54">
        <f t="shared" ref="AU54:AU56" si="34">(AI54+AE54)/(AC54+AG54)</f>
        <v>0.72964793168497188</v>
      </c>
    </row>
    <row r="55" spans="1:47" x14ac:dyDescent="0.3">
      <c r="A55" t="s">
        <v>14</v>
      </c>
      <c r="B55">
        <v>2020</v>
      </c>
      <c r="C55">
        <v>160</v>
      </c>
      <c r="D55">
        <v>89</v>
      </c>
      <c r="E55">
        <v>142</v>
      </c>
      <c r="F55">
        <v>50</v>
      </c>
      <c r="G55">
        <v>11</v>
      </c>
      <c r="H55">
        <v>5</v>
      </c>
      <c r="I55">
        <v>8</v>
      </c>
      <c r="J55">
        <v>5</v>
      </c>
      <c r="Q55" s="13">
        <f>B26/(B26+E26)</f>
        <v>0.56535247482322692</v>
      </c>
      <c r="R55" s="13">
        <f t="shared" si="20"/>
        <v>0.43464752517677308</v>
      </c>
      <c r="S55" s="13"/>
      <c r="T55" s="13"/>
      <c r="U55" s="13">
        <f t="shared" ref="U55:U56" si="35">SUM(C55,D55)/SUM(C55,D55,G55,H55)</f>
        <v>0.93962264150943398</v>
      </c>
      <c r="V55" s="13">
        <f t="shared" si="21"/>
        <v>6.0377358490566024E-2</v>
      </c>
      <c r="W55" s="13"/>
      <c r="Y55" s="14">
        <f>Q55/U55</f>
        <v>0.60168034469138609</v>
      </c>
      <c r="Z55" s="14">
        <f>R55/V55</f>
        <v>7.1988496357403058</v>
      </c>
      <c r="AA55" s="14"/>
      <c r="AC55" s="21">
        <f t="shared" ref="AC55:AC56" si="36">$Y55*C55</f>
        <v>96.268855150621775</v>
      </c>
      <c r="AD55" s="21">
        <f t="shared" si="23"/>
        <v>53.549550677533361</v>
      </c>
      <c r="AE55" s="21">
        <f t="shared" si="24"/>
        <v>85.438608946176828</v>
      </c>
      <c r="AF55" s="21">
        <f t="shared" si="25"/>
        <v>30.084017234569306</v>
      </c>
      <c r="AG55" s="21">
        <f t="shared" si="26"/>
        <v>79.187345993143367</v>
      </c>
      <c r="AH55" s="21">
        <f t="shared" si="27"/>
        <v>35.994248178701525</v>
      </c>
      <c r="AI55" s="21">
        <f t="shared" si="28"/>
        <v>57.590797085922446</v>
      </c>
      <c r="AJ55" s="21">
        <f t="shared" si="29"/>
        <v>35.994248178701525</v>
      </c>
      <c r="AP55">
        <f>(AC55+AG55)/($AC55+$AD55+$AG55+$AH55)</f>
        <v>0.66209887224062325</v>
      </c>
      <c r="AQ55">
        <f t="shared" si="30"/>
        <v>0.33790112775937692</v>
      </c>
      <c r="AR55">
        <f t="shared" si="31"/>
        <v>0.24935194495573898</v>
      </c>
      <c r="AS55">
        <f t="shared" si="32"/>
        <v>0.53973360766829914</v>
      </c>
      <c r="AT55">
        <f t="shared" si="33"/>
        <v>0.73794351208352638</v>
      </c>
      <c r="AU55">
        <f t="shared" si="34"/>
        <v>0.81518581332388451</v>
      </c>
    </row>
    <row r="56" spans="1:47" x14ac:dyDescent="0.3">
      <c r="A56" t="s">
        <v>14</v>
      </c>
      <c r="B56">
        <v>2021</v>
      </c>
      <c r="C56">
        <v>130</v>
      </c>
      <c r="D56">
        <v>32</v>
      </c>
      <c r="E56">
        <v>118</v>
      </c>
      <c r="F56">
        <v>21</v>
      </c>
      <c r="G56">
        <v>5</v>
      </c>
      <c r="H56">
        <v>3</v>
      </c>
      <c r="I56">
        <v>4</v>
      </c>
      <c r="J56">
        <v>2</v>
      </c>
      <c r="Q56" s="13">
        <f>B27/(B27+E27)</f>
        <v>0.66431436063550831</v>
      </c>
      <c r="R56" s="13">
        <f t="shared" si="20"/>
        <v>0.33568563936449169</v>
      </c>
      <c r="S56" s="13"/>
      <c r="T56" s="13"/>
      <c r="U56" s="13">
        <f t="shared" si="35"/>
        <v>0.95294117647058818</v>
      </c>
      <c r="V56" s="13">
        <f t="shared" si="21"/>
        <v>4.705882352941182E-2</v>
      </c>
      <c r="W56" s="13"/>
      <c r="Y56" s="14">
        <f>Q56/U56</f>
        <v>0.69712000807429886</v>
      </c>
      <c r="Z56" s="14">
        <f>R56/V56</f>
        <v>7.1333198364954402</v>
      </c>
      <c r="AA56" s="14"/>
      <c r="AC56" s="21">
        <f t="shared" si="36"/>
        <v>90.625601049658854</v>
      </c>
      <c r="AD56" s="21">
        <f t="shared" si="23"/>
        <v>22.307840258377563</v>
      </c>
      <c r="AE56" s="21">
        <f t="shared" si="24"/>
        <v>82.260160952767265</v>
      </c>
      <c r="AF56" s="21">
        <f t="shared" si="25"/>
        <v>14.639520169560276</v>
      </c>
      <c r="AG56" s="21">
        <f t="shared" si="26"/>
        <v>35.666599182477199</v>
      </c>
      <c r="AH56" s="21">
        <f t="shared" si="27"/>
        <v>21.399959509486322</v>
      </c>
      <c r="AI56" s="21">
        <f t="shared" si="28"/>
        <v>28.533279345981761</v>
      </c>
      <c r="AJ56" s="21">
        <f t="shared" si="29"/>
        <v>14.26663967299088</v>
      </c>
      <c r="AP56">
        <f t="shared" ref="AP56" si="37">(AC56+AG56)/($AC56+$AD56+$AG56+$AH56)</f>
        <v>0.74289529548315347</v>
      </c>
      <c r="AQ56">
        <f t="shared" si="30"/>
        <v>0.25710470451684647</v>
      </c>
      <c r="AR56">
        <f t="shared" si="31"/>
        <v>0.17003623436794801</v>
      </c>
      <c r="AS56">
        <f t="shared" si="32"/>
        <v>0.65172611940440628</v>
      </c>
      <c r="AT56">
        <f t="shared" si="33"/>
        <v>0.66135014793868385</v>
      </c>
      <c r="AU56">
        <f t="shared" si="34"/>
        <v>0.8772785658583907</v>
      </c>
    </row>
    <row r="57" spans="1:47" x14ac:dyDescent="0.3">
      <c r="A57" t="s">
        <v>14</v>
      </c>
      <c r="B57">
        <v>2022</v>
      </c>
      <c r="C57">
        <v>229</v>
      </c>
      <c r="D57">
        <v>54</v>
      </c>
      <c r="E57">
        <v>220</v>
      </c>
      <c r="F57">
        <v>31</v>
      </c>
      <c r="G57">
        <v>26</v>
      </c>
      <c r="H57">
        <v>7</v>
      </c>
      <c r="I57">
        <v>12</v>
      </c>
      <c r="J57">
        <v>7</v>
      </c>
      <c r="Q57" s="13">
        <f>B28/(B28+E28)</f>
        <v>0.59824004616272364</v>
      </c>
      <c r="R57" s="13">
        <f t="shared" ref="R57" si="38">1-Q57</f>
        <v>0.40175995383727636</v>
      </c>
      <c r="S57" s="13"/>
      <c r="T57" s="13"/>
      <c r="U57" s="13">
        <f t="shared" ref="U57" si="39">SUM(C57,D57)/SUM(C57,D57,G57,H57)</f>
        <v>0.89556962025316456</v>
      </c>
      <c r="V57" s="13">
        <f t="shared" ref="V57" si="40">1-U57</f>
        <v>0.10443037974683544</v>
      </c>
      <c r="W57" s="13"/>
      <c r="Y57" s="14">
        <f>Q57/U57</f>
        <v>0.66799948617463134</v>
      </c>
      <c r="Z57" s="14">
        <f>R57/V57</f>
        <v>3.8471559215933131</v>
      </c>
      <c r="AA57" s="14"/>
      <c r="AC57" s="21">
        <f t="shared" ref="AC57" si="41">$Y57*C57</f>
        <v>152.97188233399058</v>
      </c>
      <c r="AD57" s="21">
        <f t="shared" ref="AD57" si="42">$Y57*D57</f>
        <v>36.07197225343009</v>
      </c>
      <c r="AE57" s="21">
        <f t="shared" ref="AE57" si="43">$Y57*E57</f>
        <v>146.95988695841891</v>
      </c>
      <c r="AF57" s="21">
        <f t="shared" ref="AF57" si="44">$Y57*F57</f>
        <v>20.70798407141357</v>
      </c>
      <c r="AG57" s="21">
        <f t="shared" ref="AG57" si="45">$Z57*G57</f>
        <v>100.02605396142614</v>
      </c>
      <c r="AH57" s="21">
        <f t="shared" ref="AH57" si="46">$Z57*H57</f>
        <v>26.930091451153192</v>
      </c>
      <c r="AI57" s="21">
        <f t="shared" ref="AI57" si="47">$Z57*I57</f>
        <v>46.165871059119759</v>
      </c>
      <c r="AJ57" s="21">
        <f t="shared" ref="AJ57" si="48">$Z57*J57</f>
        <v>26.930091451153192</v>
      </c>
      <c r="AP57">
        <f t="shared" ref="AP57" si="49">(AC57+AG57)/($AC57+$AD57+$AG57+$AH57)</f>
        <v>0.80062638068169845</v>
      </c>
      <c r="AQ57">
        <f t="shared" ref="AQ57" si="50">(AD57+AH57)/($AC57+$AD57+$AG57+$AH57)</f>
        <v>0.19937361931830153</v>
      </c>
      <c r="AR57">
        <f t="shared" ref="AR57" si="51">(AF57+AJ57)/(AC57+AD57+AG57+AH57)</f>
        <v>0.15075340355242647</v>
      </c>
      <c r="AS57">
        <f t="shared" ref="AS57" si="52">(AE57+AI57)/(AC57+AD57+AG57+AH57)</f>
        <v>0.61115746208081856</v>
      </c>
      <c r="AT57">
        <f t="shared" ref="AT57" si="53">(AJ57+AF57)/(AD57+AH57)</f>
        <v>0.75613516004716508</v>
      </c>
      <c r="AU57">
        <f t="shared" ref="AU57" si="54">(AI57+AE57)/(AC57+AG57)</f>
        <v>0.76334914365480266</v>
      </c>
    </row>
    <row r="59" spans="1:47" x14ac:dyDescent="0.3">
      <c r="C59" s="31" t="s">
        <v>107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Q59" t="s">
        <v>76</v>
      </c>
      <c r="U59" t="s">
        <v>77</v>
      </c>
      <c r="Y59" s="29" t="s">
        <v>79</v>
      </c>
      <c r="Z59" s="29"/>
      <c r="AC59" s="27" t="s">
        <v>105</v>
      </c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P59" s="27" t="s">
        <v>84</v>
      </c>
      <c r="AQ59" s="27"/>
      <c r="AR59" s="27"/>
      <c r="AS59" s="27"/>
      <c r="AT59" s="27"/>
      <c r="AU59" s="27"/>
    </row>
    <row r="60" spans="1:47" x14ac:dyDescent="0.3">
      <c r="C60" s="27" t="s">
        <v>66</v>
      </c>
      <c r="D60" s="27"/>
      <c r="E60" s="27"/>
      <c r="F60" s="27"/>
      <c r="G60" s="27" t="s">
        <v>67</v>
      </c>
      <c r="H60" s="27"/>
      <c r="I60" s="27"/>
      <c r="J60" s="27"/>
      <c r="K60" s="27" t="s">
        <v>68</v>
      </c>
      <c r="L60" s="27"/>
      <c r="M60" s="27"/>
      <c r="N60" s="27"/>
      <c r="Q60" t="s">
        <v>24</v>
      </c>
      <c r="R60" t="s">
        <v>20</v>
      </c>
      <c r="S60" t="s">
        <v>78</v>
      </c>
      <c r="U60" t="s">
        <v>24</v>
      </c>
      <c r="V60" t="s">
        <v>20</v>
      </c>
      <c r="W60" t="s">
        <v>78</v>
      </c>
      <c r="Y60" t="s">
        <v>24</v>
      </c>
      <c r="Z60" t="s">
        <v>20</v>
      </c>
      <c r="AA60" t="s">
        <v>78</v>
      </c>
      <c r="AC60" s="27" t="s">
        <v>24</v>
      </c>
      <c r="AD60" s="27"/>
      <c r="AE60" s="27"/>
      <c r="AF60" s="27"/>
      <c r="AG60" s="27" t="s">
        <v>20</v>
      </c>
      <c r="AH60" s="27"/>
      <c r="AI60" s="27"/>
      <c r="AJ60" s="28"/>
      <c r="AK60" s="27" t="s">
        <v>78</v>
      </c>
      <c r="AL60" s="27"/>
      <c r="AM60" s="27"/>
      <c r="AN60" s="28"/>
      <c r="AP60" s="27"/>
      <c r="AQ60" s="27"/>
      <c r="AR60" s="27"/>
      <c r="AS60" s="27"/>
    </row>
    <row r="61" spans="1:47" x14ac:dyDescent="0.3">
      <c r="A61" s="2" t="s">
        <v>26</v>
      </c>
      <c r="B61" s="2" t="s">
        <v>0</v>
      </c>
      <c r="C61" s="2" t="s">
        <v>62</v>
      </c>
      <c r="D61" s="2" t="s">
        <v>63</v>
      </c>
      <c r="E61" s="2" t="s">
        <v>64</v>
      </c>
      <c r="F61" s="2" t="s">
        <v>65</v>
      </c>
      <c r="G61" s="2" t="s">
        <v>62</v>
      </c>
      <c r="H61" s="2" t="s">
        <v>63</v>
      </c>
      <c r="I61" s="2" t="s">
        <v>64</v>
      </c>
      <c r="J61" s="2" t="s">
        <v>65</v>
      </c>
      <c r="K61" s="2" t="s">
        <v>62</v>
      </c>
      <c r="L61" s="2" t="s">
        <v>63</v>
      </c>
      <c r="M61" s="2" t="s">
        <v>64</v>
      </c>
      <c r="N61" s="2" t="s">
        <v>65</v>
      </c>
      <c r="Q61" s="13"/>
      <c r="R61" s="13"/>
      <c r="S61" s="13"/>
      <c r="T61" s="13"/>
      <c r="U61" s="13"/>
      <c r="V61" s="13"/>
      <c r="W61" s="13"/>
      <c r="AC61" s="2" t="s">
        <v>62</v>
      </c>
      <c r="AD61" s="2" t="s">
        <v>63</v>
      </c>
      <c r="AE61" s="2" t="s">
        <v>64</v>
      </c>
      <c r="AF61" s="2" t="s">
        <v>65</v>
      </c>
      <c r="AG61" s="2" t="s">
        <v>62</v>
      </c>
      <c r="AH61" s="2" t="s">
        <v>63</v>
      </c>
      <c r="AI61" s="2" t="s">
        <v>64</v>
      </c>
      <c r="AJ61" s="12" t="s">
        <v>65</v>
      </c>
      <c r="AK61" s="2" t="s">
        <v>62</v>
      </c>
      <c r="AL61" s="2" t="s">
        <v>63</v>
      </c>
      <c r="AM61" s="2" t="s">
        <v>64</v>
      </c>
      <c r="AN61" s="12" t="s">
        <v>65</v>
      </c>
      <c r="AP61" s="2" t="s">
        <v>81</v>
      </c>
      <c r="AQ61" s="2" t="s">
        <v>82</v>
      </c>
      <c r="AR61" s="2" t="s">
        <v>83</v>
      </c>
      <c r="AS61" s="2" t="s">
        <v>85</v>
      </c>
      <c r="AT61" s="2" t="s">
        <v>86</v>
      </c>
      <c r="AU61" s="2" t="s">
        <v>87</v>
      </c>
    </row>
    <row r="62" spans="1:47" x14ac:dyDescent="0.3">
      <c r="A62" t="s">
        <v>16</v>
      </c>
      <c r="B62">
        <v>1998</v>
      </c>
      <c r="C62">
        <v>1</v>
      </c>
      <c r="D62">
        <v>1</v>
      </c>
      <c r="E62">
        <v>1</v>
      </c>
      <c r="F62">
        <v>1</v>
      </c>
      <c r="G62">
        <v>0</v>
      </c>
      <c r="H62">
        <v>1</v>
      </c>
      <c r="I62">
        <v>0</v>
      </c>
      <c r="J62">
        <v>0</v>
      </c>
      <c r="K62">
        <v>4</v>
      </c>
      <c r="L62">
        <v>41</v>
      </c>
      <c r="M62">
        <v>3</v>
      </c>
      <c r="N62">
        <v>34</v>
      </c>
      <c r="Q62" s="13">
        <f>B4/($B4+$C4+$D4)</f>
        <v>0.61750216076058773</v>
      </c>
      <c r="R62" s="13">
        <f>C4/($B4+$C4+$D4)</f>
        <v>0.20570440795159897</v>
      </c>
      <c r="S62" s="13">
        <f>D4/($B4+$C4+$D4)</f>
        <v>0.1767934312878133</v>
      </c>
      <c r="T62" s="13"/>
      <c r="U62" s="13">
        <f t="shared" ref="U62:U81" si="55">(C62+D62)/($C62+$D62+$G62+$H62+$K62+$L62)</f>
        <v>4.1666666666666664E-2</v>
      </c>
      <c r="V62" s="13">
        <f t="shared" ref="V62:V81" si="56">(G62+H62)/($C62+$D62+$G62+$H62+$K62+$L62)</f>
        <v>2.0833333333333332E-2</v>
      </c>
      <c r="W62" s="13">
        <f t="shared" ref="W62:W81" si="57">(L62+K62)/($C62+$D62+$G62+$H62+$K62+$L62)</f>
        <v>0.9375</v>
      </c>
      <c r="Y62" s="14">
        <f>Q62/U62</f>
        <v>14.820051858254105</v>
      </c>
      <c r="Z62" s="14">
        <f t="shared" ref="Z62:AA77" si="58">R62/V62</f>
        <v>9.8738115816767511</v>
      </c>
      <c r="AA62" s="14">
        <f t="shared" si="58"/>
        <v>0.18857966004033419</v>
      </c>
      <c r="AC62" s="21">
        <f t="shared" ref="AC62:AC81" si="59">$Y62*C62</f>
        <v>14.820051858254105</v>
      </c>
      <c r="AD62" s="21">
        <f t="shared" ref="AD62:AD81" si="60">$Y62*D62</f>
        <v>14.820051858254105</v>
      </c>
      <c r="AE62" s="21">
        <f t="shared" ref="AE62:AE81" si="61">$Y62*E62</f>
        <v>14.820051858254105</v>
      </c>
      <c r="AF62" s="21">
        <f t="shared" ref="AF62:AF81" si="62">$Y62*F62</f>
        <v>14.820051858254105</v>
      </c>
      <c r="AG62" s="21">
        <f t="shared" ref="AG62:AG81" si="63">$Z62*G62</f>
        <v>0</v>
      </c>
      <c r="AH62" s="21">
        <f t="shared" ref="AH62:AH81" si="64">$Z62*H62</f>
        <v>9.8738115816767511</v>
      </c>
      <c r="AI62" s="21">
        <f t="shared" ref="AI62:AI81" si="65">$Z62*I62</f>
        <v>0</v>
      </c>
      <c r="AJ62" s="21">
        <f t="shared" ref="AJ62:AJ81" si="66">$Z62*J62</f>
        <v>0</v>
      </c>
      <c r="AK62" s="21">
        <f t="shared" ref="AK62:AK81" si="67">$AA62*K62</f>
        <v>0.75431864016133676</v>
      </c>
      <c r="AL62" s="21">
        <f t="shared" ref="AL62:AL81" si="68">$AA62*L62</f>
        <v>7.7317660616537021</v>
      </c>
      <c r="AM62" s="21">
        <f t="shared" ref="AM62:AM81" si="69">$AA62*M62</f>
        <v>0.56573898012100254</v>
      </c>
      <c r="AN62" s="21">
        <f t="shared" ref="AN62:AN81" si="70">$AA62*N62</f>
        <v>6.4117084413713625</v>
      </c>
      <c r="AP62">
        <f>(AC62+AG62+AK62)/($AD62+$AC62+$AG62+$AH62+$AK62+$AL62)</f>
        <v>0.3244660520503217</v>
      </c>
      <c r="AQ62">
        <f>(AD62+AH62+AL62)/($AD62+$AC62+$AG62+$AH62+$AK62+$AL62)</f>
        <v>0.67553394794967836</v>
      </c>
      <c r="AR62">
        <f>(AF62+AJ62+AN62)/($AD62+$AC62+$AG62+$AH62+$AK62+$AL62)</f>
        <v>0.44232833957553058</v>
      </c>
      <c r="AS62">
        <f t="shared" ref="AS62:AS82" si="71">(AE62+AI62+AM62)/($AD62+$AC62+$AG62+$AH62+$AK62+$AL62)</f>
        <v>0.32053730913281475</v>
      </c>
      <c r="AT62">
        <f t="shared" ref="AT62:AT82" si="72">(AN62+AJ62+AF62)/(AD62+AH62+AL62)</f>
        <v>0.65478328797249485</v>
      </c>
      <c r="AU62">
        <f t="shared" ref="AU62:AU82" si="73">(AM62+AI62+AE62)/(AC62+AG62+AK62)</f>
        <v>0.98789166727094868</v>
      </c>
    </row>
    <row r="63" spans="1:47" x14ac:dyDescent="0.3">
      <c r="A63" t="s">
        <v>16</v>
      </c>
      <c r="B63">
        <v>1999</v>
      </c>
      <c r="C63">
        <v>2</v>
      </c>
      <c r="D63">
        <v>1</v>
      </c>
      <c r="E63">
        <v>2</v>
      </c>
      <c r="F63">
        <v>1</v>
      </c>
      <c r="G63">
        <v>11</v>
      </c>
      <c r="H63">
        <f>7+87</f>
        <v>94</v>
      </c>
      <c r="I63">
        <v>0</v>
      </c>
      <c r="J63">
        <v>82</v>
      </c>
      <c r="K63">
        <f>8+1</f>
        <v>9</v>
      </c>
      <c r="L63">
        <f>59+16+2</f>
        <v>77</v>
      </c>
      <c r="M63">
        <v>2</v>
      </c>
      <c r="N63">
        <v>40</v>
      </c>
      <c r="Q63" s="13">
        <f>B5/($B5+$C5+$D5)</f>
        <v>0.67790872080565678</v>
      </c>
      <c r="R63" s="13">
        <f>C5/($B5+$C5+$D5)</f>
        <v>0.15140347118062997</v>
      </c>
      <c r="S63" s="13">
        <f>D5/($B5+$C5+$D5)</f>
        <v>0.1706878080137133</v>
      </c>
      <c r="T63" s="13"/>
      <c r="U63" s="13">
        <f t="shared" si="55"/>
        <v>1.5463917525773196E-2</v>
      </c>
      <c r="V63" s="13">
        <f t="shared" si="56"/>
        <v>0.54123711340206182</v>
      </c>
      <c r="W63" s="13">
        <f t="shared" si="57"/>
        <v>0.44329896907216493</v>
      </c>
      <c r="Y63" s="14">
        <f t="shared" ref="Y63:AA82" si="74">Q63/U63</f>
        <v>43.838097278765801</v>
      </c>
      <c r="Z63" s="14">
        <f t="shared" si="58"/>
        <v>0.2797359372289735</v>
      </c>
      <c r="AA63" s="14">
        <f t="shared" si="58"/>
        <v>0.38503993900767886</v>
      </c>
      <c r="AC63" s="21">
        <f t="shared" si="59"/>
        <v>87.676194557531602</v>
      </c>
      <c r="AD63" s="21">
        <f t="shared" si="60"/>
        <v>43.838097278765801</v>
      </c>
      <c r="AE63" s="21">
        <f t="shared" si="61"/>
        <v>87.676194557531602</v>
      </c>
      <c r="AF63" s="21">
        <f t="shared" si="62"/>
        <v>43.838097278765801</v>
      </c>
      <c r="AG63" s="21">
        <f t="shared" si="63"/>
        <v>3.0770953095187084</v>
      </c>
      <c r="AH63" s="21">
        <f t="shared" si="64"/>
        <v>26.295178099523508</v>
      </c>
      <c r="AI63" s="21">
        <f t="shared" si="65"/>
        <v>0</v>
      </c>
      <c r="AJ63" s="21">
        <f t="shared" si="66"/>
        <v>22.938346852775826</v>
      </c>
      <c r="AK63" s="21">
        <f t="shared" si="67"/>
        <v>3.4653594510691095</v>
      </c>
      <c r="AL63" s="21">
        <f t="shared" si="68"/>
        <v>29.648075303591273</v>
      </c>
      <c r="AM63" s="21">
        <f t="shared" si="69"/>
        <v>0.77007987801535771</v>
      </c>
      <c r="AN63" s="21">
        <f t="shared" si="70"/>
        <v>15.401597560307154</v>
      </c>
      <c r="AP63">
        <f>(AC63+AG63+AK63)/($AD63+$AC63+$AG63+$AH63+$AK63+$AL63)</f>
        <v>0.48566314081504863</v>
      </c>
      <c r="AQ63">
        <f t="shared" ref="AQ63:AQ82" si="75">(AD63+AH63+AL63)/($AD63+$AC63+$AG63+$AH63+$AK63+$AL63)</f>
        <v>0.51433685918495153</v>
      </c>
      <c r="AR63">
        <f t="shared" ref="AR63:AR82" si="76">(AF63+AJ63+AN63)/($AD63+$AC63+$AG63+$AH63+$AK63+$AL63)</f>
        <v>0.42359815305076692</v>
      </c>
      <c r="AS63">
        <f t="shared" si="71"/>
        <v>0.45590863111106683</v>
      </c>
      <c r="AT63">
        <f t="shared" si="72"/>
        <v>0.8235811715342074</v>
      </c>
      <c r="AU63">
        <f t="shared" si="73"/>
        <v>0.93873426413615157</v>
      </c>
    </row>
    <row r="64" spans="1:47" x14ac:dyDescent="0.3">
      <c r="A64" t="s">
        <v>16</v>
      </c>
      <c r="B64">
        <v>2000</v>
      </c>
      <c r="C64">
        <v>17</v>
      </c>
      <c r="D64">
        <v>1</v>
      </c>
      <c r="E64">
        <v>17</v>
      </c>
      <c r="F64">
        <v>1</v>
      </c>
      <c r="G64">
        <v>14</v>
      </c>
      <c r="H64">
        <v>28</v>
      </c>
      <c r="I64">
        <v>2</v>
      </c>
      <c r="J64">
        <v>20</v>
      </c>
      <c r="K64">
        <v>7</v>
      </c>
      <c r="L64">
        <f>91+19</f>
        <v>110</v>
      </c>
      <c r="M64">
        <v>0</v>
      </c>
      <c r="N64">
        <v>52</v>
      </c>
      <c r="Q64" s="13">
        <f>B6/($B6+$C6+$D6)</f>
        <v>0.66884022708840229</v>
      </c>
      <c r="R64" s="13">
        <f>C6/($B6+$C6+$D6)</f>
        <v>0.18004866180048662</v>
      </c>
      <c r="S64" s="13">
        <f>D6/($B6+$C6+$D6)</f>
        <v>0.15111111111111111</v>
      </c>
      <c r="T64" s="13"/>
      <c r="U64" s="13">
        <f t="shared" si="55"/>
        <v>0.10169491525423729</v>
      </c>
      <c r="V64" s="13">
        <f t="shared" si="56"/>
        <v>0.23728813559322035</v>
      </c>
      <c r="W64" s="13">
        <f t="shared" si="57"/>
        <v>0.66101694915254239</v>
      </c>
      <c r="Y64" s="14">
        <f t="shared" si="74"/>
        <v>6.5769288997026223</v>
      </c>
      <c r="Z64" s="14">
        <f t="shared" si="58"/>
        <v>0.75877650330205071</v>
      </c>
      <c r="AA64" s="14">
        <f t="shared" si="58"/>
        <v>0.22860398860398859</v>
      </c>
      <c r="AC64" s="21">
        <f>$Y64*C64</f>
        <v>111.80779129494458</v>
      </c>
      <c r="AD64" s="21">
        <f t="shared" si="60"/>
        <v>6.5769288997026223</v>
      </c>
      <c r="AE64" s="21">
        <f t="shared" si="61"/>
        <v>111.80779129494458</v>
      </c>
      <c r="AF64" s="21">
        <f t="shared" si="62"/>
        <v>6.5769288997026223</v>
      </c>
      <c r="AG64" s="21">
        <f t="shared" si="63"/>
        <v>10.62287104622871</v>
      </c>
      <c r="AH64" s="21">
        <f t="shared" si="64"/>
        <v>21.245742092457419</v>
      </c>
      <c r="AI64" s="21">
        <f t="shared" si="65"/>
        <v>1.5175530066041014</v>
      </c>
      <c r="AJ64" s="21">
        <f t="shared" si="66"/>
        <v>15.175530066041015</v>
      </c>
      <c r="AK64" s="21">
        <f t="shared" si="67"/>
        <v>1.6002279202279202</v>
      </c>
      <c r="AL64" s="21">
        <f t="shared" si="68"/>
        <v>25.146438746438744</v>
      </c>
      <c r="AM64" s="21">
        <f t="shared" si="69"/>
        <v>0</v>
      </c>
      <c r="AN64" s="21">
        <f t="shared" si="70"/>
        <v>11.887407407407407</v>
      </c>
      <c r="AP64">
        <f t="shared" ref="AP64:AP82" si="77">(AC64+AG64+AK64)/($AD64+$AC64+$AG64+$AH64+$AK64+$AL64)</f>
        <v>0.70073949300226668</v>
      </c>
      <c r="AQ64">
        <f t="shared" si="75"/>
        <v>0.29926050699773327</v>
      </c>
      <c r="AR64">
        <f t="shared" si="76"/>
        <v>0.19005574222119234</v>
      </c>
      <c r="AS64">
        <f t="shared" si="71"/>
        <v>0.64025618249462535</v>
      </c>
      <c r="AT64">
        <f t="shared" si="72"/>
        <v>0.63508460948584811</v>
      </c>
      <c r="AU64">
        <f>(AM64+AI64+AE64)/(AC64+AG64+AK64)</f>
        <v>0.91368645393667602</v>
      </c>
    </row>
    <row r="65" spans="1:47" x14ac:dyDescent="0.3">
      <c r="A65" t="s">
        <v>16</v>
      </c>
      <c r="B65">
        <v>2001</v>
      </c>
      <c r="C65">
        <v>0</v>
      </c>
      <c r="D65">
        <v>1</v>
      </c>
      <c r="E65">
        <v>0</v>
      </c>
      <c r="F65">
        <v>1</v>
      </c>
      <c r="G65">
        <v>24</v>
      </c>
      <c r="H65">
        <f>87+5</f>
        <v>92</v>
      </c>
      <c r="I65">
        <v>18</v>
      </c>
      <c r="J65">
        <v>65</v>
      </c>
      <c r="K65">
        <v>30</v>
      </c>
      <c r="L65">
        <f>81+15</f>
        <v>96</v>
      </c>
      <c r="M65">
        <v>28</v>
      </c>
      <c r="N65">
        <v>40</v>
      </c>
      <c r="Q65" s="13">
        <f>B7/($B7+$C7+$D7)</f>
        <v>0.65214297010912536</v>
      </c>
      <c r="R65" s="13">
        <f>C7/($B7+$C7+$D7)</f>
        <v>0.18824134113553692</v>
      </c>
      <c r="S65" s="13">
        <f>D7/($B7+$C7+$D7)</f>
        <v>0.15961568875533766</v>
      </c>
      <c r="T65" s="13"/>
      <c r="U65" s="13">
        <f t="shared" si="55"/>
        <v>4.11522633744856E-3</v>
      </c>
      <c r="V65" s="13">
        <f t="shared" si="56"/>
        <v>0.47736625514403291</v>
      </c>
      <c r="W65" s="13">
        <f t="shared" si="57"/>
        <v>0.51851851851851849</v>
      </c>
      <c r="Y65" s="14">
        <f t="shared" si="74"/>
        <v>158.47074173651745</v>
      </c>
      <c r="Z65" s="14">
        <f t="shared" si="58"/>
        <v>0.3943331542753058</v>
      </c>
      <c r="AA65" s="14">
        <f t="shared" si="58"/>
        <v>0.30783025688529408</v>
      </c>
      <c r="AC65" s="21">
        <f t="shared" si="59"/>
        <v>0</v>
      </c>
      <c r="AD65" s="21">
        <f t="shared" si="60"/>
        <v>158.47074173651745</v>
      </c>
      <c r="AE65" s="21">
        <f t="shared" si="61"/>
        <v>0</v>
      </c>
      <c r="AF65" s="21">
        <f t="shared" si="62"/>
        <v>158.47074173651745</v>
      </c>
      <c r="AG65" s="21">
        <f t="shared" si="63"/>
        <v>9.4639957026073382</v>
      </c>
      <c r="AH65" s="21">
        <f t="shared" si="64"/>
        <v>36.278650193328133</v>
      </c>
      <c r="AI65" s="21">
        <f t="shared" si="65"/>
        <v>7.0979967769555046</v>
      </c>
      <c r="AJ65" s="21">
        <f t="shared" si="66"/>
        <v>25.631655027894876</v>
      </c>
      <c r="AK65" s="21">
        <f t="shared" si="67"/>
        <v>9.2349077065588219</v>
      </c>
      <c r="AL65" s="21">
        <f t="shared" si="68"/>
        <v>29.551704660988232</v>
      </c>
      <c r="AM65" s="21">
        <f t="shared" si="69"/>
        <v>8.6192471927882348</v>
      </c>
      <c r="AN65" s="21">
        <f t="shared" si="70"/>
        <v>12.313210275411762</v>
      </c>
      <c r="AP65">
        <f t="shared" si="77"/>
        <v>7.6950219790807239E-2</v>
      </c>
      <c r="AQ65">
        <f t="shared" si="75"/>
        <v>0.92304978020919271</v>
      </c>
      <c r="AR65">
        <f t="shared" si="76"/>
        <v>0.80829467917623088</v>
      </c>
      <c r="AS65">
        <f t="shared" si="71"/>
        <v>6.4680016336393989E-2</v>
      </c>
      <c r="AT65">
        <f t="shared" si="72"/>
        <v>0.87567831823008002</v>
      </c>
      <c r="AU65">
        <f t="shared" si="73"/>
        <v>0.84054362043707775</v>
      </c>
    </row>
    <row r="66" spans="1:47" x14ac:dyDescent="0.3">
      <c r="A66" t="s">
        <v>16</v>
      </c>
      <c r="B66">
        <v>2002</v>
      </c>
      <c r="C66">
        <v>1</v>
      </c>
      <c r="D66">
        <v>2</v>
      </c>
      <c r="E66">
        <v>1</v>
      </c>
      <c r="F66">
        <v>2</v>
      </c>
      <c r="G66">
        <v>13</v>
      </c>
      <c r="H66">
        <v>44</v>
      </c>
      <c r="I66">
        <v>2</v>
      </c>
      <c r="J66">
        <v>30</v>
      </c>
      <c r="K66">
        <v>46</v>
      </c>
      <c r="L66">
        <v>87</v>
      </c>
      <c r="M66">
        <v>35</v>
      </c>
      <c r="N66">
        <v>34</v>
      </c>
      <c r="Q66" s="13">
        <f>B8/($B8+$C8+$D8)</f>
        <v>0.66419253261358524</v>
      </c>
      <c r="R66" s="13">
        <f>C8/($B8+$C8+$D8)</f>
        <v>0.20300751879699247</v>
      </c>
      <c r="S66" s="13">
        <f>D8/($B8+$C8+$D8)</f>
        <v>0.13279994858942226</v>
      </c>
      <c r="T66" s="13"/>
      <c r="U66" s="13">
        <f t="shared" si="55"/>
        <v>1.5544041450777202E-2</v>
      </c>
      <c r="V66" s="13">
        <f t="shared" si="56"/>
        <v>0.29533678756476683</v>
      </c>
      <c r="W66" s="13">
        <f t="shared" si="57"/>
        <v>0.68911917098445596</v>
      </c>
      <c r="Y66" s="14">
        <f t="shared" si="74"/>
        <v>42.729719598140655</v>
      </c>
      <c r="Z66" s="14">
        <f t="shared" si="58"/>
        <v>0.68737633557578148</v>
      </c>
      <c r="AA66" s="14">
        <f t="shared" si="58"/>
        <v>0.19270969983277064</v>
      </c>
      <c r="AC66" s="21">
        <f t="shared" si="59"/>
        <v>42.729719598140655</v>
      </c>
      <c r="AD66" s="21">
        <f t="shared" si="60"/>
        <v>85.459439196281309</v>
      </c>
      <c r="AE66" s="21">
        <f t="shared" si="61"/>
        <v>42.729719598140655</v>
      </c>
      <c r="AF66" s="21">
        <f t="shared" si="62"/>
        <v>85.459439196281309</v>
      </c>
      <c r="AG66" s="21">
        <f t="shared" si="63"/>
        <v>8.9358923624851592</v>
      </c>
      <c r="AH66" s="21">
        <f t="shared" si="64"/>
        <v>30.244558765334386</v>
      </c>
      <c r="AI66" s="21">
        <f t="shared" si="65"/>
        <v>1.374752671151563</v>
      </c>
      <c r="AJ66" s="21">
        <f t="shared" si="66"/>
        <v>20.621290067273446</v>
      </c>
      <c r="AK66" s="21">
        <f t="shared" si="67"/>
        <v>8.8646461923074504</v>
      </c>
      <c r="AL66" s="21">
        <f t="shared" si="68"/>
        <v>16.765743885451045</v>
      </c>
      <c r="AM66" s="21">
        <f t="shared" si="69"/>
        <v>6.7448394941469729</v>
      </c>
      <c r="AN66" s="21">
        <f t="shared" si="70"/>
        <v>6.5521297943142018</v>
      </c>
      <c r="AP66">
        <f t="shared" si="77"/>
        <v>0.31362828058514641</v>
      </c>
      <c r="AQ66">
        <f t="shared" si="75"/>
        <v>0.68637171941485364</v>
      </c>
      <c r="AR66">
        <f t="shared" si="76"/>
        <v>0.58358994330502045</v>
      </c>
      <c r="AS66">
        <f t="shared" si="71"/>
        <v>0.2634679365981305</v>
      </c>
      <c r="AT66">
        <f t="shared" si="72"/>
        <v>0.85025348043556226</v>
      </c>
      <c r="AU66">
        <f t="shared" si="73"/>
        <v>0.84006434657796125</v>
      </c>
    </row>
    <row r="67" spans="1:47" x14ac:dyDescent="0.3">
      <c r="A67" t="s">
        <v>16</v>
      </c>
      <c r="B67">
        <v>2003</v>
      </c>
      <c r="C67">
        <v>28</v>
      </c>
      <c r="D67">
        <v>2</v>
      </c>
      <c r="E67">
        <v>28</v>
      </c>
      <c r="F67">
        <v>0</v>
      </c>
      <c r="G67">
        <v>31</v>
      </c>
      <c r="H67">
        <v>163</v>
      </c>
      <c r="I67">
        <v>0</v>
      </c>
      <c r="J67">
        <v>89</v>
      </c>
      <c r="K67">
        <v>27</v>
      </c>
      <c r="L67">
        <v>129</v>
      </c>
      <c r="M67">
        <v>13</v>
      </c>
      <c r="N67">
        <v>66</v>
      </c>
      <c r="Q67" s="13">
        <f>B9/($B9+$C9+$D9)</f>
        <v>0.6032394625437143</v>
      </c>
      <c r="R67" s="13">
        <f>C9/($B9+$C9+$D9)</f>
        <v>0.22499539849070496</v>
      </c>
      <c r="S67" s="13">
        <f>D9/($B9+$C9+$D9)</f>
        <v>0.17176513896558071</v>
      </c>
      <c r="T67" s="13"/>
      <c r="U67" s="13">
        <f t="shared" si="55"/>
        <v>7.8947368421052627E-2</v>
      </c>
      <c r="V67" s="13">
        <f t="shared" si="56"/>
        <v>0.51052631578947372</v>
      </c>
      <c r="W67" s="13">
        <f t="shared" si="57"/>
        <v>0.41052631578947368</v>
      </c>
      <c r="Y67" s="14">
        <f t="shared" si="74"/>
        <v>7.6410331922203811</v>
      </c>
      <c r="Z67" s="14">
        <f t="shared" si="58"/>
        <v>0.44071263621890661</v>
      </c>
      <c r="AA67" s="14">
        <f t="shared" si="58"/>
        <v>0.41840226158282479</v>
      </c>
      <c r="AC67" s="21">
        <f t="shared" si="59"/>
        <v>213.94892938217066</v>
      </c>
      <c r="AD67" s="21">
        <f t="shared" si="60"/>
        <v>15.282066384440762</v>
      </c>
      <c r="AE67" s="21">
        <f t="shared" si="61"/>
        <v>213.94892938217066</v>
      </c>
      <c r="AF67" s="21">
        <f t="shared" si="62"/>
        <v>0</v>
      </c>
      <c r="AG67" s="21">
        <f t="shared" si="63"/>
        <v>13.662091722786105</v>
      </c>
      <c r="AH67" s="21">
        <f t="shared" si="64"/>
        <v>71.836159703681773</v>
      </c>
      <c r="AI67" s="21">
        <f t="shared" si="65"/>
        <v>0</v>
      </c>
      <c r="AJ67" s="21">
        <f t="shared" si="66"/>
        <v>39.223424623482686</v>
      </c>
      <c r="AK67" s="21">
        <f t="shared" si="67"/>
        <v>11.296861062736269</v>
      </c>
      <c r="AL67" s="21">
        <f t="shared" si="68"/>
        <v>53.973891744184399</v>
      </c>
      <c r="AM67" s="21">
        <f t="shared" si="69"/>
        <v>5.4392294005767221</v>
      </c>
      <c r="AN67" s="21">
        <f t="shared" si="70"/>
        <v>27.614549264466437</v>
      </c>
      <c r="AP67">
        <f t="shared" si="77"/>
        <v>0.62870495307287644</v>
      </c>
      <c r="AQ67">
        <f t="shared" si="75"/>
        <v>0.37129504692712356</v>
      </c>
      <c r="AR67">
        <f t="shared" si="76"/>
        <v>0.17588940496828717</v>
      </c>
      <c r="AS67">
        <f t="shared" si="71"/>
        <v>0.5773372599545985</v>
      </c>
      <c r="AT67">
        <f t="shared" si="72"/>
        <v>0.47371869467143768</v>
      </c>
      <c r="AU67">
        <f t="shared" si="73"/>
        <v>0.91829602603381477</v>
      </c>
    </row>
    <row r="68" spans="1:47" x14ac:dyDescent="0.3">
      <c r="A68" t="s">
        <v>16</v>
      </c>
      <c r="B68">
        <v>2004</v>
      </c>
      <c r="C68">
        <v>3</v>
      </c>
      <c r="D68">
        <v>1</v>
      </c>
      <c r="E68">
        <v>3</v>
      </c>
      <c r="F68">
        <v>1</v>
      </c>
      <c r="G68">
        <v>21</v>
      </c>
      <c r="H68">
        <v>114</v>
      </c>
      <c r="I68">
        <v>0</v>
      </c>
      <c r="J68">
        <v>82</v>
      </c>
      <c r="K68">
        <v>13</v>
      </c>
      <c r="L68">
        <v>91</v>
      </c>
      <c r="M68">
        <v>2</v>
      </c>
      <c r="N68">
        <v>26</v>
      </c>
      <c r="Q68" s="13">
        <f>B10/($B10+$C10+$D10)</f>
        <v>0.61102118212931278</v>
      </c>
      <c r="R68" s="13">
        <f>C10/($B10+$C10+$D10)</f>
        <v>0.23332716677458146</v>
      </c>
      <c r="S68" s="13">
        <f>D10/($B10+$C10+$D10)</f>
        <v>0.15565165109610582</v>
      </c>
      <c r="T68" s="13"/>
      <c r="U68" s="13">
        <f t="shared" si="55"/>
        <v>1.646090534979424E-2</v>
      </c>
      <c r="V68" s="13">
        <f t="shared" si="56"/>
        <v>0.55555555555555558</v>
      </c>
      <c r="W68" s="13">
        <f t="shared" si="57"/>
        <v>0.4279835390946502</v>
      </c>
      <c r="Y68" s="14">
        <f t="shared" si="74"/>
        <v>37.119536814355747</v>
      </c>
      <c r="Z68" s="14">
        <f t="shared" si="58"/>
        <v>0.41998890019424662</v>
      </c>
      <c r="AA68" s="14">
        <f t="shared" si="58"/>
        <v>0.36368606938801651</v>
      </c>
      <c r="AC68" s="21">
        <f t="shared" si="59"/>
        <v>111.35861044306725</v>
      </c>
      <c r="AD68" s="21">
        <f t="shared" si="60"/>
        <v>37.119536814355747</v>
      </c>
      <c r="AE68" s="21">
        <f t="shared" si="61"/>
        <v>111.35861044306725</v>
      </c>
      <c r="AF68" s="21">
        <f t="shared" si="62"/>
        <v>37.119536814355747</v>
      </c>
      <c r="AG68" s="21">
        <f t="shared" si="63"/>
        <v>8.8197669040791791</v>
      </c>
      <c r="AH68" s="21">
        <f t="shared" si="64"/>
        <v>47.878734622144115</v>
      </c>
      <c r="AI68" s="21">
        <f t="shared" si="65"/>
        <v>0</v>
      </c>
      <c r="AJ68" s="21">
        <f t="shared" si="66"/>
        <v>34.43908981592822</v>
      </c>
      <c r="AK68" s="21">
        <f t="shared" si="67"/>
        <v>4.7279189020442143</v>
      </c>
      <c r="AL68" s="21">
        <f t="shared" si="68"/>
        <v>33.095432314309505</v>
      </c>
      <c r="AM68" s="21">
        <f t="shared" si="69"/>
        <v>0.72737213877603302</v>
      </c>
      <c r="AN68" s="21">
        <f t="shared" si="70"/>
        <v>9.4558378040884286</v>
      </c>
      <c r="AP68">
        <f t="shared" si="77"/>
        <v>0.51401768003782145</v>
      </c>
      <c r="AQ68">
        <f t="shared" si="75"/>
        <v>0.48598231996217839</v>
      </c>
      <c r="AR68">
        <f t="shared" si="76"/>
        <v>0.33339285775461891</v>
      </c>
      <c r="AS68">
        <f t="shared" si="71"/>
        <v>0.46125918757960194</v>
      </c>
      <c r="AT68">
        <f t="shared" si="72"/>
        <v>0.6860184909207504</v>
      </c>
      <c r="AU68">
        <f t="shared" si="73"/>
        <v>0.89736054904894014</v>
      </c>
    </row>
    <row r="69" spans="1:47" x14ac:dyDescent="0.3">
      <c r="A69" t="s">
        <v>16</v>
      </c>
      <c r="B69">
        <v>2005</v>
      </c>
      <c r="G69">
        <v>38</v>
      </c>
      <c r="H69">
        <v>201</v>
      </c>
      <c r="I69">
        <v>3</v>
      </c>
      <c r="J69">
        <v>137</v>
      </c>
      <c r="K69">
        <v>8</v>
      </c>
      <c r="L69">
        <v>31</v>
      </c>
      <c r="M69">
        <v>0</v>
      </c>
      <c r="N69">
        <v>14</v>
      </c>
      <c r="Q69" s="13">
        <f>B11/($B11+$C11+$D11)</f>
        <v>0.57174632596319341</v>
      </c>
      <c r="R69" s="13">
        <f>C11/($B11+$C11+$D11)</f>
        <v>0.24567721435191314</v>
      </c>
      <c r="S69" s="13">
        <f>D11/($B11+$C11+$D11)</f>
        <v>0.18257645968489342</v>
      </c>
      <c r="T69" s="13"/>
      <c r="U69" s="13">
        <f t="shared" si="55"/>
        <v>0</v>
      </c>
      <c r="V69" s="13">
        <f t="shared" si="56"/>
        <v>0.85971223021582732</v>
      </c>
      <c r="W69" s="13">
        <f t="shared" si="57"/>
        <v>0.14028776978417265</v>
      </c>
      <c r="Y69" s="14">
        <v>0</v>
      </c>
      <c r="Z69" s="14">
        <f t="shared" si="58"/>
        <v>0.28576680163109563</v>
      </c>
      <c r="AA69" s="14">
        <f t="shared" si="58"/>
        <v>1.3014424562153941</v>
      </c>
      <c r="AC69" s="21">
        <f t="shared" si="59"/>
        <v>0</v>
      </c>
      <c r="AD69" s="21">
        <f t="shared" si="60"/>
        <v>0</v>
      </c>
      <c r="AE69" s="21">
        <f t="shared" si="61"/>
        <v>0</v>
      </c>
      <c r="AF69" s="21">
        <f t="shared" si="62"/>
        <v>0</v>
      </c>
      <c r="AG69" s="21">
        <f t="shared" si="63"/>
        <v>10.859138461981635</v>
      </c>
      <c r="AH69" s="21">
        <f t="shared" si="64"/>
        <v>57.43912712785022</v>
      </c>
      <c r="AI69" s="21">
        <f t="shared" si="65"/>
        <v>0.85730040489328685</v>
      </c>
      <c r="AJ69" s="21">
        <f t="shared" si="66"/>
        <v>39.150051823460103</v>
      </c>
      <c r="AK69" s="21">
        <f t="shared" si="67"/>
        <v>10.411539649723153</v>
      </c>
      <c r="AL69" s="21">
        <f t="shared" si="68"/>
        <v>40.344716142677214</v>
      </c>
      <c r="AM69" s="21">
        <f t="shared" si="69"/>
        <v>0</v>
      </c>
      <c r="AN69" s="21">
        <f t="shared" si="70"/>
        <v>18.220194387015518</v>
      </c>
      <c r="AP69">
        <f t="shared" si="77"/>
        <v>0.17866333730756773</v>
      </c>
      <c r="AQ69">
        <f t="shared" si="75"/>
        <v>0.82133666269243222</v>
      </c>
      <c r="AR69">
        <f t="shared" si="76"/>
        <v>0.48188212882973797</v>
      </c>
      <c r="AS69">
        <f t="shared" si="71"/>
        <v>7.2009058953827433E-3</v>
      </c>
      <c r="AT69">
        <f t="shared" si="72"/>
        <v>0.58670475910581554</v>
      </c>
      <c r="AU69">
        <f t="shared" si="73"/>
        <v>4.0304328822574453E-2</v>
      </c>
    </row>
    <row r="70" spans="1:47" x14ac:dyDescent="0.3">
      <c r="A70" t="s">
        <v>16</v>
      </c>
      <c r="B70">
        <v>2006</v>
      </c>
      <c r="C70">
        <v>16</v>
      </c>
      <c r="D70">
        <v>2</v>
      </c>
      <c r="E70">
        <v>15</v>
      </c>
      <c r="F70">
        <v>2</v>
      </c>
      <c r="G70">
        <v>43</v>
      </c>
      <c r="H70">
        <f>199+20</f>
        <v>219</v>
      </c>
      <c r="I70">
        <v>23</v>
      </c>
      <c r="J70">
        <v>135</v>
      </c>
      <c r="K70">
        <v>2</v>
      </c>
      <c r="L70">
        <v>50</v>
      </c>
      <c r="M70">
        <v>1</v>
      </c>
      <c r="N70">
        <v>20</v>
      </c>
      <c r="Q70" s="13">
        <f>B12/($B12+$C12+$D12)</f>
        <v>0.56538046549863841</v>
      </c>
      <c r="R70" s="13">
        <f>C12/($B12+$C12+$D12)</f>
        <v>0.27464933463494834</v>
      </c>
      <c r="S70" s="13">
        <f>D12/($B12+$C12+$D12)</f>
        <v>0.1599701998664132</v>
      </c>
      <c r="T70" s="13"/>
      <c r="U70" s="13">
        <f t="shared" si="55"/>
        <v>5.4216867469879519E-2</v>
      </c>
      <c r="V70" s="13">
        <f t="shared" si="56"/>
        <v>0.78915662650602414</v>
      </c>
      <c r="W70" s="13">
        <f t="shared" si="57"/>
        <v>0.15662650602409639</v>
      </c>
      <c r="Y70" s="14">
        <f t="shared" si="74"/>
        <v>10.428128585863774</v>
      </c>
      <c r="Z70" s="14">
        <f t="shared" si="58"/>
        <v>0.34802892785802614</v>
      </c>
      <c r="AA70" s="14">
        <f t="shared" si="58"/>
        <v>1.0213481991470996</v>
      </c>
      <c r="AC70" s="21">
        <f t="shared" si="59"/>
        <v>166.85005737382039</v>
      </c>
      <c r="AD70" s="21">
        <f t="shared" si="60"/>
        <v>20.856257171727549</v>
      </c>
      <c r="AE70" s="21">
        <f t="shared" si="61"/>
        <v>156.42192878795663</v>
      </c>
      <c r="AF70" s="21">
        <f t="shared" si="62"/>
        <v>20.856257171727549</v>
      </c>
      <c r="AG70" s="21">
        <f t="shared" si="63"/>
        <v>14.965243897895125</v>
      </c>
      <c r="AH70" s="21">
        <f t="shared" si="64"/>
        <v>76.218335200907731</v>
      </c>
      <c r="AI70" s="21">
        <f t="shared" si="65"/>
        <v>8.0046653407346007</v>
      </c>
      <c r="AJ70" s="21">
        <f t="shared" si="66"/>
        <v>46.983905260833531</v>
      </c>
      <c r="AK70" s="21">
        <f t="shared" si="67"/>
        <v>2.0426963982941992</v>
      </c>
      <c r="AL70" s="21">
        <f t="shared" si="68"/>
        <v>51.067409957354982</v>
      </c>
      <c r="AM70" s="21">
        <f t="shared" si="69"/>
        <v>1.0213481991470996</v>
      </c>
      <c r="AN70" s="21">
        <f t="shared" si="70"/>
        <v>20.426963982941992</v>
      </c>
      <c r="AP70">
        <f t="shared" si="77"/>
        <v>0.55378914960846304</v>
      </c>
      <c r="AQ70">
        <f t="shared" si="75"/>
        <v>0.44621085039153691</v>
      </c>
      <c r="AR70">
        <f t="shared" si="76"/>
        <v>0.26586483860091287</v>
      </c>
      <c r="AS70">
        <f t="shared" si="71"/>
        <v>0.49833717568626001</v>
      </c>
      <c r="AT70">
        <f t="shared" si="72"/>
        <v>0.5958278207883656</v>
      </c>
      <c r="AU70">
        <f t="shared" si="73"/>
        <v>0.89986807440808769</v>
      </c>
    </row>
    <row r="71" spans="1:47" x14ac:dyDescent="0.3">
      <c r="A71" t="s">
        <v>16</v>
      </c>
      <c r="B71">
        <v>2007</v>
      </c>
      <c r="C71">
        <v>1</v>
      </c>
      <c r="D71">
        <v>0</v>
      </c>
      <c r="E71">
        <v>1</v>
      </c>
      <c r="F71">
        <v>0</v>
      </c>
      <c r="G71">
        <v>108</v>
      </c>
      <c r="H71">
        <f>168+6</f>
        <v>174</v>
      </c>
      <c r="I71">
        <v>73</v>
      </c>
      <c r="J71">
        <v>117</v>
      </c>
      <c r="K71">
        <v>7</v>
      </c>
      <c r="L71">
        <v>28</v>
      </c>
      <c r="M71">
        <v>5</v>
      </c>
      <c r="N71">
        <v>8</v>
      </c>
      <c r="Q71" s="13">
        <f>B13/($B13+$C13+$D13)</f>
        <v>0.53645159851964153</v>
      </c>
      <c r="R71" s="13">
        <f>C13/($B13+$C13+$D13)</f>
        <v>0.25533954608284659</v>
      </c>
      <c r="S71" s="13">
        <f>D13/($B13+$C13+$D13)</f>
        <v>0.20820885539751194</v>
      </c>
      <c r="T71" s="13"/>
      <c r="U71" s="13">
        <f t="shared" si="55"/>
        <v>3.1446540880503146E-3</v>
      </c>
      <c r="V71" s="13">
        <f t="shared" si="56"/>
        <v>0.8867924528301887</v>
      </c>
      <c r="W71" s="13">
        <f t="shared" si="57"/>
        <v>0.11006289308176101</v>
      </c>
      <c r="Y71" s="14">
        <f t="shared" si="74"/>
        <v>170.59160832924599</v>
      </c>
      <c r="Z71" s="14">
        <f t="shared" si="58"/>
        <v>0.28793608388065678</v>
      </c>
      <c r="AA71" s="14">
        <f t="shared" si="58"/>
        <v>1.8917261718973941</v>
      </c>
      <c r="AC71" s="21">
        <f t="shared" si="59"/>
        <v>170.59160832924599</v>
      </c>
      <c r="AD71" s="21">
        <f t="shared" si="60"/>
        <v>0</v>
      </c>
      <c r="AE71" s="21">
        <f t="shared" si="61"/>
        <v>170.59160832924599</v>
      </c>
      <c r="AF71" s="21">
        <f t="shared" si="62"/>
        <v>0</v>
      </c>
      <c r="AG71" s="21">
        <f t="shared" si="63"/>
        <v>31.097097059110933</v>
      </c>
      <c r="AH71" s="21">
        <f t="shared" si="64"/>
        <v>50.100878595234278</v>
      </c>
      <c r="AI71" s="21">
        <f t="shared" si="65"/>
        <v>21.019334123287944</v>
      </c>
      <c r="AJ71" s="21">
        <f t="shared" si="66"/>
        <v>33.688521814036847</v>
      </c>
      <c r="AK71" s="21">
        <f t="shared" si="67"/>
        <v>13.242083203281759</v>
      </c>
      <c r="AL71" s="21">
        <f t="shared" si="68"/>
        <v>52.968332813127034</v>
      </c>
      <c r="AM71" s="21">
        <f t="shared" si="69"/>
        <v>9.4586308594869699</v>
      </c>
      <c r="AN71" s="21">
        <f t="shared" si="70"/>
        <v>15.133809375179153</v>
      </c>
      <c r="AP71">
        <f t="shared" si="77"/>
        <v>0.67588298299257443</v>
      </c>
      <c r="AQ71">
        <f t="shared" si="75"/>
        <v>0.32411701700742551</v>
      </c>
      <c r="AR71">
        <f t="shared" si="76"/>
        <v>0.15352934336231447</v>
      </c>
      <c r="AS71">
        <f t="shared" si="71"/>
        <v>0.63229425569817888</v>
      </c>
      <c r="AT71">
        <f t="shared" si="72"/>
        <v>0.47368492027926173</v>
      </c>
      <c r="AU71">
        <f t="shared" si="73"/>
        <v>0.93550847056187181</v>
      </c>
    </row>
    <row r="72" spans="1:47" x14ac:dyDescent="0.3">
      <c r="A72" t="s">
        <v>16</v>
      </c>
      <c r="B72">
        <v>2008</v>
      </c>
      <c r="C72">
        <v>8</v>
      </c>
      <c r="D72">
        <v>1</v>
      </c>
      <c r="E72">
        <v>8</v>
      </c>
      <c r="F72">
        <v>1</v>
      </c>
      <c r="G72">
        <v>142</v>
      </c>
      <c r="H72">
        <f>256+29</f>
        <v>285</v>
      </c>
      <c r="I72">
        <v>59</v>
      </c>
      <c r="J72">
        <v>135</v>
      </c>
      <c r="K72">
        <v>40</v>
      </c>
      <c r="L72">
        <v>57</v>
      </c>
      <c r="M72">
        <v>22</v>
      </c>
      <c r="N72">
        <v>19</v>
      </c>
      <c r="Q72" s="13">
        <f>B14/($B14+$C14+$D14)</f>
        <v>0.56043568373241615</v>
      </c>
      <c r="R72" s="13">
        <f>C14/($B14+$C14+$D14)</f>
        <v>0.31201217092207961</v>
      </c>
      <c r="S72" s="13">
        <f>D14/($B14+$C14+$D14)</f>
        <v>0.12755214534550424</v>
      </c>
      <c r="T72" s="13"/>
      <c r="U72" s="13">
        <f t="shared" si="55"/>
        <v>1.6885553470919325E-2</v>
      </c>
      <c r="V72" s="13">
        <f t="shared" si="56"/>
        <v>0.80112570356472801</v>
      </c>
      <c r="W72" s="13">
        <f t="shared" si="57"/>
        <v>0.18198874296435272</v>
      </c>
      <c r="Y72" s="14">
        <f t="shared" si="74"/>
        <v>33.1902466032642</v>
      </c>
      <c r="Z72" s="14">
        <f t="shared" si="58"/>
        <v>0.38946718290742022</v>
      </c>
      <c r="AA72" s="14">
        <f t="shared" si="58"/>
        <v>0.70087931411498727</v>
      </c>
      <c r="AC72" s="21">
        <f t="shared" si="59"/>
        <v>265.5219728261136</v>
      </c>
      <c r="AD72" s="21">
        <f t="shared" si="60"/>
        <v>33.1902466032642</v>
      </c>
      <c r="AE72" s="21">
        <f t="shared" si="61"/>
        <v>265.5219728261136</v>
      </c>
      <c r="AF72" s="21">
        <f t="shared" si="62"/>
        <v>33.1902466032642</v>
      </c>
      <c r="AG72" s="21">
        <f t="shared" si="63"/>
        <v>55.304339972853668</v>
      </c>
      <c r="AH72" s="21">
        <f t="shared" si="64"/>
        <v>110.99814712861476</v>
      </c>
      <c r="AI72" s="21">
        <f t="shared" si="65"/>
        <v>22.978563791537791</v>
      </c>
      <c r="AJ72" s="21">
        <f t="shared" si="66"/>
        <v>52.578069692501728</v>
      </c>
      <c r="AK72" s="21">
        <f t="shared" si="67"/>
        <v>28.035172564599492</v>
      </c>
      <c r="AL72" s="21">
        <f t="shared" si="68"/>
        <v>39.950120904554275</v>
      </c>
      <c r="AM72" s="21">
        <f t="shared" si="69"/>
        <v>15.41934491052972</v>
      </c>
      <c r="AN72" s="21">
        <f t="shared" si="70"/>
        <v>13.316706968184759</v>
      </c>
      <c r="AP72">
        <f t="shared" si="77"/>
        <v>0.65452436278342729</v>
      </c>
      <c r="AQ72">
        <f t="shared" si="75"/>
        <v>0.34547563721657265</v>
      </c>
      <c r="AR72">
        <f t="shared" si="76"/>
        <v>0.18590060649896939</v>
      </c>
      <c r="AS72">
        <f t="shared" si="71"/>
        <v>0.57020615671328545</v>
      </c>
      <c r="AT72">
        <f t="shared" si="72"/>
        <v>0.53810048082328754</v>
      </c>
      <c r="AU72">
        <f t="shared" si="73"/>
        <v>0.87117636735236148</v>
      </c>
    </row>
    <row r="73" spans="1:47" x14ac:dyDescent="0.3">
      <c r="A73" t="s">
        <v>16</v>
      </c>
      <c r="B73">
        <v>2009</v>
      </c>
      <c r="C73">
        <v>12</v>
      </c>
      <c r="D73">
        <v>2</v>
      </c>
      <c r="E73">
        <v>7</v>
      </c>
      <c r="F73">
        <v>2</v>
      </c>
      <c r="G73">
        <v>52</v>
      </c>
      <c r="H73">
        <v>125</v>
      </c>
      <c r="I73">
        <v>29</v>
      </c>
      <c r="J73">
        <v>79</v>
      </c>
      <c r="K73">
        <v>53</v>
      </c>
      <c r="L73">
        <v>235</v>
      </c>
      <c r="M73">
        <v>47</v>
      </c>
      <c r="N73">
        <v>70</v>
      </c>
      <c r="Q73" s="13">
        <f>B15/($B15+$C15+$D15)</f>
        <v>0.52192588915828253</v>
      </c>
      <c r="R73" s="13">
        <f>C15/($B15+$C15+$D15)</f>
        <v>0.31761516580439475</v>
      </c>
      <c r="S73" s="13">
        <f>D15/($B15+$C15+$D15)</f>
        <v>0.16045894503732269</v>
      </c>
      <c r="T73" s="13"/>
      <c r="U73" s="13">
        <f t="shared" si="55"/>
        <v>2.9227557411273485E-2</v>
      </c>
      <c r="V73" s="13">
        <f t="shared" si="56"/>
        <v>0.36951983298538621</v>
      </c>
      <c r="W73" s="13">
        <f t="shared" si="57"/>
        <v>0.60125260960334026</v>
      </c>
      <c r="Y73" s="14">
        <f t="shared" si="74"/>
        <v>17.857321493344095</v>
      </c>
      <c r="Z73" s="14">
        <f t="shared" si="58"/>
        <v>0.85953482723336205</v>
      </c>
      <c r="AA73" s="14">
        <f t="shared" si="58"/>
        <v>0.26687442594749156</v>
      </c>
      <c r="AC73" s="21">
        <f t="shared" si="59"/>
        <v>214.28785792012914</v>
      </c>
      <c r="AD73" s="21">
        <f t="shared" si="60"/>
        <v>35.71464298668819</v>
      </c>
      <c r="AE73" s="21">
        <f t="shared" si="61"/>
        <v>125.00125045340866</v>
      </c>
      <c r="AF73" s="21">
        <f t="shared" si="62"/>
        <v>35.71464298668819</v>
      </c>
      <c r="AG73" s="21">
        <f t="shared" si="63"/>
        <v>44.695811016134826</v>
      </c>
      <c r="AH73" s="21">
        <f t="shared" si="64"/>
        <v>107.44185340417026</v>
      </c>
      <c r="AI73" s="21">
        <f t="shared" si="65"/>
        <v>24.926509989767499</v>
      </c>
      <c r="AJ73" s="21">
        <f t="shared" si="66"/>
        <v>67.9032513514356</v>
      </c>
      <c r="AK73" s="21">
        <f t="shared" si="67"/>
        <v>14.144344575217053</v>
      </c>
      <c r="AL73" s="21">
        <f t="shared" si="68"/>
        <v>62.715490097660513</v>
      </c>
      <c r="AM73" s="21">
        <f t="shared" si="69"/>
        <v>12.543098019532103</v>
      </c>
      <c r="AN73" s="21">
        <f t="shared" si="70"/>
        <v>18.681209816324408</v>
      </c>
      <c r="AP73">
        <f t="shared" si="77"/>
        <v>0.57020462110956371</v>
      </c>
      <c r="AQ73">
        <f t="shared" si="75"/>
        <v>0.42979537889043623</v>
      </c>
      <c r="AR73">
        <f t="shared" si="76"/>
        <v>0.25532172057296076</v>
      </c>
      <c r="AS73">
        <f t="shared" si="71"/>
        <v>0.33918759595554959</v>
      </c>
      <c r="AT73">
        <f t="shared" si="72"/>
        <v>0.59405413160118592</v>
      </c>
      <c r="AU73">
        <f t="shared" si="73"/>
        <v>0.59485241507780662</v>
      </c>
    </row>
    <row r="74" spans="1:47" x14ac:dyDescent="0.3">
      <c r="A74" t="s">
        <v>16</v>
      </c>
      <c r="B74">
        <v>2010</v>
      </c>
      <c r="C74">
        <v>30</v>
      </c>
      <c r="D74">
        <v>0</v>
      </c>
      <c r="E74">
        <v>26</v>
      </c>
      <c r="F74">
        <v>0</v>
      </c>
      <c r="G74">
        <v>68</v>
      </c>
      <c r="H74">
        <f>121+19</f>
        <v>140</v>
      </c>
      <c r="I74">
        <v>42</v>
      </c>
      <c r="J74">
        <v>63</v>
      </c>
      <c r="K74">
        <v>68</v>
      </c>
      <c r="L74">
        <v>160</v>
      </c>
      <c r="M74">
        <v>59</v>
      </c>
      <c r="N74">
        <v>60</v>
      </c>
      <c r="Q74" s="13">
        <f>B16/($B16+$C16+$D16)</f>
        <v>0.54015740675868185</v>
      </c>
      <c r="R74" s="13">
        <f>C16/($B16+$C16+$D16)</f>
        <v>0.26978677689810598</v>
      </c>
      <c r="S74" s="13">
        <f>D16/($B16+$C16+$D16)</f>
        <v>0.19005581634321211</v>
      </c>
      <c r="T74" s="13"/>
      <c r="U74" s="13">
        <f t="shared" si="55"/>
        <v>6.4377682403433473E-2</v>
      </c>
      <c r="V74" s="13">
        <f t="shared" si="56"/>
        <v>0.44635193133047213</v>
      </c>
      <c r="W74" s="13">
        <f t="shared" si="57"/>
        <v>0.48927038626609443</v>
      </c>
      <c r="Y74" s="14">
        <f t="shared" si="74"/>
        <v>8.3904450516515254</v>
      </c>
      <c r="Z74" s="14">
        <f t="shared" si="58"/>
        <v>0.60442614439671816</v>
      </c>
      <c r="AA74" s="14">
        <f t="shared" si="58"/>
        <v>0.38844741410498618</v>
      </c>
      <c r="AC74" s="21">
        <f t="shared" si="59"/>
        <v>251.71335154954576</v>
      </c>
      <c r="AD74" s="21">
        <f t="shared" si="60"/>
        <v>0</v>
      </c>
      <c r="AE74" s="21">
        <f t="shared" si="61"/>
        <v>218.15157134293966</v>
      </c>
      <c r="AF74" s="21">
        <f t="shared" si="62"/>
        <v>0</v>
      </c>
      <c r="AG74" s="21">
        <f t="shared" si="63"/>
        <v>41.100977818976837</v>
      </c>
      <c r="AH74" s="21">
        <f t="shared" si="64"/>
        <v>84.619660215540549</v>
      </c>
      <c r="AI74" s="21">
        <f t="shared" si="65"/>
        <v>25.385898064662161</v>
      </c>
      <c r="AJ74" s="21">
        <f t="shared" si="66"/>
        <v>38.078847096993243</v>
      </c>
      <c r="AK74" s="21">
        <f t="shared" si="67"/>
        <v>26.41442415913906</v>
      </c>
      <c r="AL74" s="21">
        <f t="shared" si="68"/>
        <v>62.151586256797785</v>
      </c>
      <c r="AM74" s="21">
        <f t="shared" si="69"/>
        <v>22.918397432194183</v>
      </c>
      <c r="AN74" s="21">
        <f t="shared" si="70"/>
        <v>23.306844846299171</v>
      </c>
      <c r="AP74">
        <f t="shared" si="77"/>
        <v>0.68504024362159155</v>
      </c>
      <c r="AQ74">
        <f t="shared" si="75"/>
        <v>0.31495975637840851</v>
      </c>
      <c r="AR74">
        <f t="shared" si="76"/>
        <v>0.13172895266800949</v>
      </c>
      <c r="AS74">
        <f t="shared" si="71"/>
        <v>0.57179370566479848</v>
      </c>
      <c r="AT74">
        <f t="shared" si="72"/>
        <v>0.41824058471058667</v>
      </c>
      <c r="AU74">
        <f t="shared" si="73"/>
        <v>0.83468629907332959</v>
      </c>
    </row>
    <row r="75" spans="1:47" x14ac:dyDescent="0.3">
      <c r="A75" t="s">
        <v>16</v>
      </c>
      <c r="B75">
        <v>2011</v>
      </c>
      <c r="C75">
        <v>28</v>
      </c>
      <c r="D75">
        <v>0</v>
      </c>
      <c r="E75">
        <v>28</v>
      </c>
      <c r="F75">
        <v>0</v>
      </c>
      <c r="G75">
        <v>103</v>
      </c>
      <c r="H75">
        <f>157+23</f>
        <v>180</v>
      </c>
      <c r="I75">
        <v>76</v>
      </c>
      <c r="J75">
        <v>84</v>
      </c>
      <c r="K75">
        <v>37</v>
      </c>
      <c r="L75">
        <f>137+14</f>
        <v>151</v>
      </c>
      <c r="M75">
        <v>15</v>
      </c>
      <c r="N75">
        <v>51</v>
      </c>
      <c r="Q75" s="13">
        <f>B17/($B17+$C17+$D17)</f>
        <v>0.49068257123923126</v>
      </c>
      <c r="R75" s="13">
        <f>C17/($B17+$C17+$D17)</f>
        <v>0.31642147117296221</v>
      </c>
      <c r="S75" s="13">
        <f>D17/($B17+$C17+$D17)</f>
        <v>0.1928959575878065</v>
      </c>
      <c r="T75" s="13"/>
      <c r="U75" s="13">
        <f t="shared" si="55"/>
        <v>5.6112224448897796E-2</v>
      </c>
      <c r="V75" s="13">
        <f t="shared" si="56"/>
        <v>0.56713426853707416</v>
      </c>
      <c r="W75" s="13">
        <f t="shared" si="57"/>
        <v>0.37675350701402804</v>
      </c>
      <c r="Y75" s="14">
        <f t="shared" si="74"/>
        <v>8.7446643945848717</v>
      </c>
      <c r="Z75" s="14">
        <f t="shared" si="58"/>
        <v>0.55793043856999347</v>
      </c>
      <c r="AA75" s="14">
        <f t="shared" si="58"/>
        <v>0.511995121469763</v>
      </c>
      <c r="AC75" s="21">
        <f t="shared" si="59"/>
        <v>244.8506030483764</v>
      </c>
      <c r="AD75" s="21">
        <f t="shared" si="60"/>
        <v>0</v>
      </c>
      <c r="AE75" s="21">
        <f t="shared" si="61"/>
        <v>244.8506030483764</v>
      </c>
      <c r="AF75" s="21">
        <f t="shared" si="62"/>
        <v>0</v>
      </c>
      <c r="AG75" s="21">
        <f t="shared" si="63"/>
        <v>57.466835172709324</v>
      </c>
      <c r="AH75" s="21">
        <f t="shared" si="64"/>
        <v>100.42747894259882</v>
      </c>
      <c r="AI75" s="21">
        <f t="shared" si="65"/>
        <v>42.402713331319504</v>
      </c>
      <c r="AJ75" s="21">
        <f t="shared" si="66"/>
        <v>46.866156839879451</v>
      </c>
      <c r="AK75" s="21">
        <f t="shared" si="67"/>
        <v>18.943819494381231</v>
      </c>
      <c r="AL75" s="21">
        <f t="shared" si="68"/>
        <v>77.311263341934207</v>
      </c>
      <c r="AM75" s="21">
        <f t="shared" si="69"/>
        <v>7.6799268220464452</v>
      </c>
      <c r="AN75" s="21">
        <f t="shared" si="70"/>
        <v>26.111751194957915</v>
      </c>
      <c r="AP75">
        <f t="shared" si="77"/>
        <v>0.64381013570233858</v>
      </c>
      <c r="AQ75">
        <f t="shared" si="75"/>
        <v>0.35618986429766142</v>
      </c>
      <c r="AR75">
        <f t="shared" si="76"/>
        <v>0.14624831269506489</v>
      </c>
      <c r="AS75">
        <f t="shared" si="71"/>
        <v>0.59104858357062606</v>
      </c>
      <c r="AT75">
        <f t="shared" si="72"/>
        <v>0.41059088804629157</v>
      </c>
      <c r="AU75">
        <f t="shared" si="73"/>
        <v>0.91804796289180124</v>
      </c>
    </row>
    <row r="76" spans="1:47" x14ac:dyDescent="0.3">
      <c r="A76" t="s">
        <v>16</v>
      </c>
      <c r="B76">
        <v>2012</v>
      </c>
      <c r="C76">
        <v>5</v>
      </c>
      <c r="D76">
        <v>3</v>
      </c>
      <c r="E76">
        <v>5</v>
      </c>
      <c r="F76">
        <v>2</v>
      </c>
      <c r="G76">
        <v>87</v>
      </c>
      <c r="H76">
        <f>160+26</f>
        <v>186</v>
      </c>
      <c r="I76">
        <v>18</v>
      </c>
      <c r="J76">
        <v>105</v>
      </c>
      <c r="K76">
        <v>44</v>
      </c>
      <c r="L76">
        <v>129</v>
      </c>
      <c r="M76">
        <v>25</v>
      </c>
      <c r="N76">
        <v>51</v>
      </c>
      <c r="Q76" s="13">
        <f>B18/($B18+$C18+$D18)</f>
        <v>0.43336597860479131</v>
      </c>
      <c r="R76" s="13">
        <f>C18/($B18+$C18+$D18)</f>
        <v>0.35701371101401236</v>
      </c>
      <c r="S76" s="13">
        <f>D18/($B18+$C18+$D18)</f>
        <v>0.20962031038119633</v>
      </c>
      <c r="T76" s="13"/>
      <c r="U76" s="13">
        <f t="shared" si="55"/>
        <v>1.7621145374449341E-2</v>
      </c>
      <c r="V76" s="13">
        <f t="shared" si="56"/>
        <v>0.60132158590308371</v>
      </c>
      <c r="W76" s="13">
        <f t="shared" si="57"/>
        <v>0.38105726872246698</v>
      </c>
      <c r="Y76" s="14">
        <f t="shared" si="74"/>
        <v>24.593519285821905</v>
      </c>
      <c r="Z76" s="14">
        <f t="shared" si="58"/>
        <v>0.59371510915883374</v>
      </c>
      <c r="AA76" s="14">
        <f t="shared" si="58"/>
        <v>0.55010185498880426</v>
      </c>
      <c r="AC76" s="21">
        <f t="shared" si="59"/>
        <v>122.96759642910953</v>
      </c>
      <c r="AD76" s="21">
        <f t="shared" si="60"/>
        <v>73.780557857465709</v>
      </c>
      <c r="AE76" s="21">
        <f t="shared" si="61"/>
        <v>122.96759642910953</v>
      </c>
      <c r="AF76" s="21">
        <f t="shared" si="62"/>
        <v>49.187038571643811</v>
      </c>
      <c r="AG76" s="21">
        <f t="shared" si="63"/>
        <v>51.653214496818535</v>
      </c>
      <c r="AH76" s="21">
        <f t="shared" si="64"/>
        <v>110.43101030354308</v>
      </c>
      <c r="AI76" s="21">
        <f t="shared" si="65"/>
        <v>10.686871964859007</v>
      </c>
      <c r="AJ76" s="21">
        <f t="shared" si="66"/>
        <v>62.340086461677544</v>
      </c>
      <c r="AK76" s="21">
        <f t="shared" si="67"/>
        <v>24.204481619507387</v>
      </c>
      <c r="AL76" s="21">
        <f t="shared" si="68"/>
        <v>70.963139293555756</v>
      </c>
      <c r="AM76" s="21">
        <f t="shared" si="69"/>
        <v>13.752546374720106</v>
      </c>
      <c r="AN76" s="21">
        <f t="shared" si="70"/>
        <v>28.055194604429019</v>
      </c>
      <c r="AP76">
        <f t="shared" si="77"/>
        <v>0.43794117300756719</v>
      </c>
      <c r="AQ76">
        <f t="shared" si="75"/>
        <v>0.56205882699243304</v>
      </c>
      <c r="AR76">
        <f t="shared" si="76"/>
        <v>0.30745004325495678</v>
      </c>
      <c r="AS76">
        <f t="shared" si="71"/>
        <v>0.32468505455658297</v>
      </c>
      <c r="AT76">
        <f t="shared" si="72"/>
        <v>0.54700687630886724</v>
      </c>
      <c r="AU76">
        <f t="shared" si="73"/>
        <v>0.74138965360759246</v>
      </c>
    </row>
    <row r="77" spans="1:47" x14ac:dyDescent="0.3">
      <c r="A77" t="s">
        <v>16</v>
      </c>
      <c r="B77">
        <v>2013</v>
      </c>
      <c r="C77">
        <v>7</v>
      </c>
      <c r="D77">
        <v>5</v>
      </c>
      <c r="E77">
        <v>4</v>
      </c>
      <c r="F77">
        <v>1</v>
      </c>
      <c r="G77">
        <v>181</v>
      </c>
      <c r="H77">
        <v>219</v>
      </c>
      <c r="I77">
        <v>104</v>
      </c>
      <c r="J77">
        <v>85</v>
      </c>
      <c r="K77">
        <v>56</v>
      </c>
      <c r="L77">
        <f>174+9</f>
        <v>183</v>
      </c>
      <c r="M77">
        <v>26</v>
      </c>
      <c r="N77">
        <v>61</v>
      </c>
      <c r="Q77" s="13">
        <f>B19/($B19+$C19+$D19)</f>
        <v>0.49673339805315769</v>
      </c>
      <c r="R77" s="13">
        <f>C19/($B19+$C19+$D19)</f>
        <v>0.34977566709521685</v>
      </c>
      <c r="S77" s="13">
        <f>D19/($B19+$C19+$D19)</f>
        <v>0.15349093485162543</v>
      </c>
      <c r="T77" s="13"/>
      <c r="U77" s="13">
        <f t="shared" si="55"/>
        <v>1.8433179723502304E-2</v>
      </c>
      <c r="V77" s="13">
        <f t="shared" si="56"/>
        <v>0.61443932411674351</v>
      </c>
      <c r="W77" s="13">
        <f t="shared" si="57"/>
        <v>0.36712749615975421</v>
      </c>
      <c r="Y77" s="14">
        <f t="shared" si="74"/>
        <v>26.947786844383806</v>
      </c>
      <c r="Z77" s="14">
        <f t="shared" si="58"/>
        <v>0.56925989819746536</v>
      </c>
      <c r="AA77" s="14">
        <f t="shared" si="58"/>
        <v>0.41808618656237723</v>
      </c>
      <c r="AC77" s="21">
        <f t="shared" si="59"/>
        <v>188.63450791068664</v>
      </c>
      <c r="AD77" s="21">
        <f t="shared" si="60"/>
        <v>134.73893422191904</v>
      </c>
      <c r="AE77" s="21">
        <f t="shared" si="61"/>
        <v>107.79114737753522</v>
      </c>
      <c r="AF77" s="21">
        <f t="shared" si="62"/>
        <v>26.947786844383806</v>
      </c>
      <c r="AG77" s="21">
        <f t="shared" si="63"/>
        <v>103.03604157374123</v>
      </c>
      <c r="AH77" s="21">
        <f t="shared" si="64"/>
        <v>124.66791770524492</v>
      </c>
      <c r="AI77" s="21">
        <f t="shared" si="65"/>
        <v>59.203029412536395</v>
      </c>
      <c r="AJ77" s="21">
        <f t="shared" si="66"/>
        <v>48.387091346784558</v>
      </c>
      <c r="AK77" s="21">
        <f t="shared" si="67"/>
        <v>23.412826447493124</v>
      </c>
      <c r="AL77" s="21">
        <f t="shared" si="68"/>
        <v>76.509772140915032</v>
      </c>
      <c r="AM77" s="21">
        <f t="shared" si="69"/>
        <v>10.870240850621808</v>
      </c>
      <c r="AN77" s="21">
        <f t="shared" si="70"/>
        <v>25.503257380305012</v>
      </c>
      <c r="AP77">
        <f t="shared" si="77"/>
        <v>0.48399904137007826</v>
      </c>
      <c r="AQ77">
        <f t="shared" si="75"/>
        <v>0.51600095862992168</v>
      </c>
      <c r="AR77">
        <f t="shared" si="76"/>
        <v>0.15489728966432165</v>
      </c>
      <c r="AS77">
        <f t="shared" si="71"/>
        <v>0.27321723139891457</v>
      </c>
      <c r="AT77">
        <f t="shared" si="72"/>
        <v>0.30018798816886438</v>
      </c>
      <c r="AU77">
        <f t="shared" si="73"/>
        <v>0.56449953005176645</v>
      </c>
    </row>
    <row r="78" spans="1:47" x14ac:dyDescent="0.3">
      <c r="A78" t="s">
        <v>16</v>
      </c>
      <c r="B78">
        <v>2014</v>
      </c>
      <c r="C78">
        <v>1</v>
      </c>
      <c r="D78">
        <v>4</v>
      </c>
      <c r="E78">
        <v>1</v>
      </c>
      <c r="F78">
        <v>2</v>
      </c>
      <c r="G78">
        <v>80</v>
      </c>
      <c r="H78">
        <v>119</v>
      </c>
      <c r="I78">
        <v>23</v>
      </c>
      <c r="J78">
        <v>38</v>
      </c>
      <c r="K78">
        <v>32</v>
      </c>
      <c r="L78">
        <v>259</v>
      </c>
      <c r="M78">
        <v>23</v>
      </c>
      <c r="N78">
        <v>142</v>
      </c>
      <c r="Q78" s="13">
        <f>B20/($B20+$C20+$D20)</f>
        <v>0.49526151902161653</v>
      </c>
      <c r="R78" s="13">
        <f>C20/($B20+$C20+$D20)</f>
        <v>0.3064668983257367</v>
      </c>
      <c r="S78" s="13">
        <f>D20/($B20+$C20+$D20)</f>
        <v>0.19827158265264677</v>
      </c>
      <c r="T78" s="13"/>
      <c r="U78" s="13">
        <f t="shared" si="55"/>
        <v>1.0101010101010102E-2</v>
      </c>
      <c r="V78" s="13">
        <f t="shared" si="56"/>
        <v>0.402020202020202</v>
      </c>
      <c r="W78" s="13">
        <f t="shared" si="57"/>
        <v>0.58787878787878789</v>
      </c>
      <c r="Y78" s="14">
        <f t="shared" si="74"/>
        <v>49.030890383140033</v>
      </c>
      <c r="Z78" s="14">
        <f t="shared" si="74"/>
        <v>0.76231715915195819</v>
      </c>
      <c r="AA78" s="14">
        <f t="shared" si="74"/>
        <v>0.33726609420295584</v>
      </c>
      <c r="AC78" s="21">
        <f t="shared" si="59"/>
        <v>49.030890383140033</v>
      </c>
      <c r="AD78" s="21">
        <f t="shared" si="60"/>
        <v>196.12356153256013</v>
      </c>
      <c r="AE78" s="21">
        <f t="shared" si="61"/>
        <v>49.030890383140033</v>
      </c>
      <c r="AF78" s="21">
        <f t="shared" si="62"/>
        <v>98.061780766280066</v>
      </c>
      <c r="AG78" s="21">
        <f t="shared" si="63"/>
        <v>60.985372732156655</v>
      </c>
      <c r="AH78" s="21">
        <f t="shared" si="64"/>
        <v>90.715741939083031</v>
      </c>
      <c r="AI78" s="21">
        <f t="shared" si="65"/>
        <v>17.533294660495038</v>
      </c>
      <c r="AJ78" s="21">
        <f t="shared" si="66"/>
        <v>28.96805204777441</v>
      </c>
      <c r="AK78" s="21">
        <f t="shared" si="67"/>
        <v>10.792515014494587</v>
      </c>
      <c r="AL78" s="21">
        <f t="shared" si="68"/>
        <v>87.351918398565559</v>
      </c>
      <c r="AM78" s="21">
        <f t="shared" si="69"/>
        <v>7.7571201666679839</v>
      </c>
      <c r="AN78" s="21">
        <f t="shared" si="70"/>
        <v>47.891785376819726</v>
      </c>
      <c r="AP78">
        <f t="shared" si="77"/>
        <v>0.24405813763594195</v>
      </c>
      <c r="AQ78">
        <f t="shared" si="75"/>
        <v>0.75594186236405803</v>
      </c>
      <c r="AR78">
        <f t="shared" si="76"/>
        <v>0.35337700644621051</v>
      </c>
      <c r="AS78">
        <f t="shared" si="71"/>
        <v>0.15014405092990515</v>
      </c>
      <c r="AT78">
        <f t="shared" si="72"/>
        <v>0.46746585159484899</v>
      </c>
      <c r="AU78">
        <f t="shared" si="73"/>
        <v>0.61519788843866741</v>
      </c>
    </row>
    <row r="79" spans="1:47" x14ac:dyDescent="0.3">
      <c r="A79" t="s">
        <v>16</v>
      </c>
      <c r="B79">
        <v>2015</v>
      </c>
      <c r="C79">
        <v>0</v>
      </c>
      <c r="D79">
        <v>7</v>
      </c>
      <c r="E79">
        <v>0</v>
      </c>
      <c r="F79">
        <v>4</v>
      </c>
      <c r="G79">
        <v>46</v>
      </c>
      <c r="H79">
        <f>132+25</f>
        <v>157</v>
      </c>
      <c r="I79">
        <v>15</v>
      </c>
      <c r="J79">
        <v>66</v>
      </c>
      <c r="K79">
        <v>100</v>
      </c>
      <c r="L79">
        <v>172</v>
      </c>
      <c r="M79">
        <v>70</v>
      </c>
      <c r="N79">
        <v>78</v>
      </c>
      <c r="Q79" s="13">
        <f>B21/($B21+$C21+$D21)</f>
        <v>0.44583476174151526</v>
      </c>
      <c r="R79" s="13">
        <f>C21/($B21+$C21+$D21)</f>
        <v>0.28938733532494243</v>
      </c>
      <c r="S79" s="13">
        <f>D21/($B21+$C21+$D21)</f>
        <v>0.26477790293354231</v>
      </c>
      <c r="T79" s="13"/>
      <c r="U79" s="13">
        <f t="shared" si="55"/>
        <v>1.4522821576763486E-2</v>
      </c>
      <c r="V79" s="13">
        <f t="shared" si="56"/>
        <v>0.42116182572614108</v>
      </c>
      <c r="W79" s="13">
        <f t="shared" si="57"/>
        <v>0.56431535269709543</v>
      </c>
      <c r="Y79" s="14">
        <f t="shared" si="74"/>
        <v>30.698907879915765</v>
      </c>
      <c r="Z79" s="14">
        <f t="shared" si="74"/>
        <v>0.68711672722474015</v>
      </c>
      <c r="AA79" s="14">
        <f t="shared" si="74"/>
        <v>0.46920201916899779</v>
      </c>
      <c r="AC79" s="21">
        <f t="shared" si="59"/>
        <v>0</v>
      </c>
      <c r="AD79" s="21">
        <f t="shared" si="60"/>
        <v>214.89235515941036</v>
      </c>
      <c r="AE79" s="21">
        <f t="shared" si="61"/>
        <v>0</v>
      </c>
      <c r="AF79" s="21">
        <f t="shared" si="62"/>
        <v>122.79563151966306</v>
      </c>
      <c r="AG79" s="21">
        <f t="shared" si="63"/>
        <v>31.607369452338048</v>
      </c>
      <c r="AH79" s="21">
        <f t="shared" si="64"/>
        <v>107.87732617428421</v>
      </c>
      <c r="AI79" s="21">
        <f t="shared" si="65"/>
        <v>10.306750908371102</v>
      </c>
      <c r="AJ79" s="21">
        <f t="shared" si="66"/>
        <v>45.349703996832851</v>
      </c>
      <c r="AK79" s="21">
        <f t="shared" si="67"/>
        <v>46.920201916899778</v>
      </c>
      <c r="AL79" s="21">
        <f t="shared" si="68"/>
        <v>80.702747297067617</v>
      </c>
      <c r="AM79" s="21">
        <f t="shared" si="69"/>
        <v>32.844141341829847</v>
      </c>
      <c r="AN79" s="21">
        <f t="shared" si="70"/>
        <v>36.597757495181824</v>
      </c>
      <c r="AP79">
        <f t="shared" si="77"/>
        <v>0.16292027255028593</v>
      </c>
      <c r="AQ79">
        <f t="shared" si="75"/>
        <v>0.83707972744971404</v>
      </c>
      <c r="AR79">
        <f t="shared" si="76"/>
        <v>0.42477820126904092</v>
      </c>
      <c r="AS79">
        <f t="shared" si="71"/>
        <v>8.9524672718259229E-2</v>
      </c>
      <c r="AT79">
        <f t="shared" si="72"/>
        <v>0.50745250104573658</v>
      </c>
      <c r="AU79">
        <f t="shared" si="73"/>
        <v>0.54949989535910648</v>
      </c>
    </row>
    <row r="80" spans="1:47" x14ac:dyDescent="0.3">
      <c r="A80" t="s">
        <v>16</v>
      </c>
      <c r="B80">
        <v>2016</v>
      </c>
      <c r="C80">
        <v>11</v>
      </c>
      <c r="D80">
        <v>0</v>
      </c>
      <c r="E80">
        <v>7</v>
      </c>
      <c r="F80">
        <v>0</v>
      </c>
      <c r="G80">
        <v>8</v>
      </c>
      <c r="H80">
        <v>19</v>
      </c>
      <c r="I80">
        <v>1</v>
      </c>
      <c r="J80">
        <v>6</v>
      </c>
      <c r="K80">
        <v>13</v>
      </c>
      <c r="L80">
        <v>72</v>
      </c>
      <c r="M80">
        <v>11</v>
      </c>
      <c r="N80">
        <v>31</v>
      </c>
      <c r="Q80" s="13">
        <f>B22/($B22+$C22+$D22)</f>
        <v>0.4705028679366981</v>
      </c>
      <c r="R80" s="13">
        <f>C22/($B22+$C22+$D22)</f>
        <v>0.31888231093501646</v>
      </c>
      <c r="S80" s="13">
        <f>D22/($B22+$C22+$D22)</f>
        <v>0.21061482112828545</v>
      </c>
      <c r="T80" s="13"/>
      <c r="U80" s="13">
        <f t="shared" si="55"/>
        <v>8.943089430894309E-2</v>
      </c>
      <c r="V80" s="13">
        <f t="shared" si="56"/>
        <v>0.21951219512195122</v>
      </c>
      <c r="W80" s="13">
        <f t="shared" si="57"/>
        <v>0.69105691056910568</v>
      </c>
      <c r="Y80" s="14">
        <f t="shared" si="74"/>
        <v>5.2610775232921698</v>
      </c>
      <c r="Z80" s="14">
        <f t="shared" si="74"/>
        <v>1.4526860831484083</v>
      </c>
      <c r="AA80" s="14">
        <f t="shared" si="74"/>
        <v>0.30477203527975422</v>
      </c>
      <c r="AC80" s="21">
        <f t="shared" si="59"/>
        <v>57.871852756213869</v>
      </c>
      <c r="AD80" s="21">
        <f t="shared" si="60"/>
        <v>0</v>
      </c>
      <c r="AE80" s="21">
        <f t="shared" si="61"/>
        <v>36.827542663045186</v>
      </c>
      <c r="AF80" s="21">
        <f t="shared" si="62"/>
        <v>0</v>
      </c>
      <c r="AG80" s="21">
        <f t="shared" si="63"/>
        <v>11.621488665187266</v>
      </c>
      <c r="AH80" s="21">
        <f t="shared" si="64"/>
        <v>27.601035579819758</v>
      </c>
      <c r="AI80" s="21">
        <f t="shared" si="65"/>
        <v>1.4526860831484083</v>
      </c>
      <c r="AJ80" s="21">
        <f t="shared" si="66"/>
        <v>8.7161164988904503</v>
      </c>
      <c r="AK80" s="21">
        <f t="shared" si="67"/>
        <v>3.9620364586368049</v>
      </c>
      <c r="AL80" s="21">
        <f t="shared" si="68"/>
        <v>21.943586540142302</v>
      </c>
      <c r="AM80" s="21">
        <f t="shared" si="69"/>
        <v>3.3524923880772963</v>
      </c>
      <c r="AN80" s="21">
        <f t="shared" si="70"/>
        <v>9.4479330936723809</v>
      </c>
      <c r="AP80">
        <f t="shared" si="77"/>
        <v>0.59719819414664999</v>
      </c>
      <c r="AQ80">
        <f t="shared" si="75"/>
        <v>0.40280180585335007</v>
      </c>
      <c r="AR80">
        <f t="shared" si="76"/>
        <v>0.14767519993953523</v>
      </c>
      <c r="AS80">
        <f t="shared" si="71"/>
        <v>0.33847740759569828</v>
      </c>
      <c r="AT80">
        <f t="shared" si="72"/>
        <v>0.36662000466129996</v>
      </c>
      <c r="AU80">
        <f t="shared" si="73"/>
        <v>0.56677567165010656</v>
      </c>
    </row>
    <row r="81" spans="1:47" x14ac:dyDescent="0.3">
      <c r="A81" t="s">
        <v>16</v>
      </c>
      <c r="B81">
        <v>2017</v>
      </c>
      <c r="C81">
        <v>1</v>
      </c>
      <c r="D81">
        <v>0</v>
      </c>
      <c r="E81">
        <v>1</v>
      </c>
      <c r="F81">
        <v>0</v>
      </c>
      <c r="G81">
        <v>24</v>
      </c>
      <c r="H81">
        <v>70</v>
      </c>
      <c r="I81">
        <v>23</v>
      </c>
      <c r="J81">
        <v>41</v>
      </c>
      <c r="K81">
        <v>0</v>
      </c>
      <c r="L81">
        <v>17</v>
      </c>
      <c r="M81">
        <v>0</v>
      </c>
      <c r="N81">
        <v>10</v>
      </c>
      <c r="Q81" s="13">
        <f>B23/($B23+$C23+$D23)</f>
        <v>0.47853227288570616</v>
      </c>
      <c r="R81" s="13">
        <f>C23/($B23+$C23+$D23)</f>
        <v>0.2668652365410818</v>
      </c>
      <c r="S81" s="13">
        <f>D23/($B23+$C23+$D23)</f>
        <v>0.2546024905732121</v>
      </c>
      <c r="T81" s="13"/>
      <c r="U81" s="13">
        <f t="shared" si="55"/>
        <v>8.9285714285714281E-3</v>
      </c>
      <c r="V81" s="13">
        <f t="shared" si="56"/>
        <v>0.8392857142857143</v>
      </c>
      <c r="W81" s="13">
        <f t="shared" si="57"/>
        <v>0.15178571428571427</v>
      </c>
      <c r="Y81" s="14">
        <f t="shared" si="74"/>
        <v>53.595614563199092</v>
      </c>
      <c r="Z81" s="14">
        <f t="shared" si="74"/>
        <v>0.31796709034682086</v>
      </c>
      <c r="AA81" s="14">
        <f t="shared" si="74"/>
        <v>1.6773811143646917</v>
      </c>
      <c r="AC81" s="21">
        <f t="shared" si="59"/>
        <v>53.595614563199092</v>
      </c>
      <c r="AD81" s="21">
        <f t="shared" si="60"/>
        <v>0</v>
      </c>
      <c r="AE81" s="21">
        <f t="shared" si="61"/>
        <v>53.595614563199092</v>
      </c>
      <c r="AF81" s="21">
        <f t="shared" si="62"/>
        <v>0</v>
      </c>
      <c r="AG81" s="21">
        <f t="shared" si="63"/>
        <v>7.631210168323701</v>
      </c>
      <c r="AH81" s="21">
        <f t="shared" si="64"/>
        <v>22.257696324277461</v>
      </c>
      <c r="AI81" s="21">
        <f t="shared" si="65"/>
        <v>7.31324307797688</v>
      </c>
      <c r="AJ81" s="21">
        <f t="shared" si="66"/>
        <v>13.036650704219655</v>
      </c>
      <c r="AK81" s="21">
        <f t="shared" si="67"/>
        <v>0</v>
      </c>
      <c r="AL81" s="21">
        <f t="shared" si="68"/>
        <v>28.51547894419976</v>
      </c>
      <c r="AM81" s="21">
        <f t="shared" si="69"/>
        <v>0</v>
      </c>
      <c r="AN81" s="21">
        <f t="shared" si="70"/>
        <v>16.773811143646917</v>
      </c>
      <c r="AP81">
        <f t="shared" si="77"/>
        <v>0.54666807796002492</v>
      </c>
      <c r="AQ81">
        <f t="shared" si="75"/>
        <v>0.45333192203997508</v>
      </c>
      <c r="AR81">
        <f t="shared" si="76"/>
        <v>0.26616483792738005</v>
      </c>
      <c r="AS81">
        <f t="shared" si="71"/>
        <v>0.54382908608192826</v>
      </c>
      <c r="AT81">
        <f t="shared" si="72"/>
        <v>0.58713014677997788</v>
      </c>
      <c r="AU81">
        <f t="shared" si="73"/>
        <v>0.99480673558132238</v>
      </c>
    </row>
    <row r="82" spans="1:47" x14ac:dyDescent="0.3">
      <c r="A82" t="s">
        <v>16</v>
      </c>
      <c r="B82">
        <v>2018</v>
      </c>
      <c r="C82">
        <v>2</v>
      </c>
      <c r="D82">
        <v>3</v>
      </c>
      <c r="E82">
        <v>2</v>
      </c>
      <c r="F82">
        <v>0</v>
      </c>
      <c r="G82">
        <v>65</v>
      </c>
      <c r="H82">
        <v>74</v>
      </c>
      <c r="I82">
        <v>50</v>
      </c>
      <c r="J82">
        <v>45</v>
      </c>
      <c r="K82">
        <v>27</v>
      </c>
      <c r="L82">
        <v>73</v>
      </c>
      <c r="M82">
        <v>19</v>
      </c>
      <c r="N82">
        <v>26</v>
      </c>
      <c r="Q82" s="13">
        <f>B24/($B24+$C24+$D24)</f>
        <v>0.40731657469854893</v>
      </c>
      <c r="R82" s="13">
        <f>C24/($B24+$C24+$D24)</f>
        <v>0.33820423734586824</v>
      </c>
      <c r="S82" s="13">
        <f>D24/($B24+$C24+$D24)</f>
        <v>0.25447918795558283</v>
      </c>
      <c r="T82" s="13"/>
      <c r="U82" s="13">
        <f>(C82+D82)/($C82+$D82+$G82+$H82+$K82+$L82)</f>
        <v>2.0491803278688523E-2</v>
      </c>
      <c r="V82" s="13">
        <f>(G82+H82)/($C82+$D82+$G82+$H82+$K82+$L82)</f>
        <v>0.56967213114754101</v>
      </c>
      <c r="W82" s="13">
        <f>(L82+K82)/($C82+$D82+$G82+$H82+$K82+$L82)</f>
        <v>0.4098360655737705</v>
      </c>
      <c r="Y82" s="14">
        <f>Q82/U82</f>
        <v>19.877048845289188</v>
      </c>
      <c r="Z82" s="14">
        <f t="shared" si="74"/>
        <v>0.5936822583625313</v>
      </c>
      <c r="AA82" s="14">
        <f t="shared" si="74"/>
        <v>0.62092921861162209</v>
      </c>
      <c r="AC82" s="21">
        <f>$Y82*C82</f>
        <v>39.754097690578377</v>
      </c>
      <c r="AD82" s="21">
        <f t="shared" ref="AD82:AF85" si="78">$Y82*D82</f>
        <v>59.631146535867565</v>
      </c>
      <c r="AE82" s="21">
        <f t="shared" si="78"/>
        <v>39.754097690578377</v>
      </c>
      <c r="AF82" s="21">
        <f t="shared" si="78"/>
        <v>0</v>
      </c>
      <c r="AG82" s="21">
        <f>$Z82*G82</f>
        <v>38.589346793564538</v>
      </c>
      <c r="AH82" s="21">
        <f t="shared" ref="AH82:AJ85" si="79">$Z82*H82</f>
        <v>43.932487118827318</v>
      </c>
      <c r="AI82" s="21">
        <f t="shared" si="79"/>
        <v>29.684112918126566</v>
      </c>
      <c r="AJ82" s="21">
        <f t="shared" si="79"/>
        <v>26.715701626313908</v>
      </c>
      <c r="AK82" s="21">
        <f>$AA82*K82</f>
        <v>16.765088902513796</v>
      </c>
      <c r="AL82" s="21">
        <f t="shared" ref="AL82:AN85" si="80">$AA82*L82</f>
        <v>45.327832958648415</v>
      </c>
      <c r="AM82" s="21">
        <f t="shared" si="80"/>
        <v>11.79765515362082</v>
      </c>
      <c r="AN82" s="21">
        <f t="shared" si="80"/>
        <v>16.144159683902174</v>
      </c>
      <c r="AP82">
        <f t="shared" si="77"/>
        <v>0.38978907125678974</v>
      </c>
      <c r="AQ82">
        <f t="shared" si="75"/>
        <v>0.61021092874321026</v>
      </c>
      <c r="AR82">
        <f t="shared" si="76"/>
        <v>0.17565516930416428</v>
      </c>
      <c r="AS82">
        <f t="shared" si="71"/>
        <v>0.33293387607510555</v>
      </c>
      <c r="AT82">
        <f t="shared" si="72"/>
        <v>0.28785975640577832</v>
      </c>
      <c r="AU82">
        <f t="shared" si="73"/>
        <v>0.85413856012338407</v>
      </c>
    </row>
    <row r="83" spans="1:47" x14ac:dyDescent="0.3">
      <c r="A83" t="s">
        <v>16</v>
      </c>
      <c r="B83">
        <v>2019</v>
      </c>
      <c r="C83">
        <v>0</v>
      </c>
      <c r="D83">
        <v>0</v>
      </c>
      <c r="E83">
        <v>0</v>
      </c>
      <c r="F83">
        <v>0</v>
      </c>
      <c r="G83">
        <v>53</v>
      </c>
      <c r="H83">
        <v>106</v>
      </c>
      <c r="I83">
        <v>36</v>
      </c>
      <c r="J83">
        <v>63</v>
      </c>
      <c r="K83">
        <v>72</v>
      </c>
      <c r="L83">
        <v>86</v>
      </c>
      <c r="M83">
        <v>67</v>
      </c>
      <c r="N83">
        <v>36</v>
      </c>
      <c r="Q83" s="13">
        <f>B25/($B25+$C25+$D25)</f>
        <v>0.41250827408024254</v>
      </c>
      <c r="R83" s="13">
        <f>C25/($B25+$C25+$D25)</f>
        <v>0.34518395148719921</v>
      </c>
      <c r="S83" s="13">
        <f>D25/($B25+$C25+$D25)</f>
        <v>0.24230777443255824</v>
      </c>
      <c r="T83" s="13"/>
      <c r="U83" s="13">
        <f t="shared" ref="U83:U85" si="81">(C83+D83)/($C83+$D83+$G83+$H83+$K83+$L83)</f>
        <v>0</v>
      </c>
      <c r="V83" s="13">
        <f t="shared" ref="V83:V85" si="82">(G83+H83)/($C83+$D83+$G83+$H83+$K83+$L83)</f>
        <v>0.50157728706624605</v>
      </c>
      <c r="W83" s="13">
        <f t="shared" ref="W83:W85" si="83">(L83+K83)/($C83+$D83+$G83+$H83+$K83+$L83)</f>
        <v>0.49842271293375395</v>
      </c>
      <c r="Y83" s="14">
        <v>0</v>
      </c>
      <c r="Z83" s="14">
        <f t="shared" ref="Z83:Z85" si="84">R83/V83</f>
        <v>0.68819693472605126</v>
      </c>
      <c r="AA83" s="14">
        <f t="shared" ref="AA83:AA85" si="85">S83/W83</f>
        <v>0.48614914237418327</v>
      </c>
      <c r="AC83" s="21">
        <f t="shared" ref="AC83:AC85" si="86">$Y83*C83</f>
        <v>0</v>
      </c>
      <c r="AD83" s="21">
        <f t="shared" si="78"/>
        <v>0</v>
      </c>
      <c r="AE83" s="21">
        <f t="shared" si="78"/>
        <v>0</v>
      </c>
      <c r="AF83" s="21">
        <f t="shared" si="78"/>
        <v>0</v>
      </c>
      <c r="AG83" s="21">
        <f t="shared" ref="AG83:AG85" si="87">$Z83*G83</f>
        <v>36.474437540480714</v>
      </c>
      <c r="AH83" s="21">
        <f t="shared" si="79"/>
        <v>72.948875080961429</v>
      </c>
      <c r="AI83" s="21">
        <f t="shared" si="79"/>
        <v>24.775089650137843</v>
      </c>
      <c r="AJ83" s="21">
        <f t="shared" si="79"/>
        <v>43.35640688774123</v>
      </c>
      <c r="AK83" s="21">
        <f t="shared" ref="AK83:AK85" si="88">$AA83*K83</f>
        <v>35.002738250941192</v>
      </c>
      <c r="AL83" s="21">
        <f t="shared" si="80"/>
        <v>41.808826244179762</v>
      </c>
      <c r="AM83" s="21">
        <f t="shared" si="80"/>
        <v>32.57199253907028</v>
      </c>
      <c r="AN83" s="21">
        <f t="shared" si="80"/>
        <v>17.501369125470596</v>
      </c>
      <c r="AP83">
        <f t="shared" ref="AP83:AP85" si="89">(AC83+AG83+AK83)/($AD83+$AC83+$AG83+$AH83+$AK83+$AL83)</f>
        <v>0.38380123475306321</v>
      </c>
      <c r="AQ83">
        <f t="shared" ref="AQ83:AQ85" si="90">(AD83+AH83+AL83)/($AD83+$AC83+$AG83+$AH83+$AK83+$AL83)</f>
        <v>0.61619876524693695</v>
      </c>
      <c r="AR83">
        <f t="shared" ref="AR83:AR85" si="91">(AF83+AJ83+AN83)/($AD83+$AC83+$AG83+$AH83+$AK83+$AL83)</f>
        <v>0.32677969323179668</v>
      </c>
      <c r="AS83">
        <f t="shared" ref="AS83:AS85" si="92">(AE83+AI83+AM83)/($AD83+$AC83+$AG83+$AH83+$AK83+$AL83)</f>
        <v>0.30792879978821042</v>
      </c>
      <c r="AT83">
        <f t="shared" ref="AT83:AT85" si="93">(AN83+AJ83+AF83)/(AD83+AH83+AL83)</f>
        <v>0.53031539766367786</v>
      </c>
      <c r="AU83">
        <f t="shared" ref="AU83:AU85" si="94">(AM83+AI83+AE83)/(AC83+AG83+AK83)</f>
        <v>0.80231320773715353</v>
      </c>
    </row>
    <row r="84" spans="1:47" x14ac:dyDescent="0.3">
      <c r="A84" t="s">
        <v>16</v>
      </c>
      <c r="B84">
        <v>2020</v>
      </c>
      <c r="C84">
        <v>4</v>
      </c>
      <c r="D84">
        <v>5</v>
      </c>
      <c r="E84">
        <v>4</v>
      </c>
      <c r="F84">
        <v>2</v>
      </c>
      <c r="G84">
        <v>50</v>
      </c>
      <c r="H84">
        <v>87</v>
      </c>
      <c r="I84">
        <v>36</v>
      </c>
      <c r="J84">
        <v>53</v>
      </c>
      <c r="K84">
        <v>52</v>
      </c>
      <c r="L84">
        <v>65</v>
      </c>
      <c r="M84">
        <v>41</v>
      </c>
      <c r="N84">
        <v>22</v>
      </c>
      <c r="Q84" s="13">
        <f>B26/($B26+$C26+$D26)</f>
        <v>0.37175061641423035</v>
      </c>
      <c r="R84" s="13">
        <f>C26/($B26+$C26+$D26)</f>
        <v>0.33434307854878476</v>
      </c>
      <c r="S84" s="13">
        <f>D26/($B26+$C26+$D26)</f>
        <v>0.29390630503698484</v>
      </c>
      <c r="T84" s="13"/>
      <c r="U84" s="13">
        <f t="shared" si="81"/>
        <v>3.4220532319391636E-2</v>
      </c>
      <c r="V84" s="13">
        <f t="shared" si="82"/>
        <v>0.52091254752851712</v>
      </c>
      <c r="W84" s="13">
        <f t="shared" si="83"/>
        <v>0.44486692015209123</v>
      </c>
      <c r="Y84" s="14">
        <f t="shared" ref="Y84:Y85" si="95">Q84/U84</f>
        <v>10.86337912410473</v>
      </c>
      <c r="Z84" s="14">
        <f t="shared" si="84"/>
        <v>0.64184109239657217</v>
      </c>
      <c r="AA84" s="14">
        <f t="shared" si="85"/>
        <v>0.66066118140792318</v>
      </c>
      <c r="AC84" s="21">
        <f t="shared" si="86"/>
        <v>43.453516496418921</v>
      </c>
      <c r="AD84" s="21">
        <f t="shared" si="78"/>
        <v>54.316895620523653</v>
      </c>
      <c r="AE84" s="21">
        <f t="shared" si="78"/>
        <v>43.453516496418921</v>
      </c>
      <c r="AF84" s="21">
        <f t="shared" si="78"/>
        <v>21.72675824820946</v>
      </c>
      <c r="AG84" s="21">
        <f t="shared" si="87"/>
        <v>32.092054619828609</v>
      </c>
      <c r="AH84" s="21">
        <f t="shared" si="79"/>
        <v>55.840175038501776</v>
      </c>
      <c r="AI84" s="21">
        <f t="shared" si="79"/>
        <v>23.106279326276599</v>
      </c>
      <c r="AJ84" s="21">
        <f t="shared" si="79"/>
        <v>34.017577897018327</v>
      </c>
      <c r="AK84" s="21">
        <f t="shared" si="88"/>
        <v>34.354381433212005</v>
      </c>
      <c r="AL84" s="21">
        <f t="shared" si="80"/>
        <v>42.942976791515008</v>
      </c>
      <c r="AM84" s="21">
        <f t="shared" si="80"/>
        <v>27.087108437724851</v>
      </c>
      <c r="AN84" s="21">
        <f t="shared" si="80"/>
        <v>14.53454599097431</v>
      </c>
      <c r="AP84">
        <f t="shared" si="89"/>
        <v>0.4178705420131541</v>
      </c>
      <c r="AQ84">
        <f t="shared" si="90"/>
        <v>0.58212945798684579</v>
      </c>
      <c r="AR84">
        <f t="shared" si="91"/>
        <v>0.26722008416806881</v>
      </c>
      <c r="AS84">
        <f t="shared" si="92"/>
        <v>0.3560718793171877</v>
      </c>
      <c r="AT84">
        <f t="shared" si="93"/>
        <v>0.45903893112055344</v>
      </c>
      <c r="AU84">
        <f t="shared" si="94"/>
        <v>0.85211050676546374</v>
      </c>
    </row>
    <row r="85" spans="1:47" x14ac:dyDescent="0.3">
      <c r="A85" t="s">
        <v>16</v>
      </c>
      <c r="B85">
        <v>2021</v>
      </c>
      <c r="C85">
        <v>21</v>
      </c>
      <c r="D85">
        <v>4</v>
      </c>
      <c r="E85">
        <v>21</v>
      </c>
      <c r="F85">
        <v>3</v>
      </c>
      <c r="G85">
        <v>10</v>
      </c>
      <c r="H85">
        <v>60</v>
      </c>
      <c r="I85">
        <v>0</v>
      </c>
      <c r="J85">
        <v>36</v>
      </c>
      <c r="K85">
        <v>88</v>
      </c>
      <c r="L85">
        <v>65</v>
      </c>
      <c r="M85">
        <v>69</v>
      </c>
      <c r="N85">
        <v>18</v>
      </c>
      <c r="Q85" s="13">
        <f>B27/($B27+$C27+$D27)</f>
        <v>0.45877496671105195</v>
      </c>
      <c r="R85" s="13">
        <f>C27/($B27+$C27+$D27)</f>
        <v>0.34793608521970704</v>
      </c>
      <c r="S85" s="13">
        <f>D27/($B27+$C27+$D27)</f>
        <v>0.19328894806924102</v>
      </c>
      <c r="T85" s="13"/>
      <c r="U85" s="13">
        <f t="shared" si="81"/>
        <v>0.10080645161290322</v>
      </c>
      <c r="V85" s="13">
        <f t="shared" si="82"/>
        <v>0.28225806451612906</v>
      </c>
      <c r="W85" s="13">
        <f t="shared" si="83"/>
        <v>0.61693548387096775</v>
      </c>
      <c r="Y85" s="14">
        <f t="shared" si="95"/>
        <v>4.5510476697736353</v>
      </c>
      <c r="Z85" s="14">
        <f t="shared" si="84"/>
        <v>1.2326878447783904</v>
      </c>
      <c r="AA85" s="14">
        <f t="shared" si="85"/>
        <v>0.31330496157628607</v>
      </c>
      <c r="AC85" s="21">
        <f t="shared" si="86"/>
        <v>95.57200106524634</v>
      </c>
      <c r="AD85" s="21">
        <f t="shared" si="78"/>
        <v>18.204190679094541</v>
      </c>
      <c r="AE85" s="21">
        <f t="shared" si="78"/>
        <v>95.57200106524634</v>
      </c>
      <c r="AF85" s="21">
        <f t="shared" si="78"/>
        <v>13.653143009320907</v>
      </c>
      <c r="AG85" s="21">
        <f t="shared" si="87"/>
        <v>12.326878447783905</v>
      </c>
      <c r="AH85" s="21">
        <f t="shared" si="79"/>
        <v>73.961270686703429</v>
      </c>
      <c r="AI85" s="21">
        <f t="shared" si="79"/>
        <v>0</v>
      </c>
      <c r="AJ85" s="21">
        <f t="shared" si="79"/>
        <v>44.376762412022053</v>
      </c>
      <c r="AK85" s="21">
        <f t="shared" si="88"/>
        <v>27.570836618713173</v>
      </c>
      <c r="AL85" s="21">
        <f t="shared" si="80"/>
        <v>20.364822502458594</v>
      </c>
      <c r="AM85" s="21">
        <f t="shared" si="80"/>
        <v>21.618042348763737</v>
      </c>
      <c r="AN85" s="21">
        <f t="shared" si="80"/>
        <v>5.6394893083731494</v>
      </c>
      <c r="AP85">
        <f t="shared" si="89"/>
        <v>0.54624885536993317</v>
      </c>
      <c r="AQ85">
        <f t="shared" si="90"/>
        <v>0.45375114463006683</v>
      </c>
      <c r="AR85">
        <f t="shared" si="91"/>
        <v>0.25673143036175855</v>
      </c>
      <c r="AS85">
        <f t="shared" si="92"/>
        <v>0.47254049763713746</v>
      </c>
      <c r="AT85">
        <f t="shared" si="93"/>
        <v>0.56579786828100664</v>
      </c>
      <c r="AU85">
        <f t="shared" si="94"/>
        <v>0.8650645085876133</v>
      </c>
    </row>
    <row r="86" spans="1:47" x14ac:dyDescent="0.3">
      <c r="A86" t="s">
        <v>16</v>
      </c>
      <c r="B86">
        <v>2022</v>
      </c>
      <c r="C86">
        <v>0</v>
      </c>
      <c r="D86">
        <v>9</v>
      </c>
      <c r="E86">
        <v>0</v>
      </c>
      <c r="F86">
        <v>5</v>
      </c>
      <c r="G86">
        <v>33</v>
      </c>
      <c r="H86">
        <v>98</v>
      </c>
      <c r="I86">
        <v>5</v>
      </c>
      <c r="J86">
        <v>70</v>
      </c>
      <c r="K86">
        <v>60</v>
      </c>
      <c r="L86">
        <v>178</v>
      </c>
      <c r="M86">
        <v>26</v>
      </c>
      <c r="N86">
        <v>53</v>
      </c>
      <c r="Q86" s="13">
        <f>B28/($B28+$C28+$D28)</f>
        <v>0.49950314673733026</v>
      </c>
      <c r="R86" s="13">
        <f>C28/($B28+$C28+$D28)</f>
        <v>0.29973802282513778</v>
      </c>
      <c r="S86" s="13">
        <f>D28/($B28+$C28+$D28)</f>
        <v>0.20075883043753198</v>
      </c>
      <c r="T86" s="13"/>
      <c r="U86" s="13">
        <f t="shared" ref="U86" si="96">(C86+D86)/($C86+$D86+$G86+$H86+$K86+$L86)</f>
        <v>2.3809523809523808E-2</v>
      </c>
      <c r="V86" s="13">
        <f t="shared" ref="V86" si="97">(G86+H86)/($C86+$D86+$G86+$H86+$K86+$L86)</f>
        <v>0.34656084656084657</v>
      </c>
      <c r="W86" s="13">
        <f t="shared" ref="W86" si="98">(L86+K86)/($C86+$D86+$G86+$H86+$K86+$L86)</f>
        <v>0.62962962962962965</v>
      </c>
      <c r="Y86" s="14">
        <f t="shared" ref="Y86" si="99">Q86/U86</f>
        <v>20.979132162967872</v>
      </c>
      <c r="Z86" s="14">
        <f t="shared" ref="Z86" si="100">R86/V86</f>
        <v>0.86489292082367997</v>
      </c>
      <c r="AA86" s="14">
        <f t="shared" ref="AA86" si="101">S86/W86</f>
        <v>0.31885226010666845</v>
      </c>
      <c r="AC86" s="21">
        <f t="shared" ref="AC86" si="102">$Y86*C86</f>
        <v>0</v>
      </c>
      <c r="AD86" s="21">
        <f t="shared" ref="AD86" si="103">$Y86*D86</f>
        <v>188.81218946671083</v>
      </c>
      <c r="AE86" s="21">
        <f t="shared" ref="AE86" si="104">$Y86*E86</f>
        <v>0</v>
      </c>
      <c r="AF86" s="21">
        <f t="shared" ref="AF86" si="105">$Y86*F86</f>
        <v>104.89566081483936</v>
      </c>
      <c r="AG86" s="21">
        <f t="shared" ref="AG86" si="106">$Z86*G86</f>
        <v>28.54146638718144</v>
      </c>
      <c r="AH86" s="21">
        <f t="shared" ref="AH86" si="107">$Z86*H86</f>
        <v>84.75950624072064</v>
      </c>
      <c r="AI86" s="21">
        <f t="shared" ref="AI86" si="108">$Z86*I86</f>
        <v>4.3244646041183996</v>
      </c>
      <c r="AJ86" s="21">
        <f t="shared" ref="AJ86" si="109">$Z86*J86</f>
        <v>60.5425044576576</v>
      </c>
      <c r="AK86" s="21">
        <f t="shared" ref="AK86" si="110">$AA86*K86</f>
        <v>19.131135606400107</v>
      </c>
      <c r="AL86" s="21">
        <f t="shared" ref="AL86" si="111">$AA86*L86</f>
        <v>56.755702298986982</v>
      </c>
      <c r="AM86" s="21">
        <f t="shared" ref="AM86" si="112">$AA86*M86</f>
        <v>8.2901587627733804</v>
      </c>
      <c r="AN86" s="21">
        <f t="shared" ref="AN86" si="113">$AA86*N86</f>
        <v>16.899169785653427</v>
      </c>
      <c r="AP86">
        <f t="shared" ref="AP86" si="114">(AC86+AG86+AK86)/($AD86+$AC86+$AG86+$AH86+$AK86+$AL86)</f>
        <v>0.12611799469201468</v>
      </c>
      <c r="AQ86">
        <f t="shared" ref="AQ86" si="115">(AD86+AH86+AL86)/($AD86+$AC86+$AG86+$AH86+$AK86+$AL86)</f>
        <v>0.87388200530798532</v>
      </c>
      <c r="AR86">
        <f t="shared" ref="AR86" si="116">(AF86+AJ86+AN86)/($AD86+$AC86+$AG86+$AH86+$AK86+$AL86)</f>
        <v>0.48237390227023919</v>
      </c>
      <c r="AS86">
        <f t="shared" ref="AS86" si="117">(AE86+AI86+AM86)/($AD86+$AC86+$AG86+$AH86+$AK86+$AL86)</f>
        <v>3.3372019489131696E-2</v>
      </c>
      <c r="AT86">
        <f t="shared" ref="AT86" si="118">(AN86+AJ86+AF86)/(AD86+AH86+AL86)</f>
        <v>0.55198974156726621</v>
      </c>
      <c r="AU86">
        <f t="shared" ref="AU86" si="119">(AM86+AI86+AE86)/(AC86+AG86+AK86)</f>
        <v>0.26460949978333809</v>
      </c>
    </row>
    <row r="88" spans="1:47" x14ac:dyDescent="0.3">
      <c r="C88" s="31" t="s">
        <v>107</v>
      </c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Q88" t="s">
        <v>76</v>
      </c>
      <c r="U88" t="s">
        <v>77</v>
      </c>
      <c r="Y88" s="29" t="s">
        <v>79</v>
      </c>
      <c r="Z88" s="29"/>
      <c r="AC88" s="27" t="s">
        <v>105</v>
      </c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P88" s="27" t="s">
        <v>84</v>
      </c>
      <c r="AQ88" s="27"/>
      <c r="AR88" s="27"/>
      <c r="AS88" s="27"/>
      <c r="AT88" s="27"/>
      <c r="AU88" s="27"/>
    </row>
    <row r="89" spans="1:47" x14ac:dyDescent="0.3">
      <c r="C89" s="27" t="s">
        <v>66</v>
      </c>
      <c r="D89" s="27"/>
      <c r="E89" s="27"/>
      <c r="F89" s="27"/>
      <c r="G89" s="27" t="s">
        <v>67</v>
      </c>
      <c r="H89" s="27"/>
      <c r="I89" s="27"/>
      <c r="J89" s="27"/>
      <c r="K89" s="27" t="s">
        <v>68</v>
      </c>
      <c r="L89" s="27"/>
      <c r="M89" s="27"/>
      <c r="N89" s="27"/>
      <c r="Q89" t="s">
        <v>24</v>
      </c>
      <c r="R89" t="s">
        <v>20</v>
      </c>
      <c r="S89" t="s">
        <v>78</v>
      </c>
      <c r="U89" t="s">
        <v>24</v>
      </c>
      <c r="V89" t="s">
        <v>20</v>
      </c>
      <c r="W89" t="s">
        <v>78</v>
      </c>
      <c r="Y89" t="s">
        <v>24</v>
      </c>
      <c r="Z89" t="s">
        <v>20</v>
      </c>
      <c r="AA89" t="s">
        <v>78</v>
      </c>
      <c r="AC89" s="27" t="s">
        <v>24</v>
      </c>
      <c r="AD89" s="27"/>
      <c r="AE89" s="27"/>
      <c r="AF89" s="27"/>
      <c r="AG89" s="27" t="s">
        <v>20</v>
      </c>
      <c r="AH89" s="27"/>
      <c r="AI89" s="27"/>
      <c r="AJ89" s="28"/>
      <c r="AK89" s="27" t="s">
        <v>78</v>
      </c>
      <c r="AL89" s="27"/>
      <c r="AM89" s="27"/>
      <c r="AN89" s="28"/>
      <c r="AP89" s="27"/>
      <c r="AQ89" s="27"/>
      <c r="AR89" s="27"/>
      <c r="AS89" s="27"/>
    </row>
    <row r="90" spans="1:47" x14ac:dyDescent="0.3">
      <c r="A90" s="2" t="s">
        <v>26</v>
      </c>
      <c r="B90" s="2" t="s">
        <v>0</v>
      </c>
      <c r="C90" s="2" t="s">
        <v>62</v>
      </c>
      <c r="D90" s="2" t="s">
        <v>63</v>
      </c>
      <c r="E90" s="2" t="s">
        <v>64</v>
      </c>
      <c r="F90" s="2" t="s">
        <v>65</v>
      </c>
      <c r="G90" s="2" t="s">
        <v>62</v>
      </c>
      <c r="H90" s="2" t="s">
        <v>63</v>
      </c>
      <c r="I90" s="2" t="s">
        <v>64</v>
      </c>
      <c r="J90" s="2" t="s">
        <v>65</v>
      </c>
      <c r="K90" s="2" t="s">
        <v>62</v>
      </c>
      <c r="L90" s="2" t="s">
        <v>63</v>
      </c>
      <c r="M90" s="2" t="s">
        <v>64</v>
      </c>
      <c r="N90" s="2" t="s">
        <v>65</v>
      </c>
      <c r="Q90" s="13"/>
      <c r="R90" s="13"/>
      <c r="S90" s="13"/>
      <c r="U90" s="13"/>
      <c r="V90" s="13"/>
      <c r="W90" s="13"/>
      <c r="AC90" s="2" t="s">
        <v>62</v>
      </c>
      <c r="AD90" s="2" t="s">
        <v>63</v>
      </c>
      <c r="AE90" s="2" t="s">
        <v>64</v>
      </c>
      <c r="AF90" s="2" t="s">
        <v>65</v>
      </c>
      <c r="AG90" s="2" t="s">
        <v>62</v>
      </c>
      <c r="AH90" s="2" t="s">
        <v>63</v>
      </c>
      <c r="AI90" s="2" t="s">
        <v>64</v>
      </c>
      <c r="AJ90" s="12" t="s">
        <v>65</v>
      </c>
      <c r="AK90" s="2" t="s">
        <v>62</v>
      </c>
      <c r="AL90" s="2" t="s">
        <v>63</v>
      </c>
      <c r="AM90" s="2" t="s">
        <v>64</v>
      </c>
      <c r="AN90" s="12" t="s">
        <v>65</v>
      </c>
      <c r="AP90" s="2" t="s">
        <v>81</v>
      </c>
      <c r="AQ90" s="2" t="s">
        <v>82</v>
      </c>
      <c r="AR90" s="2" t="s">
        <v>83</v>
      </c>
      <c r="AS90" s="2" t="s">
        <v>85</v>
      </c>
      <c r="AT90" s="2" t="s">
        <v>86</v>
      </c>
      <c r="AU90" s="2" t="s">
        <v>87</v>
      </c>
    </row>
    <row r="91" spans="1:47" x14ac:dyDescent="0.3">
      <c r="A91" t="s">
        <v>17</v>
      </c>
      <c r="B91">
        <v>1998</v>
      </c>
      <c r="C91">
        <v>3</v>
      </c>
      <c r="D91">
        <v>5</v>
      </c>
      <c r="E91">
        <v>3</v>
      </c>
      <c r="F91">
        <v>3</v>
      </c>
      <c r="K91">
        <v>2</v>
      </c>
      <c r="L91">
        <v>4</v>
      </c>
      <c r="M91">
        <v>2</v>
      </c>
      <c r="N91">
        <v>4</v>
      </c>
      <c r="Q91" s="13">
        <f>B4/($B4+$C4+$D4)</f>
        <v>0.61750216076058773</v>
      </c>
      <c r="R91" s="13">
        <f>C4/($B4+$C4+$D4)</f>
        <v>0.20570440795159897</v>
      </c>
      <c r="S91" s="13">
        <f>D4/($B4+$C4+$D4)</f>
        <v>0.1767934312878133</v>
      </c>
      <c r="U91" s="13">
        <f t="shared" ref="U91:U110" si="120">(C91+D91)/($C91+$D91+$G91+$H91+$K91+$L91)</f>
        <v>0.5714285714285714</v>
      </c>
      <c r="V91" s="13">
        <f t="shared" ref="V91:V110" si="121">(G91+H91)/($C91+$D91+$G91+$H91+$K91+$L91)</f>
        <v>0</v>
      </c>
      <c r="W91" s="13">
        <f t="shared" ref="W91:W110" si="122">(L91+K91)/($C91+$D91+$G91+$H91+$K91+$L91)</f>
        <v>0.42857142857142855</v>
      </c>
      <c r="Y91" s="14">
        <f t="shared" ref="Y91:Y110" si="123">Q91/U91</f>
        <v>1.0806287813310287</v>
      </c>
      <c r="Z91" s="14"/>
      <c r="AA91" s="14">
        <f t="shared" ref="AA91:AA110" si="124">S91/W91</f>
        <v>0.41251800633823105</v>
      </c>
      <c r="AC91" s="21">
        <f t="shared" ref="AC91:AC110" si="125">$Y91*C91</f>
        <v>3.2418863439930861</v>
      </c>
      <c r="AD91" s="21">
        <f t="shared" ref="AD91:AD110" si="126">$Y91*D91</f>
        <v>5.4031439066551439</v>
      </c>
      <c r="AE91" s="21">
        <f t="shared" ref="AE91:AE110" si="127">$Y91*E91</f>
        <v>3.2418863439930861</v>
      </c>
      <c r="AF91" s="21">
        <f t="shared" ref="AF91:AF110" si="128">$Y91*F91</f>
        <v>3.2418863439930861</v>
      </c>
      <c r="AG91" s="21">
        <f t="shared" ref="AG91:AG110" si="129">$Z91*G91</f>
        <v>0</v>
      </c>
      <c r="AH91" s="21">
        <f t="shared" ref="AH91:AH110" si="130">$Z91*H91</f>
        <v>0</v>
      </c>
      <c r="AI91" s="21">
        <f t="shared" ref="AI91:AI110" si="131">$Z91*I91</f>
        <v>0</v>
      </c>
      <c r="AJ91" s="21">
        <f t="shared" ref="AJ91:AJ110" si="132">$Z91*J91</f>
        <v>0</v>
      </c>
      <c r="AK91" s="21">
        <f t="shared" ref="AK91:AK110" si="133">$AA91*K91</f>
        <v>0.82503601267646209</v>
      </c>
      <c r="AL91" s="21">
        <f t="shared" ref="AL91:AL110" si="134">$AA91*L91</f>
        <v>1.6500720253529242</v>
      </c>
      <c r="AM91" s="21">
        <f t="shared" ref="AM91:AM110" si="135">$AA91*M91</f>
        <v>0.82503601267646209</v>
      </c>
      <c r="AN91" s="21">
        <f t="shared" ref="AN91:AN110" si="136">$AA91*N91</f>
        <v>1.6500720253529242</v>
      </c>
      <c r="AP91">
        <f>(AC91+AG91+AK91)/($AD91+$AC91+$AG91+$AH91+$AK91+$AL91)</f>
        <v>0.36572587957925279</v>
      </c>
      <c r="AQ91">
        <f>(AD91+AH91+AL91)/($AD91+$AC91+$AG91+$AH91+$AK91+$AL91)</f>
        <v>0.63427412042074716</v>
      </c>
      <c r="AR91">
        <f>(AF91+AJ91+AN91)/($AD91+$AC91+$AG91+$AH91+$AK91+$AL91)</f>
        <v>0.43991884294523032</v>
      </c>
      <c r="AS91">
        <f t="shared" ref="AS91:AS110" si="137">(AE91+AI91+AM91)/($AD91+$AC91+$AG91+$AH91+$AK91+$AL91)</f>
        <v>0.36572587957925279</v>
      </c>
      <c r="AT91">
        <f t="shared" ref="AT91:AT110" si="138">(AN91+AJ91+AF91)/(AD91+AH91+AL91)</f>
        <v>0.69357842103570166</v>
      </c>
      <c r="AU91">
        <f t="shared" ref="AU91:AU110" si="139">(AM91+AI91+AE91)/(AC91+AG91+AK91)</f>
        <v>1</v>
      </c>
    </row>
    <row r="92" spans="1:47" x14ac:dyDescent="0.3">
      <c r="A92" t="s">
        <v>17</v>
      </c>
      <c r="B92">
        <v>1999</v>
      </c>
      <c r="C92">
        <v>4</v>
      </c>
      <c r="D92">
        <v>8</v>
      </c>
      <c r="E92">
        <v>0</v>
      </c>
      <c r="F92">
        <v>6</v>
      </c>
      <c r="G92">
        <v>0</v>
      </c>
      <c r="H92">
        <v>3</v>
      </c>
      <c r="I92">
        <v>0</v>
      </c>
      <c r="J92">
        <v>1</v>
      </c>
      <c r="K92">
        <v>13</v>
      </c>
      <c r="L92">
        <v>4</v>
      </c>
      <c r="M92">
        <v>13</v>
      </c>
      <c r="N92">
        <v>4</v>
      </c>
      <c r="Q92" s="13">
        <f>B5/($B5+$C5+$D5)</f>
        <v>0.67790872080565678</v>
      </c>
      <c r="R92" s="13">
        <f>C5/($B5+$C5+$D5)</f>
        <v>0.15140347118062997</v>
      </c>
      <c r="S92" s="13">
        <f>D5/($B5+$C5+$D5)</f>
        <v>0.1706878080137133</v>
      </c>
      <c r="U92" s="13">
        <f t="shared" si="120"/>
        <v>0.375</v>
      </c>
      <c r="V92" s="13">
        <f t="shared" si="121"/>
        <v>9.375E-2</v>
      </c>
      <c r="W92" s="13">
        <f t="shared" si="122"/>
        <v>0.53125</v>
      </c>
      <c r="Y92" s="14">
        <f t="shared" si="123"/>
        <v>1.8077565888150848</v>
      </c>
      <c r="Z92" s="14">
        <f t="shared" ref="Z92:Z109" si="140">R92/V92</f>
        <v>1.6149703592600531</v>
      </c>
      <c r="AA92" s="14">
        <f t="shared" si="124"/>
        <v>0.32129469743757799</v>
      </c>
      <c r="AC92" s="21">
        <f t="shared" si="125"/>
        <v>7.2310263552603393</v>
      </c>
      <c r="AD92" s="21">
        <f t="shared" si="126"/>
        <v>14.462052710520679</v>
      </c>
      <c r="AE92" s="21">
        <f t="shared" si="127"/>
        <v>0</v>
      </c>
      <c r="AF92" s="21">
        <f t="shared" si="128"/>
        <v>10.846539532890509</v>
      </c>
      <c r="AG92" s="21">
        <f t="shared" si="129"/>
        <v>0</v>
      </c>
      <c r="AH92" s="21">
        <f t="shared" si="130"/>
        <v>4.8449110777801589</v>
      </c>
      <c r="AI92" s="21">
        <f t="shared" si="131"/>
        <v>0</v>
      </c>
      <c r="AJ92" s="21">
        <f t="shared" si="132"/>
        <v>1.6149703592600531</v>
      </c>
      <c r="AK92" s="21">
        <f t="shared" si="133"/>
        <v>4.1768310666885142</v>
      </c>
      <c r="AL92" s="21">
        <f t="shared" si="134"/>
        <v>1.285178789750312</v>
      </c>
      <c r="AM92" s="21">
        <f t="shared" si="135"/>
        <v>4.1768310666885142</v>
      </c>
      <c r="AN92" s="21">
        <f t="shared" si="136"/>
        <v>1.285178789750312</v>
      </c>
      <c r="AP92">
        <f>(AC92+AG92+AK92)/($AD92+$AC92+$AG92+$AH92+$AK92+$AL92)</f>
        <v>0.3564955444359017</v>
      </c>
      <c r="AQ92">
        <f t="shared" ref="AQ92:AQ111" si="141">(AD92+AH92+AL92)/($AD92+$AC92+$AG92+$AH92+$AK92+$AL92)</f>
        <v>0.64350445556409841</v>
      </c>
      <c r="AR92">
        <f t="shared" ref="AR92:AR111" si="142">(AF92+AJ92+AN92)/($AD92+$AC92+$AG92+$AH92+$AK92+$AL92)</f>
        <v>0.42958402130940226</v>
      </c>
      <c r="AS92">
        <f t="shared" si="137"/>
        <v>0.13052597083401607</v>
      </c>
      <c r="AT92">
        <f t="shared" si="138"/>
        <v>0.6675696144680574</v>
      </c>
      <c r="AU92">
        <f t="shared" si="139"/>
        <v>0.36613633149483804</v>
      </c>
    </row>
    <row r="93" spans="1:47" x14ac:dyDescent="0.3">
      <c r="A93" t="s">
        <v>17</v>
      </c>
      <c r="B93">
        <v>2000</v>
      </c>
      <c r="C93">
        <v>18</v>
      </c>
      <c r="D93">
        <v>10</v>
      </c>
      <c r="E93">
        <v>18</v>
      </c>
      <c r="F93">
        <v>6</v>
      </c>
      <c r="G93">
        <v>0</v>
      </c>
      <c r="H93">
        <v>2</v>
      </c>
      <c r="I93">
        <v>0</v>
      </c>
      <c r="J93">
        <v>2</v>
      </c>
      <c r="K93">
        <v>0</v>
      </c>
      <c r="L93">
        <v>8</v>
      </c>
      <c r="M93">
        <v>0</v>
      </c>
      <c r="N93">
        <v>8</v>
      </c>
      <c r="Q93" s="13">
        <f>B6/($B6+$C6+$D6)</f>
        <v>0.66884022708840229</v>
      </c>
      <c r="R93" s="13">
        <f>C6/($B6+$C6+$D6)</f>
        <v>0.18004866180048662</v>
      </c>
      <c r="S93" s="13">
        <f>D6/($B6+$C6+$D6)</f>
        <v>0.15111111111111111</v>
      </c>
      <c r="U93" s="13">
        <f t="shared" si="120"/>
        <v>0.73684210526315785</v>
      </c>
      <c r="V93" s="13">
        <f t="shared" si="121"/>
        <v>5.2631578947368418E-2</v>
      </c>
      <c r="W93" s="13">
        <f t="shared" si="122"/>
        <v>0.21052631578947367</v>
      </c>
      <c r="Y93" s="14">
        <f t="shared" si="123"/>
        <v>0.90771173676283179</v>
      </c>
      <c r="Z93" s="14">
        <f t="shared" si="140"/>
        <v>3.4209245742092458</v>
      </c>
      <c r="AA93" s="14">
        <f t="shared" si="124"/>
        <v>0.71777777777777785</v>
      </c>
      <c r="AC93" s="21">
        <f t="shared" si="125"/>
        <v>16.338811261730971</v>
      </c>
      <c r="AD93" s="21">
        <f t="shared" si="126"/>
        <v>9.0771173676283183</v>
      </c>
      <c r="AE93" s="21">
        <f t="shared" si="127"/>
        <v>16.338811261730971</v>
      </c>
      <c r="AF93" s="21">
        <f t="shared" si="128"/>
        <v>5.4462704205769903</v>
      </c>
      <c r="AG93" s="21">
        <f t="shared" si="129"/>
        <v>0</v>
      </c>
      <c r="AH93" s="21">
        <f t="shared" si="130"/>
        <v>6.8418491484184916</v>
      </c>
      <c r="AI93" s="21">
        <f t="shared" si="131"/>
        <v>0</v>
      </c>
      <c r="AJ93" s="21">
        <f t="shared" si="132"/>
        <v>6.8418491484184916</v>
      </c>
      <c r="AK93" s="21">
        <f t="shared" si="133"/>
        <v>0</v>
      </c>
      <c r="AL93" s="21">
        <f t="shared" si="134"/>
        <v>5.7422222222222228</v>
      </c>
      <c r="AM93" s="21">
        <f t="shared" si="135"/>
        <v>0</v>
      </c>
      <c r="AN93" s="21">
        <f t="shared" si="136"/>
        <v>5.7422222222222228</v>
      </c>
      <c r="AP93">
        <f t="shared" ref="AP93:AP110" si="143">(AC93+AG93+AK93)/($AD93+$AC93+$AG93+$AH93+$AK93+$AL93)</f>
        <v>0.42996871741397286</v>
      </c>
      <c r="AQ93">
        <f t="shared" si="141"/>
        <v>0.57003128258602709</v>
      </c>
      <c r="AR93">
        <f t="shared" si="142"/>
        <v>0.47448267871625532</v>
      </c>
      <c r="AS93">
        <f t="shared" si="137"/>
        <v>0.42996871741397286</v>
      </c>
      <c r="AT93">
        <f t="shared" si="138"/>
        <v>0.83238006967564637</v>
      </c>
      <c r="AU93">
        <f t="shared" si="139"/>
        <v>1</v>
      </c>
    </row>
    <row r="94" spans="1:47" x14ac:dyDescent="0.3">
      <c r="A94" t="s">
        <v>17</v>
      </c>
      <c r="B94">
        <v>2001</v>
      </c>
      <c r="C94">
        <v>25</v>
      </c>
      <c r="D94">
        <v>14</v>
      </c>
      <c r="E94">
        <v>25</v>
      </c>
      <c r="F94">
        <v>14</v>
      </c>
      <c r="K94">
        <v>9</v>
      </c>
      <c r="L94">
        <v>4</v>
      </c>
      <c r="M94">
        <v>9</v>
      </c>
      <c r="N94">
        <v>4</v>
      </c>
      <c r="Q94" s="13">
        <f>B7/($B7+$C7+$D7)</f>
        <v>0.65214297010912536</v>
      </c>
      <c r="R94" s="13">
        <f>C7/($B7+$C7+$D7)</f>
        <v>0.18824134113553692</v>
      </c>
      <c r="S94" s="13">
        <f>D7/($B7+$C7+$D7)</f>
        <v>0.15961568875533766</v>
      </c>
      <c r="U94" s="13">
        <f t="shared" si="120"/>
        <v>0.75</v>
      </c>
      <c r="V94" s="13">
        <f t="shared" si="121"/>
        <v>0</v>
      </c>
      <c r="W94" s="13">
        <f t="shared" si="122"/>
        <v>0.25</v>
      </c>
      <c r="Y94" s="14">
        <f t="shared" si="123"/>
        <v>0.86952396014550049</v>
      </c>
      <c r="Z94" s="14"/>
      <c r="AA94" s="14">
        <f t="shared" si="124"/>
        <v>0.63846275502135064</v>
      </c>
      <c r="AC94" s="21">
        <f t="shared" si="125"/>
        <v>21.738099003637512</v>
      </c>
      <c r="AD94" s="21">
        <f t="shared" si="126"/>
        <v>12.173335442037008</v>
      </c>
      <c r="AE94" s="21">
        <f t="shared" si="127"/>
        <v>21.738099003637512</v>
      </c>
      <c r="AF94" s="21">
        <f t="shared" si="128"/>
        <v>12.173335442037008</v>
      </c>
      <c r="AG94" s="21">
        <f t="shared" si="129"/>
        <v>0</v>
      </c>
      <c r="AH94" s="21">
        <f t="shared" si="130"/>
        <v>0</v>
      </c>
      <c r="AI94" s="21">
        <f t="shared" si="131"/>
        <v>0</v>
      </c>
      <c r="AJ94" s="21">
        <f t="shared" si="132"/>
        <v>0</v>
      </c>
      <c r="AK94" s="21">
        <f t="shared" si="133"/>
        <v>5.7461647951921559</v>
      </c>
      <c r="AL94" s="21">
        <f t="shared" si="134"/>
        <v>2.5538510200854025</v>
      </c>
      <c r="AM94" s="21">
        <f t="shared" si="135"/>
        <v>5.7461647951921559</v>
      </c>
      <c r="AN94" s="21">
        <f t="shared" si="136"/>
        <v>2.5538510200854025</v>
      </c>
      <c r="AP94">
        <f t="shared" si="143"/>
        <v>0.65110920446754061</v>
      </c>
      <c r="AQ94">
        <f t="shared" si="141"/>
        <v>0.34889079553245939</v>
      </c>
      <c r="AR94">
        <f t="shared" si="142"/>
        <v>0.34889079553245939</v>
      </c>
      <c r="AS94">
        <f t="shared" si="137"/>
        <v>0.65110920446754061</v>
      </c>
      <c r="AT94">
        <f t="shared" si="138"/>
        <v>1</v>
      </c>
      <c r="AU94">
        <f t="shared" si="139"/>
        <v>1</v>
      </c>
    </row>
    <row r="95" spans="1:47" x14ac:dyDescent="0.3">
      <c r="A95" t="s">
        <v>17</v>
      </c>
      <c r="B95">
        <v>2002</v>
      </c>
      <c r="C95">
        <v>1</v>
      </c>
      <c r="D95">
        <v>5</v>
      </c>
      <c r="E95">
        <v>1</v>
      </c>
      <c r="F95">
        <v>4</v>
      </c>
      <c r="K95">
        <v>13</v>
      </c>
      <c r="L95">
        <v>13</v>
      </c>
      <c r="M95">
        <v>10</v>
      </c>
      <c r="N95">
        <v>11</v>
      </c>
      <c r="Q95" s="13">
        <f>B8/($B8+$C8+$D8)</f>
        <v>0.66419253261358524</v>
      </c>
      <c r="R95" s="13">
        <f>C8/($B8+$C8+$D8)</f>
        <v>0.20300751879699247</v>
      </c>
      <c r="S95" s="13">
        <f>D8/($B8+$C8+$D8)</f>
        <v>0.13279994858942226</v>
      </c>
      <c r="U95" s="13">
        <f t="shared" si="120"/>
        <v>0.1875</v>
      </c>
      <c r="V95" s="13">
        <f t="shared" si="121"/>
        <v>0</v>
      </c>
      <c r="W95" s="13">
        <f t="shared" si="122"/>
        <v>0.8125</v>
      </c>
      <c r="Y95" s="14">
        <f t="shared" si="123"/>
        <v>3.5423601739391213</v>
      </c>
      <c r="Z95" s="14"/>
      <c r="AA95" s="14">
        <f t="shared" si="124"/>
        <v>0.16344609057159662</v>
      </c>
      <c r="AC95" s="21">
        <f t="shared" si="125"/>
        <v>3.5423601739391213</v>
      </c>
      <c r="AD95" s="21">
        <f t="shared" si="126"/>
        <v>17.711800869695608</v>
      </c>
      <c r="AE95" s="21">
        <f t="shared" si="127"/>
        <v>3.5423601739391213</v>
      </c>
      <c r="AF95" s="21">
        <f t="shared" si="128"/>
        <v>14.169440695756485</v>
      </c>
      <c r="AG95" s="21">
        <f t="shared" si="129"/>
        <v>0</v>
      </c>
      <c r="AH95" s="21">
        <f t="shared" si="130"/>
        <v>0</v>
      </c>
      <c r="AI95" s="21">
        <f t="shared" si="131"/>
        <v>0</v>
      </c>
      <c r="AJ95" s="21">
        <f t="shared" si="132"/>
        <v>0</v>
      </c>
      <c r="AK95" s="21">
        <f t="shared" si="133"/>
        <v>2.1247991774307562</v>
      </c>
      <c r="AL95" s="21">
        <f t="shared" si="134"/>
        <v>2.1247991774307562</v>
      </c>
      <c r="AM95" s="21">
        <f t="shared" si="135"/>
        <v>1.6344609057159663</v>
      </c>
      <c r="AN95" s="21">
        <f t="shared" si="136"/>
        <v>1.7979069962875629</v>
      </c>
      <c r="AP95">
        <f t="shared" si="143"/>
        <v>0.22220878352953821</v>
      </c>
      <c r="AQ95">
        <f t="shared" si="141"/>
        <v>0.77779121647046168</v>
      </c>
      <c r="AR95">
        <f t="shared" si="142"/>
        <v>0.62607819665149123</v>
      </c>
      <c r="AS95">
        <f t="shared" si="137"/>
        <v>0.20298266615392882</v>
      </c>
      <c r="AT95">
        <f t="shared" si="138"/>
        <v>0.80494377333363454</v>
      </c>
      <c r="AU95">
        <f t="shared" si="139"/>
        <v>0.91347723942220471</v>
      </c>
    </row>
    <row r="96" spans="1:47" x14ac:dyDescent="0.3">
      <c r="A96" t="s">
        <v>17</v>
      </c>
      <c r="B96">
        <v>2003</v>
      </c>
      <c r="C96">
        <v>40</v>
      </c>
      <c r="D96">
        <v>4</v>
      </c>
      <c r="E96">
        <v>40</v>
      </c>
      <c r="F96">
        <v>4</v>
      </c>
      <c r="K96">
        <v>16</v>
      </c>
      <c r="L96">
        <v>1</v>
      </c>
      <c r="M96">
        <v>14</v>
      </c>
      <c r="N96">
        <v>0</v>
      </c>
      <c r="Q96" s="13">
        <f>B9/($B9+$C9+$D9)</f>
        <v>0.6032394625437143</v>
      </c>
      <c r="R96" s="13">
        <f>C9/($B9+$C9+$D9)</f>
        <v>0.22499539849070496</v>
      </c>
      <c r="S96" s="13">
        <f>D9/($B9+$C9+$D9)</f>
        <v>0.17176513896558071</v>
      </c>
      <c r="U96" s="13">
        <f t="shared" si="120"/>
        <v>0.72131147540983609</v>
      </c>
      <c r="V96" s="13">
        <f t="shared" si="121"/>
        <v>0</v>
      </c>
      <c r="W96" s="13">
        <f t="shared" si="122"/>
        <v>0.27868852459016391</v>
      </c>
      <c r="Y96" s="14">
        <f t="shared" si="123"/>
        <v>0.83630925489014929</v>
      </c>
      <c r="Z96" s="14"/>
      <c r="AA96" s="14">
        <f t="shared" si="124"/>
        <v>0.61633373393531909</v>
      </c>
      <c r="AC96" s="21">
        <f t="shared" si="125"/>
        <v>33.452370195605972</v>
      </c>
      <c r="AD96" s="21">
        <f t="shared" si="126"/>
        <v>3.3452370195605972</v>
      </c>
      <c r="AE96" s="21">
        <f t="shared" si="127"/>
        <v>33.452370195605972</v>
      </c>
      <c r="AF96" s="21">
        <f t="shared" si="128"/>
        <v>3.3452370195605972</v>
      </c>
      <c r="AG96" s="21">
        <f t="shared" si="129"/>
        <v>0</v>
      </c>
      <c r="AH96" s="21">
        <f t="shared" si="130"/>
        <v>0</v>
      </c>
      <c r="AI96" s="21">
        <f t="shared" si="131"/>
        <v>0</v>
      </c>
      <c r="AJ96" s="21">
        <f t="shared" si="132"/>
        <v>0</v>
      </c>
      <c r="AK96" s="21">
        <f t="shared" si="133"/>
        <v>9.8613397429651055</v>
      </c>
      <c r="AL96" s="21">
        <f t="shared" si="134"/>
        <v>0.61633373393531909</v>
      </c>
      <c r="AM96" s="21">
        <f t="shared" si="135"/>
        <v>8.628672275094468</v>
      </c>
      <c r="AN96" s="21">
        <f t="shared" si="136"/>
        <v>0</v>
      </c>
      <c r="AP96">
        <f t="shared" si="143"/>
        <v>0.91620206806808679</v>
      </c>
      <c r="AQ96">
        <f t="shared" si="141"/>
        <v>8.3797931931913108E-2</v>
      </c>
      <c r="AR96">
        <f t="shared" si="142"/>
        <v>7.076080714042049E-2</v>
      </c>
      <c r="AS96">
        <f t="shared" si="137"/>
        <v>0.89012781848510147</v>
      </c>
      <c r="AT96">
        <f t="shared" si="138"/>
        <v>0.84442187902578014</v>
      </c>
      <c r="AU96">
        <f t="shared" si="139"/>
        <v>0.97154094004833924</v>
      </c>
    </row>
    <row r="97" spans="1:47" x14ac:dyDescent="0.3">
      <c r="A97" t="s">
        <v>17</v>
      </c>
      <c r="B97">
        <v>2004</v>
      </c>
      <c r="C97">
        <v>31</v>
      </c>
      <c r="D97">
        <v>3</v>
      </c>
      <c r="E97">
        <v>31</v>
      </c>
      <c r="F97">
        <v>1</v>
      </c>
      <c r="G97">
        <v>0</v>
      </c>
      <c r="H97">
        <v>4</v>
      </c>
      <c r="I97">
        <v>0</v>
      </c>
      <c r="J97">
        <v>1</v>
      </c>
      <c r="K97">
        <v>16</v>
      </c>
      <c r="L97">
        <v>1</v>
      </c>
      <c r="M97">
        <v>16</v>
      </c>
      <c r="N97">
        <v>0</v>
      </c>
      <c r="Q97" s="13">
        <f>B10/($B10+$C10+$D10)</f>
        <v>0.61102118212931278</v>
      </c>
      <c r="R97" s="13">
        <f>C10/($B10+$C10+$D10)</f>
        <v>0.23332716677458146</v>
      </c>
      <c r="S97" s="13">
        <f>D10/($B10+$C10+$D10)</f>
        <v>0.15565165109610582</v>
      </c>
      <c r="U97" s="13">
        <f t="shared" si="120"/>
        <v>0.61818181818181817</v>
      </c>
      <c r="V97" s="13">
        <f t="shared" si="121"/>
        <v>7.2727272727272724E-2</v>
      </c>
      <c r="W97" s="13">
        <f t="shared" si="122"/>
        <v>0.30909090909090908</v>
      </c>
      <c r="Y97" s="14">
        <f t="shared" si="123"/>
        <v>0.98841661815035897</v>
      </c>
      <c r="Z97" s="14">
        <f t="shared" si="140"/>
        <v>3.208248543150495</v>
      </c>
      <c r="AA97" s="14">
        <f t="shared" si="124"/>
        <v>0.50357887119328359</v>
      </c>
      <c r="AC97" s="21">
        <f t="shared" si="125"/>
        <v>30.640915162661127</v>
      </c>
      <c r="AD97" s="21">
        <f t="shared" si="126"/>
        <v>2.965249854451077</v>
      </c>
      <c r="AE97" s="21">
        <f t="shared" si="127"/>
        <v>30.640915162661127</v>
      </c>
      <c r="AF97" s="21">
        <f t="shared" si="128"/>
        <v>0.98841661815035897</v>
      </c>
      <c r="AG97" s="21">
        <f t="shared" si="129"/>
        <v>0</v>
      </c>
      <c r="AH97" s="21">
        <f t="shared" si="130"/>
        <v>12.83299417260198</v>
      </c>
      <c r="AI97" s="21">
        <f t="shared" si="131"/>
        <v>0</v>
      </c>
      <c r="AJ97" s="21">
        <f t="shared" si="132"/>
        <v>3.208248543150495</v>
      </c>
      <c r="AK97" s="21">
        <f t="shared" si="133"/>
        <v>8.0572619390925375</v>
      </c>
      <c r="AL97" s="21">
        <f t="shared" si="134"/>
        <v>0.50357887119328359</v>
      </c>
      <c r="AM97" s="21">
        <f t="shared" si="135"/>
        <v>8.0572619390925375</v>
      </c>
      <c r="AN97" s="21">
        <f t="shared" si="136"/>
        <v>0</v>
      </c>
      <c r="AP97">
        <f t="shared" si="143"/>
        <v>0.7036032200318848</v>
      </c>
      <c r="AQ97">
        <f t="shared" si="141"/>
        <v>0.29639677996811525</v>
      </c>
      <c r="AR97">
        <f t="shared" si="142"/>
        <v>7.6303002932742794E-2</v>
      </c>
      <c r="AS97">
        <f t="shared" si="137"/>
        <v>0.7036032200318848</v>
      </c>
      <c r="AT97">
        <f t="shared" si="138"/>
        <v>0.25743533023857768</v>
      </c>
      <c r="AU97">
        <f t="shared" si="139"/>
        <v>1</v>
      </c>
    </row>
    <row r="98" spans="1:47" x14ac:dyDescent="0.3">
      <c r="A98" t="s">
        <v>17</v>
      </c>
      <c r="B98">
        <v>2005</v>
      </c>
      <c r="C98">
        <v>16</v>
      </c>
      <c r="D98">
        <v>0</v>
      </c>
      <c r="E98">
        <v>16</v>
      </c>
      <c r="F98">
        <v>0</v>
      </c>
      <c r="G98">
        <v>17</v>
      </c>
      <c r="H98">
        <v>21</v>
      </c>
      <c r="I98">
        <v>17</v>
      </c>
      <c r="J98">
        <v>12</v>
      </c>
      <c r="K98">
        <v>5</v>
      </c>
      <c r="L98">
        <v>0</v>
      </c>
      <c r="M98">
        <v>5</v>
      </c>
      <c r="N98">
        <v>0</v>
      </c>
      <c r="Q98" s="13">
        <f>B11/($B11+$C11+$D11)</f>
        <v>0.57174632596319341</v>
      </c>
      <c r="R98" s="13">
        <f>C11/($B11+$C11+$D11)</f>
        <v>0.24567721435191314</v>
      </c>
      <c r="S98" s="13">
        <f>D11/($B11+$C11+$D11)</f>
        <v>0.18257645968489342</v>
      </c>
      <c r="U98" s="13">
        <f t="shared" si="120"/>
        <v>0.2711864406779661</v>
      </c>
      <c r="V98" s="13">
        <f t="shared" si="121"/>
        <v>0.64406779661016944</v>
      </c>
      <c r="W98" s="13">
        <f t="shared" si="122"/>
        <v>8.4745762711864403E-2</v>
      </c>
      <c r="Y98" s="14">
        <f t="shared" si="123"/>
        <v>2.1083145769892759</v>
      </c>
      <c r="Z98" s="14">
        <f t="shared" si="140"/>
        <v>0.38144620123060202</v>
      </c>
      <c r="AA98" s="14">
        <f t="shared" si="124"/>
        <v>2.1544022242817422</v>
      </c>
      <c r="AC98" s="21">
        <f t="shared" si="125"/>
        <v>33.733033231828415</v>
      </c>
      <c r="AD98" s="21">
        <f t="shared" si="126"/>
        <v>0</v>
      </c>
      <c r="AE98" s="21">
        <f t="shared" si="127"/>
        <v>33.733033231828415</v>
      </c>
      <c r="AF98" s="21">
        <f t="shared" si="128"/>
        <v>0</v>
      </c>
      <c r="AG98" s="21">
        <f t="shared" si="129"/>
        <v>6.4845854209202347</v>
      </c>
      <c r="AH98" s="21">
        <f t="shared" si="130"/>
        <v>8.0103702258426424</v>
      </c>
      <c r="AI98" s="21">
        <f t="shared" si="131"/>
        <v>6.4845854209202347</v>
      </c>
      <c r="AJ98" s="21">
        <f t="shared" si="132"/>
        <v>4.5773544147672247</v>
      </c>
      <c r="AK98" s="21">
        <f t="shared" si="133"/>
        <v>10.772011121408712</v>
      </c>
      <c r="AL98" s="21">
        <f t="shared" si="134"/>
        <v>0</v>
      </c>
      <c r="AM98" s="21">
        <f t="shared" si="135"/>
        <v>10.772011121408712</v>
      </c>
      <c r="AN98" s="21">
        <f t="shared" si="136"/>
        <v>0</v>
      </c>
      <c r="AP98">
        <f t="shared" si="143"/>
        <v>0.86423101312131112</v>
      </c>
      <c r="AQ98">
        <f t="shared" si="141"/>
        <v>0.13576898687868885</v>
      </c>
      <c r="AR98">
        <f t="shared" si="142"/>
        <v>7.7582278216393644E-2</v>
      </c>
      <c r="AS98">
        <f t="shared" si="137"/>
        <v>0.86423101312131112</v>
      </c>
      <c r="AT98">
        <f t="shared" si="138"/>
        <v>0.57142857142857151</v>
      </c>
      <c r="AU98">
        <f t="shared" si="139"/>
        <v>1.0000000000000002</v>
      </c>
    </row>
    <row r="99" spans="1:47" x14ac:dyDescent="0.3">
      <c r="A99" t="s">
        <v>17</v>
      </c>
      <c r="B99">
        <v>2006</v>
      </c>
      <c r="C99">
        <v>19</v>
      </c>
      <c r="D99">
        <v>2</v>
      </c>
      <c r="E99">
        <v>17</v>
      </c>
      <c r="F99">
        <v>1</v>
      </c>
      <c r="G99">
        <v>21</v>
      </c>
      <c r="H99">
        <v>1</v>
      </c>
      <c r="I99">
        <v>21</v>
      </c>
      <c r="J99">
        <v>0</v>
      </c>
      <c r="Q99" s="13">
        <f>B12/($B12+$C12+$D12)</f>
        <v>0.56538046549863841</v>
      </c>
      <c r="R99" s="13">
        <f>C12/($B12+$C12+$D12)</f>
        <v>0.27464933463494834</v>
      </c>
      <c r="S99" s="13">
        <f>D12/($B12+$C12+$D12)</f>
        <v>0.1599701998664132</v>
      </c>
      <c r="U99" s="13">
        <f t="shared" si="120"/>
        <v>0.48837209302325579</v>
      </c>
      <c r="V99" s="13">
        <f t="shared" si="121"/>
        <v>0.51162790697674421</v>
      </c>
      <c r="W99" s="13">
        <f t="shared" si="122"/>
        <v>0</v>
      </c>
      <c r="Y99" s="14">
        <f t="shared" si="123"/>
        <v>1.1576838103067357</v>
      </c>
      <c r="Z99" s="14">
        <f t="shared" si="140"/>
        <v>0.53681460860467178</v>
      </c>
      <c r="AA99" s="14"/>
      <c r="AC99" s="21">
        <f t="shared" si="125"/>
        <v>21.995992395827979</v>
      </c>
      <c r="AD99" s="21">
        <f t="shared" si="126"/>
        <v>2.3153676206134715</v>
      </c>
      <c r="AE99" s="21">
        <f t="shared" si="127"/>
        <v>19.680624775214508</v>
      </c>
      <c r="AF99" s="21">
        <f t="shared" si="128"/>
        <v>1.1576838103067357</v>
      </c>
      <c r="AG99" s="21">
        <f t="shared" si="129"/>
        <v>11.273106780698107</v>
      </c>
      <c r="AH99" s="21">
        <f t="shared" si="130"/>
        <v>0.53681460860467178</v>
      </c>
      <c r="AI99" s="21">
        <f t="shared" si="131"/>
        <v>11.273106780698107</v>
      </c>
      <c r="AJ99" s="21">
        <f t="shared" si="132"/>
        <v>0</v>
      </c>
      <c r="AK99" s="21">
        <f t="shared" si="133"/>
        <v>0</v>
      </c>
      <c r="AL99" s="21">
        <f t="shared" si="134"/>
        <v>0</v>
      </c>
      <c r="AM99" s="21">
        <f t="shared" si="135"/>
        <v>0</v>
      </c>
      <c r="AN99" s="21">
        <f t="shared" si="136"/>
        <v>0</v>
      </c>
      <c r="AP99">
        <f t="shared" si="143"/>
        <v>0.92103873068122732</v>
      </c>
      <c r="AQ99">
        <f t="shared" si="141"/>
        <v>7.8961269318772606E-2</v>
      </c>
      <c r="AR99">
        <f t="shared" si="142"/>
        <v>3.2049909783173798E-2</v>
      </c>
      <c r="AS99">
        <f t="shared" si="137"/>
        <v>0.85693891111487985</v>
      </c>
      <c r="AT99">
        <f t="shared" si="138"/>
        <v>0.40589405489146702</v>
      </c>
      <c r="AU99">
        <f t="shared" si="139"/>
        <v>0.93040485982718946</v>
      </c>
    </row>
    <row r="100" spans="1:47" x14ac:dyDescent="0.3">
      <c r="A100" t="s">
        <v>17</v>
      </c>
      <c r="B100">
        <v>2007</v>
      </c>
      <c r="C100">
        <v>25</v>
      </c>
      <c r="D100">
        <v>2</v>
      </c>
      <c r="E100">
        <v>25</v>
      </c>
      <c r="F100">
        <v>2</v>
      </c>
      <c r="G100">
        <v>0</v>
      </c>
      <c r="H100">
        <v>1</v>
      </c>
      <c r="I100">
        <v>0</v>
      </c>
      <c r="J100">
        <v>0</v>
      </c>
      <c r="Q100" s="13">
        <f>B13/($B13+$C13+$D13)</f>
        <v>0.53645159851964153</v>
      </c>
      <c r="R100" s="13">
        <f>C13/($B13+$C13+$D13)</f>
        <v>0.25533954608284659</v>
      </c>
      <c r="S100" s="13">
        <f>D13/($B13+$C13+$D13)</f>
        <v>0.20820885539751194</v>
      </c>
      <c r="U100" s="13">
        <f t="shared" si="120"/>
        <v>0.9642857142857143</v>
      </c>
      <c r="V100" s="13">
        <f t="shared" si="121"/>
        <v>3.5714285714285712E-2</v>
      </c>
      <c r="W100" s="13">
        <f t="shared" si="122"/>
        <v>0</v>
      </c>
      <c r="Y100" s="14">
        <f t="shared" si="123"/>
        <v>0.55632017624259122</v>
      </c>
      <c r="Z100" s="14">
        <f t="shared" si="140"/>
        <v>7.149507290319705</v>
      </c>
      <c r="AA100" s="14"/>
      <c r="AC100" s="21">
        <f t="shared" si="125"/>
        <v>13.90800440606478</v>
      </c>
      <c r="AD100" s="21">
        <f t="shared" si="126"/>
        <v>1.1126403524851824</v>
      </c>
      <c r="AE100" s="21">
        <f t="shared" si="127"/>
        <v>13.90800440606478</v>
      </c>
      <c r="AF100" s="21">
        <f t="shared" si="128"/>
        <v>1.1126403524851824</v>
      </c>
      <c r="AG100" s="21">
        <f t="shared" si="129"/>
        <v>0</v>
      </c>
      <c r="AH100" s="21">
        <f t="shared" si="130"/>
        <v>7.149507290319705</v>
      </c>
      <c r="AI100" s="21">
        <f t="shared" si="131"/>
        <v>0</v>
      </c>
      <c r="AJ100" s="21">
        <f t="shared" si="132"/>
        <v>0</v>
      </c>
      <c r="AK100" s="21">
        <f t="shared" si="133"/>
        <v>0</v>
      </c>
      <c r="AL100" s="21">
        <f t="shared" si="134"/>
        <v>0</v>
      </c>
      <c r="AM100" s="21">
        <f t="shared" si="135"/>
        <v>0</v>
      </c>
      <c r="AN100" s="21">
        <f t="shared" si="136"/>
        <v>0</v>
      </c>
      <c r="AP100">
        <f t="shared" si="143"/>
        <v>0.62733013176487762</v>
      </c>
      <c r="AQ100">
        <f t="shared" si="141"/>
        <v>0.37266986823512238</v>
      </c>
      <c r="AR100">
        <f t="shared" si="142"/>
        <v>5.0186410541190211E-2</v>
      </c>
      <c r="AS100">
        <f t="shared" si="137"/>
        <v>0.62733013176487762</v>
      </c>
      <c r="AT100">
        <f t="shared" si="138"/>
        <v>0.13466720767863888</v>
      </c>
      <c r="AU100">
        <f t="shared" si="139"/>
        <v>1</v>
      </c>
    </row>
    <row r="101" spans="1:47" x14ac:dyDescent="0.3">
      <c r="A101" t="s">
        <v>17</v>
      </c>
      <c r="B101">
        <v>2008</v>
      </c>
      <c r="C101">
        <v>13</v>
      </c>
      <c r="D101">
        <v>6</v>
      </c>
      <c r="E101">
        <v>12</v>
      </c>
      <c r="F101">
        <v>6</v>
      </c>
      <c r="G101">
        <v>0</v>
      </c>
      <c r="H101">
        <v>3</v>
      </c>
      <c r="I101">
        <v>0</v>
      </c>
      <c r="J101">
        <v>2</v>
      </c>
      <c r="K101">
        <v>10</v>
      </c>
      <c r="L101">
        <v>1</v>
      </c>
      <c r="M101">
        <v>10</v>
      </c>
      <c r="N101">
        <v>1</v>
      </c>
      <c r="Q101" s="13">
        <f>B14/($B14+$C14+$D14)</f>
        <v>0.56043568373241615</v>
      </c>
      <c r="R101" s="13">
        <f>C14/($B14+$C14+$D14)</f>
        <v>0.31201217092207961</v>
      </c>
      <c r="S101" s="13">
        <f>D14/($B14+$C14+$D14)</f>
        <v>0.12755214534550424</v>
      </c>
      <c r="U101" s="13">
        <f t="shared" si="120"/>
        <v>0.5757575757575758</v>
      </c>
      <c r="V101" s="13">
        <f t="shared" si="121"/>
        <v>9.0909090909090912E-2</v>
      </c>
      <c r="W101" s="13">
        <f t="shared" si="122"/>
        <v>0.33333333333333331</v>
      </c>
      <c r="Y101" s="14">
        <f t="shared" si="123"/>
        <v>0.97338829279840688</v>
      </c>
      <c r="Z101" s="14">
        <f t="shared" si="140"/>
        <v>3.4321338801428758</v>
      </c>
      <c r="AA101" s="14">
        <f t="shared" si="124"/>
        <v>0.38265643603651273</v>
      </c>
      <c r="AC101" s="21">
        <f t="shared" si="125"/>
        <v>12.654047806379289</v>
      </c>
      <c r="AD101" s="21">
        <f t="shared" si="126"/>
        <v>5.8403297567904415</v>
      </c>
      <c r="AE101" s="21">
        <f t="shared" si="127"/>
        <v>11.680659513580883</v>
      </c>
      <c r="AF101" s="21">
        <f t="shared" si="128"/>
        <v>5.8403297567904415</v>
      </c>
      <c r="AG101" s="21">
        <f t="shared" si="129"/>
        <v>0</v>
      </c>
      <c r="AH101" s="21">
        <f t="shared" si="130"/>
        <v>10.296401640428627</v>
      </c>
      <c r="AI101" s="21">
        <f t="shared" si="131"/>
        <v>0</v>
      </c>
      <c r="AJ101" s="21">
        <f t="shared" si="132"/>
        <v>6.8642677602857516</v>
      </c>
      <c r="AK101" s="21">
        <f t="shared" si="133"/>
        <v>3.8265643603651274</v>
      </c>
      <c r="AL101" s="21">
        <f t="shared" si="134"/>
        <v>0.38265643603651273</v>
      </c>
      <c r="AM101" s="21">
        <f t="shared" si="135"/>
        <v>3.8265643603651274</v>
      </c>
      <c r="AN101" s="21">
        <f t="shared" si="136"/>
        <v>0.38265643603651273</v>
      </c>
      <c r="AP101">
        <f t="shared" si="143"/>
        <v>0.4994124899013459</v>
      </c>
      <c r="AQ101">
        <f t="shared" si="141"/>
        <v>0.50058751009865399</v>
      </c>
      <c r="AR101">
        <f t="shared" si="142"/>
        <v>0.39658345312462745</v>
      </c>
      <c r="AS101">
        <f t="shared" si="137"/>
        <v>0.46991587496806092</v>
      </c>
      <c r="AT101">
        <f t="shared" si="138"/>
        <v>0.79223601293302381</v>
      </c>
      <c r="AU101">
        <f t="shared" si="139"/>
        <v>0.94093737035068592</v>
      </c>
    </row>
    <row r="102" spans="1:47" x14ac:dyDescent="0.3">
      <c r="A102" t="s">
        <v>17</v>
      </c>
      <c r="B102">
        <v>2009</v>
      </c>
      <c r="C102">
        <v>31</v>
      </c>
      <c r="D102">
        <v>12</v>
      </c>
      <c r="E102">
        <v>29</v>
      </c>
      <c r="F102">
        <v>10</v>
      </c>
      <c r="G102">
        <v>19</v>
      </c>
      <c r="H102">
        <v>1</v>
      </c>
      <c r="I102">
        <v>15</v>
      </c>
      <c r="J102">
        <v>1</v>
      </c>
      <c r="K102">
        <v>15</v>
      </c>
      <c r="L102">
        <v>22</v>
      </c>
      <c r="M102">
        <v>15</v>
      </c>
      <c r="N102">
        <v>13</v>
      </c>
      <c r="Q102" s="13">
        <f>B15/($B15+$C15+$D15)</f>
        <v>0.52192588915828253</v>
      </c>
      <c r="R102" s="13">
        <f>C15/($B15+$C15+$D15)</f>
        <v>0.31761516580439475</v>
      </c>
      <c r="S102" s="13">
        <f>D15/($B15+$C15+$D15)</f>
        <v>0.16045894503732269</v>
      </c>
      <c r="U102" s="13">
        <f t="shared" si="120"/>
        <v>0.43</v>
      </c>
      <c r="V102" s="13">
        <f t="shared" si="121"/>
        <v>0.2</v>
      </c>
      <c r="W102" s="13">
        <f t="shared" si="122"/>
        <v>0.37</v>
      </c>
      <c r="Y102" s="14">
        <f t="shared" si="123"/>
        <v>1.2137811375774012</v>
      </c>
      <c r="Z102" s="14">
        <f t="shared" si="140"/>
        <v>1.5880758290219736</v>
      </c>
      <c r="AA102" s="14">
        <f t="shared" si="124"/>
        <v>0.43367282442519645</v>
      </c>
      <c r="AC102" s="21">
        <f t="shared" si="125"/>
        <v>37.627215264899441</v>
      </c>
      <c r="AD102" s="21">
        <f t="shared" si="126"/>
        <v>14.565373650928816</v>
      </c>
      <c r="AE102" s="21">
        <f t="shared" si="127"/>
        <v>35.199652989744635</v>
      </c>
      <c r="AF102" s="21">
        <f t="shared" si="128"/>
        <v>12.137811375774012</v>
      </c>
      <c r="AG102" s="21">
        <f t="shared" si="129"/>
        <v>30.173440751417498</v>
      </c>
      <c r="AH102" s="21">
        <f t="shared" si="130"/>
        <v>1.5880758290219736</v>
      </c>
      <c r="AI102" s="21">
        <f t="shared" si="131"/>
        <v>23.821137435329604</v>
      </c>
      <c r="AJ102" s="21">
        <f t="shared" si="132"/>
        <v>1.5880758290219736</v>
      </c>
      <c r="AK102" s="21">
        <f t="shared" si="133"/>
        <v>6.505092366377947</v>
      </c>
      <c r="AL102" s="21">
        <f t="shared" si="134"/>
        <v>9.540802137354321</v>
      </c>
      <c r="AM102" s="21">
        <f t="shared" si="135"/>
        <v>6.505092366377947</v>
      </c>
      <c r="AN102" s="21">
        <f t="shared" si="136"/>
        <v>5.6377467175275537</v>
      </c>
      <c r="AP102">
        <f t="shared" si="143"/>
        <v>0.74305748382694892</v>
      </c>
      <c r="AQ102">
        <f t="shared" si="141"/>
        <v>0.25694251617305114</v>
      </c>
      <c r="AR102">
        <f t="shared" si="142"/>
        <v>0.19363633922323537</v>
      </c>
      <c r="AS102">
        <f t="shared" si="137"/>
        <v>0.65525882791452195</v>
      </c>
      <c r="AT102">
        <f t="shared" si="138"/>
        <v>0.75361735421327103</v>
      </c>
      <c r="AU102">
        <f t="shared" si="139"/>
        <v>0.88184136783033273</v>
      </c>
    </row>
    <row r="103" spans="1:47" x14ac:dyDescent="0.3">
      <c r="A103" t="s">
        <v>17</v>
      </c>
      <c r="B103">
        <v>2010</v>
      </c>
      <c r="C103">
        <v>54</v>
      </c>
      <c r="D103">
        <v>15</v>
      </c>
      <c r="E103">
        <v>53</v>
      </c>
      <c r="F103">
        <v>11</v>
      </c>
      <c r="G103">
        <v>6</v>
      </c>
      <c r="H103">
        <v>5</v>
      </c>
      <c r="I103">
        <v>6</v>
      </c>
      <c r="J103">
        <v>0</v>
      </c>
      <c r="K103">
        <v>18</v>
      </c>
      <c r="L103">
        <v>5</v>
      </c>
      <c r="M103">
        <v>18</v>
      </c>
      <c r="N103">
        <v>4</v>
      </c>
      <c r="Q103" s="13">
        <f>B16/($B16+$C16+$D16)</f>
        <v>0.54015740675868185</v>
      </c>
      <c r="R103" s="13">
        <f>C16/($B16+$C16+$D16)</f>
        <v>0.26978677689810598</v>
      </c>
      <c r="S103" s="13">
        <f>D16/($B16+$C16+$D16)</f>
        <v>0.19005581634321211</v>
      </c>
      <c r="U103" s="13">
        <f t="shared" si="120"/>
        <v>0.66990291262135926</v>
      </c>
      <c r="V103" s="13">
        <f t="shared" si="121"/>
        <v>0.10679611650485436</v>
      </c>
      <c r="W103" s="13">
        <f t="shared" si="122"/>
        <v>0.22330097087378642</v>
      </c>
      <c r="Y103" s="14">
        <f t="shared" si="123"/>
        <v>0.80632192603107578</v>
      </c>
      <c r="Z103" s="14">
        <f t="shared" si="140"/>
        <v>2.5261852745913562</v>
      </c>
      <c r="AA103" s="14">
        <f t="shared" si="124"/>
        <v>0.85111952536308033</v>
      </c>
      <c r="AC103" s="21">
        <f t="shared" si="125"/>
        <v>43.54138400567809</v>
      </c>
      <c r="AD103" s="21">
        <f t="shared" si="126"/>
        <v>12.094828890466136</v>
      </c>
      <c r="AE103" s="21">
        <f t="shared" si="127"/>
        <v>42.735062079647015</v>
      </c>
      <c r="AF103" s="21">
        <f t="shared" si="128"/>
        <v>8.8695411863418343</v>
      </c>
      <c r="AG103" s="21">
        <f t="shared" si="129"/>
        <v>15.157111647548138</v>
      </c>
      <c r="AH103" s="21">
        <f t="shared" si="130"/>
        <v>12.630926372956781</v>
      </c>
      <c r="AI103" s="21">
        <f t="shared" si="131"/>
        <v>15.157111647548138</v>
      </c>
      <c r="AJ103" s="21">
        <f t="shared" si="132"/>
        <v>0</v>
      </c>
      <c r="AK103" s="21">
        <f t="shared" si="133"/>
        <v>15.320151456535445</v>
      </c>
      <c r="AL103" s="21">
        <f t="shared" si="134"/>
        <v>4.2555976268154012</v>
      </c>
      <c r="AM103" s="21">
        <f t="shared" si="135"/>
        <v>15.320151456535445</v>
      </c>
      <c r="AN103" s="21">
        <f t="shared" si="136"/>
        <v>3.4044781014523213</v>
      </c>
      <c r="AP103">
        <f t="shared" si="143"/>
        <v>0.7186276418423464</v>
      </c>
      <c r="AQ103">
        <f t="shared" si="141"/>
        <v>0.2813723581576536</v>
      </c>
      <c r="AR103">
        <f t="shared" si="142"/>
        <v>0.11916523580382676</v>
      </c>
      <c r="AS103">
        <f t="shared" si="137"/>
        <v>0.71079927362845252</v>
      </c>
      <c r="AT103">
        <f t="shared" si="138"/>
        <v>0.42351436574682361</v>
      </c>
      <c r="AU103">
        <f t="shared" si="139"/>
        <v>0.98910650278658319</v>
      </c>
    </row>
    <row r="104" spans="1:47" x14ac:dyDescent="0.3">
      <c r="A104" t="s">
        <v>17</v>
      </c>
      <c r="B104">
        <v>2011</v>
      </c>
      <c r="C104">
        <v>85</v>
      </c>
      <c r="D104">
        <v>11</v>
      </c>
      <c r="E104">
        <v>79</v>
      </c>
      <c r="F104">
        <v>9</v>
      </c>
      <c r="K104">
        <v>35</v>
      </c>
      <c r="L104">
        <v>8</v>
      </c>
      <c r="M104">
        <v>35</v>
      </c>
      <c r="N104">
        <v>8</v>
      </c>
      <c r="Q104" s="13">
        <f>B17/($B17+$C17+$D17)</f>
        <v>0.49068257123923126</v>
      </c>
      <c r="R104" s="13">
        <f>C17/($B17+$C17+$D17)</f>
        <v>0.31642147117296221</v>
      </c>
      <c r="S104" s="13">
        <f>D17/($B17+$C17+$D17)</f>
        <v>0.1928959575878065</v>
      </c>
      <c r="U104" s="13">
        <f t="shared" si="120"/>
        <v>0.69064748201438853</v>
      </c>
      <c r="V104" s="13">
        <f t="shared" si="121"/>
        <v>0</v>
      </c>
      <c r="W104" s="13">
        <f t="shared" si="122"/>
        <v>0.30935251798561153</v>
      </c>
      <c r="Y104" s="14">
        <f t="shared" si="123"/>
        <v>0.7104674729401369</v>
      </c>
      <c r="Z104" s="14"/>
      <c r="AA104" s="14">
        <f t="shared" si="124"/>
        <v>0.62354739778383961</v>
      </c>
      <c r="AC104" s="21">
        <f t="shared" si="125"/>
        <v>60.389735199911634</v>
      </c>
      <c r="AD104" s="21">
        <f t="shared" si="126"/>
        <v>7.815142202341506</v>
      </c>
      <c r="AE104" s="21">
        <f t="shared" si="127"/>
        <v>56.126930362270812</v>
      </c>
      <c r="AF104" s="21">
        <f t="shared" si="128"/>
        <v>6.3942072564612324</v>
      </c>
      <c r="AG104" s="21">
        <f t="shared" si="129"/>
        <v>0</v>
      </c>
      <c r="AH104" s="21">
        <f t="shared" si="130"/>
        <v>0</v>
      </c>
      <c r="AI104" s="21">
        <f t="shared" si="131"/>
        <v>0</v>
      </c>
      <c r="AJ104" s="21">
        <f t="shared" si="132"/>
        <v>0</v>
      </c>
      <c r="AK104" s="21">
        <f t="shared" si="133"/>
        <v>21.824158922434385</v>
      </c>
      <c r="AL104" s="21">
        <f t="shared" si="134"/>
        <v>4.9883791822707169</v>
      </c>
      <c r="AM104" s="21">
        <f t="shared" si="135"/>
        <v>21.824158922434385</v>
      </c>
      <c r="AN104" s="21">
        <f t="shared" si="136"/>
        <v>4.9883791822707169</v>
      </c>
      <c r="AP104">
        <f t="shared" si="143"/>
        <v>0.86525079306461872</v>
      </c>
      <c r="AQ104">
        <f t="shared" si="141"/>
        <v>0.13474920693538128</v>
      </c>
      <c r="AR104">
        <f t="shared" si="142"/>
        <v>0.11979473844874666</v>
      </c>
      <c r="AS104">
        <f t="shared" si="137"/>
        <v>0.82038738760471497</v>
      </c>
      <c r="AT104">
        <f t="shared" si="138"/>
        <v>0.8890199888611886</v>
      </c>
      <c r="AU104">
        <f t="shared" si="139"/>
        <v>0.94814982451388141</v>
      </c>
    </row>
    <row r="105" spans="1:47" x14ac:dyDescent="0.3">
      <c r="A105" t="s">
        <v>17</v>
      </c>
      <c r="B105">
        <v>2012</v>
      </c>
      <c r="C105">
        <v>116</v>
      </c>
      <c r="D105">
        <v>37</v>
      </c>
      <c r="E105">
        <v>111</v>
      </c>
      <c r="F105">
        <v>23</v>
      </c>
      <c r="G105">
        <v>5</v>
      </c>
      <c r="H105">
        <v>2</v>
      </c>
      <c r="I105">
        <v>5</v>
      </c>
      <c r="J105">
        <v>2</v>
      </c>
      <c r="K105">
        <v>90</v>
      </c>
      <c r="L105">
        <v>31</v>
      </c>
      <c r="M105">
        <v>87</v>
      </c>
      <c r="N105">
        <v>23</v>
      </c>
      <c r="Q105" s="13">
        <f>B18/($B18+$C18+$D18)</f>
        <v>0.43336597860479131</v>
      </c>
      <c r="R105" s="13">
        <f>C18/($B18+$C18+$D18)</f>
        <v>0.35701371101401236</v>
      </c>
      <c r="S105" s="13">
        <f>D18/($B18+$C18+$D18)</f>
        <v>0.20962031038119633</v>
      </c>
      <c r="U105" s="13">
        <f t="shared" si="120"/>
        <v>0.54448398576512458</v>
      </c>
      <c r="V105" s="13">
        <f t="shared" si="121"/>
        <v>2.491103202846975E-2</v>
      </c>
      <c r="W105" s="13">
        <f t="shared" si="122"/>
        <v>0.4306049822064057</v>
      </c>
      <c r="Y105" s="14">
        <f t="shared" si="123"/>
        <v>0.79592052279703496</v>
      </c>
      <c r="Z105" s="14">
        <f t="shared" si="140"/>
        <v>14.331550399276782</v>
      </c>
      <c r="AA105" s="14">
        <f t="shared" si="124"/>
        <v>0.48680419187699314</v>
      </c>
      <c r="AC105" s="21">
        <f t="shared" si="125"/>
        <v>92.326780644456051</v>
      </c>
      <c r="AD105" s="21">
        <f t="shared" si="126"/>
        <v>29.449059343490294</v>
      </c>
      <c r="AE105" s="21">
        <f t="shared" si="127"/>
        <v>88.347178030470886</v>
      </c>
      <c r="AF105" s="21">
        <f t="shared" si="128"/>
        <v>18.306172024331804</v>
      </c>
      <c r="AG105" s="21">
        <f t="shared" si="129"/>
        <v>71.657751996383908</v>
      </c>
      <c r="AH105" s="21">
        <f t="shared" si="130"/>
        <v>28.663100798553565</v>
      </c>
      <c r="AI105" s="21">
        <f t="shared" si="131"/>
        <v>71.657751996383908</v>
      </c>
      <c r="AJ105" s="21">
        <f t="shared" si="132"/>
        <v>28.663100798553565</v>
      </c>
      <c r="AK105" s="21">
        <f t="shared" si="133"/>
        <v>43.812377268929382</v>
      </c>
      <c r="AL105" s="21">
        <f t="shared" si="134"/>
        <v>15.090929948186787</v>
      </c>
      <c r="AM105" s="21">
        <f t="shared" si="135"/>
        <v>42.351964693298406</v>
      </c>
      <c r="AN105" s="21">
        <f t="shared" si="136"/>
        <v>11.196496413170843</v>
      </c>
      <c r="AP105">
        <f t="shared" si="143"/>
        <v>0.73949078259704404</v>
      </c>
      <c r="AQ105">
        <f t="shared" si="141"/>
        <v>0.26050921740295607</v>
      </c>
      <c r="AR105">
        <f t="shared" si="142"/>
        <v>0.20699562005713959</v>
      </c>
      <c r="AS105">
        <f t="shared" si="137"/>
        <v>0.72013129793648845</v>
      </c>
      <c r="AT105">
        <f t="shared" si="138"/>
        <v>0.79458079111634039</v>
      </c>
      <c r="AU105">
        <f t="shared" si="139"/>
        <v>0.97382051931389002</v>
      </c>
    </row>
    <row r="106" spans="1:47" x14ac:dyDescent="0.3">
      <c r="A106" t="s">
        <v>17</v>
      </c>
      <c r="B106">
        <v>2013</v>
      </c>
      <c r="C106">
        <v>115</v>
      </c>
      <c r="D106">
        <v>17</v>
      </c>
      <c r="E106">
        <v>112</v>
      </c>
      <c r="F106">
        <v>5</v>
      </c>
      <c r="G106">
        <v>37</v>
      </c>
      <c r="H106">
        <v>11</v>
      </c>
      <c r="I106">
        <v>12</v>
      </c>
      <c r="J106">
        <v>4</v>
      </c>
      <c r="K106">
        <v>90</v>
      </c>
      <c r="L106">
        <v>57</v>
      </c>
      <c r="M106">
        <v>85</v>
      </c>
      <c r="N106">
        <v>34</v>
      </c>
      <c r="Q106" s="13">
        <f>B19/($B19+$C19+$D19)</f>
        <v>0.49673339805315769</v>
      </c>
      <c r="R106" s="13">
        <f>C19/($B19+$C19+$D19)</f>
        <v>0.34977566709521685</v>
      </c>
      <c r="S106" s="13">
        <f>D19/($B19+$C19+$D19)</f>
        <v>0.15349093485162543</v>
      </c>
      <c r="U106" s="13">
        <f t="shared" si="120"/>
        <v>0.40366972477064222</v>
      </c>
      <c r="V106" s="13">
        <f t="shared" si="121"/>
        <v>0.14678899082568808</v>
      </c>
      <c r="W106" s="13">
        <f t="shared" si="122"/>
        <v>0.44954128440366975</v>
      </c>
      <c r="Y106" s="14">
        <f t="shared" si="123"/>
        <v>1.2305440997225952</v>
      </c>
      <c r="Z106" s="14">
        <f t="shared" si="140"/>
        <v>2.3828467320861648</v>
      </c>
      <c r="AA106" s="14">
        <f t="shared" si="124"/>
        <v>0.34143901834341167</v>
      </c>
      <c r="AC106" s="21">
        <f t="shared" si="125"/>
        <v>141.51257146809843</v>
      </c>
      <c r="AD106" s="21">
        <f t="shared" si="126"/>
        <v>20.919249695284119</v>
      </c>
      <c r="AE106" s="21">
        <f t="shared" si="127"/>
        <v>137.82093916893066</v>
      </c>
      <c r="AF106" s="21">
        <f t="shared" si="128"/>
        <v>6.1527204986129753</v>
      </c>
      <c r="AG106" s="21">
        <f t="shared" si="129"/>
        <v>88.165329087188098</v>
      </c>
      <c r="AH106" s="21">
        <f t="shared" si="130"/>
        <v>26.211314052947813</v>
      </c>
      <c r="AI106" s="21">
        <f t="shared" si="131"/>
        <v>28.594160785033978</v>
      </c>
      <c r="AJ106" s="21">
        <f t="shared" si="132"/>
        <v>9.5313869283446593</v>
      </c>
      <c r="AK106" s="21">
        <f t="shared" si="133"/>
        <v>30.72951165090705</v>
      </c>
      <c r="AL106" s="21">
        <f t="shared" si="134"/>
        <v>19.462024045574466</v>
      </c>
      <c r="AM106" s="21">
        <f t="shared" si="135"/>
        <v>29.022316559189992</v>
      </c>
      <c r="AN106" s="21">
        <f t="shared" si="136"/>
        <v>11.608926623675996</v>
      </c>
      <c r="AP106">
        <f t="shared" si="143"/>
        <v>0.79635294252658584</v>
      </c>
      <c r="AQ106">
        <f t="shared" si="141"/>
        <v>0.20364705747341408</v>
      </c>
      <c r="AR106">
        <f t="shared" si="142"/>
        <v>8.3464935934659423E-2</v>
      </c>
      <c r="AS106">
        <f t="shared" si="137"/>
        <v>0.59766794040720073</v>
      </c>
      <c r="AT106">
        <f t="shared" si="138"/>
        <v>0.40985093018373564</v>
      </c>
      <c r="AU106">
        <f t="shared" si="139"/>
        <v>0.75050635025091017</v>
      </c>
    </row>
    <row r="107" spans="1:47" x14ac:dyDescent="0.3">
      <c r="A107" t="s">
        <v>17</v>
      </c>
      <c r="B107">
        <v>2014</v>
      </c>
      <c r="C107">
        <v>133</v>
      </c>
      <c r="D107">
        <v>32</v>
      </c>
      <c r="E107">
        <v>126</v>
      </c>
      <c r="F107">
        <v>26</v>
      </c>
      <c r="K107">
        <v>73</v>
      </c>
      <c r="L107">
        <v>30</v>
      </c>
      <c r="M107">
        <v>72</v>
      </c>
      <c r="N107">
        <v>22</v>
      </c>
      <c r="Q107" s="13">
        <f>B20/($B20+$C20+$D20)</f>
        <v>0.49526151902161653</v>
      </c>
      <c r="R107" s="13">
        <f>C20/($B20+$C20+$D20)</f>
        <v>0.3064668983257367</v>
      </c>
      <c r="S107" s="13">
        <f>D20/($B20+$C20+$D20)</f>
        <v>0.19827158265264677</v>
      </c>
      <c r="U107" s="13">
        <f t="shared" si="120"/>
        <v>0.61567164179104472</v>
      </c>
      <c r="V107" s="13">
        <f t="shared" si="121"/>
        <v>0</v>
      </c>
      <c r="W107" s="13">
        <f t="shared" si="122"/>
        <v>0.38432835820895522</v>
      </c>
      <c r="Y107" s="14">
        <f t="shared" si="123"/>
        <v>0.80442477028965598</v>
      </c>
      <c r="Z107" s="14"/>
      <c r="AA107" s="14">
        <f t="shared" si="124"/>
        <v>0.51589110826125573</v>
      </c>
      <c r="AC107" s="21">
        <f t="shared" si="125"/>
        <v>106.98849444852425</v>
      </c>
      <c r="AD107" s="21">
        <f t="shared" si="126"/>
        <v>25.741592649268991</v>
      </c>
      <c r="AE107" s="21">
        <f t="shared" si="127"/>
        <v>101.35752105649665</v>
      </c>
      <c r="AF107" s="21">
        <f t="shared" si="128"/>
        <v>20.915044027531057</v>
      </c>
      <c r="AG107" s="21">
        <f t="shared" si="129"/>
        <v>0</v>
      </c>
      <c r="AH107" s="21">
        <f t="shared" si="130"/>
        <v>0</v>
      </c>
      <c r="AI107" s="21">
        <f t="shared" si="131"/>
        <v>0</v>
      </c>
      <c r="AJ107" s="21">
        <f t="shared" si="132"/>
        <v>0</v>
      </c>
      <c r="AK107" s="21">
        <f t="shared" si="133"/>
        <v>37.660050903071671</v>
      </c>
      <c r="AL107" s="21">
        <f t="shared" si="134"/>
        <v>15.476733247837672</v>
      </c>
      <c r="AM107" s="21">
        <f t="shared" si="135"/>
        <v>37.144159794810413</v>
      </c>
      <c r="AN107" s="21">
        <f t="shared" si="136"/>
        <v>11.349604381747627</v>
      </c>
      <c r="AP107">
        <f t="shared" si="143"/>
        <v>0.77823737161877693</v>
      </c>
      <c r="AQ107">
        <f t="shared" si="141"/>
        <v>0.22176262838122307</v>
      </c>
      <c r="AR107">
        <f t="shared" si="142"/>
        <v>0.17359009807673784</v>
      </c>
      <c r="AS107">
        <f t="shared" si="137"/>
        <v>0.74516604234426664</v>
      </c>
      <c r="AT107">
        <f t="shared" si="138"/>
        <v>0.78277435356838476</v>
      </c>
      <c r="AU107">
        <f t="shared" si="139"/>
        <v>0.95750483017062005</v>
      </c>
    </row>
    <row r="108" spans="1:47" x14ac:dyDescent="0.3">
      <c r="A108" t="s">
        <v>17</v>
      </c>
      <c r="B108">
        <v>2015</v>
      </c>
      <c r="C108">
        <v>29</v>
      </c>
      <c r="D108">
        <v>6</v>
      </c>
      <c r="E108">
        <v>26</v>
      </c>
      <c r="F108">
        <v>2</v>
      </c>
      <c r="G108">
        <v>19</v>
      </c>
      <c r="H108">
        <v>9</v>
      </c>
      <c r="I108">
        <v>19</v>
      </c>
      <c r="J108">
        <v>7</v>
      </c>
      <c r="K108">
        <v>106</v>
      </c>
      <c r="L108">
        <v>32</v>
      </c>
      <c r="M108">
        <v>106</v>
      </c>
      <c r="N108">
        <v>26</v>
      </c>
      <c r="Q108" s="13">
        <f>B21/($B21+$C21+$D21)</f>
        <v>0.44583476174151526</v>
      </c>
      <c r="R108" s="13">
        <f>C21/($B21+$C21+$D21)</f>
        <v>0.28938733532494243</v>
      </c>
      <c r="S108" s="13">
        <f>D21/($B21+$C21+$D21)</f>
        <v>0.26477790293354231</v>
      </c>
      <c r="U108" s="13">
        <f t="shared" si="120"/>
        <v>0.17412935323383086</v>
      </c>
      <c r="V108" s="13">
        <f t="shared" si="121"/>
        <v>0.13930348258706468</v>
      </c>
      <c r="W108" s="13">
        <f t="shared" si="122"/>
        <v>0.68656716417910446</v>
      </c>
      <c r="Y108" s="14">
        <f t="shared" si="123"/>
        <v>2.560365346001273</v>
      </c>
      <c r="Z108" s="14">
        <f t="shared" si="140"/>
        <v>2.077387657154051</v>
      </c>
      <c r="AA108" s="14">
        <f t="shared" si="124"/>
        <v>0.38565477166407253</v>
      </c>
      <c r="AC108" s="21">
        <f t="shared" si="125"/>
        <v>74.25059503403692</v>
      </c>
      <c r="AD108" s="21">
        <f t="shared" si="126"/>
        <v>15.362192076007638</v>
      </c>
      <c r="AE108" s="21">
        <f t="shared" si="127"/>
        <v>66.569498996033104</v>
      </c>
      <c r="AF108" s="21">
        <f t="shared" si="128"/>
        <v>5.1207306920025459</v>
      </c>
      <c r="AG108" s="21">
        <f t="shared" si="129"/>
        <v>39.470365485926969</v>
      </c>
      <c r="AH108" s="21">
        <f t="shared" si="130"/>
        <v>18.69648891438646</v>
      </c>
      <c r="AI108" s="21">
        <f t="shared" si="131"/>
        <v>39.470365485926969</v>
      </c>
      <c r="AJ108" s="21">
        <f t="shared" si="132"/>
        <v>14.541713600078356</v>
      </c>
      <c r="AK108" s="21">
        <f t="shared" si="133"/>
        <v>40.879405796391687</v>
      </c>
      <c r="AL108" s="21">
        <f t="shared" si="134"/>
        <v>12.340952693250321</v>
      </c>
      <c r="AM108" s="21">
        <f t="shared" si="135"/>
        <v>40.879405796391687</v>
      </c>
      <c r="AN108" s="21">
        <f t="shared" si="136"/>
        <v>10.027024063265886</v>
      </c>
      <c r="AP108">
        <f t="shared" si="143"/>
        <v>0.76915605132515197</v>
      </c>
      <c r="AQ108">
        <f t="shared" si="141"/>
        <v>0.23084394867484781</v>
      </c>
      <c r="AR108">
        <f t="shared" si="142"/>
        <v>0.14770879778779494</v>
      </c>
      <c r="AS108">
        <f t="shared" si="137"/>
        <v>0.7309416431758794</v>
      </c>
      <c r="AT108">
        <f t="shared" si="138"/>
        <v>0.63986428336420564</v>
      </c>
      <c r="AU108">
        <f t="shared" si="139"/>
        <v>0.95031644347927247</v>
      </c>
    </row>
    <row r="109" spans="1:47" x14ac:dyDescent="0.3">
      <c r="A109" t="s">
        <v>17</v>
      </c>
      <c r="B109">
        <v>2016</v>
      </c>
      <c r="C109">
        <v>75</v>
      </c>
      <c r="D109">
        <v>23</v>
      </c>
      <c r="E109">
        <v>61</v>
      </c>
      <c r="F109">
        <v>20</v>
      </c>
      <c r="G109">
        <v>1</v>
      </c>
      <c r="H109">
        <v>3</v>
      </c>
      <c r="I109">
        <v>1</v>
      </c>
      <c r="J109">
        <v>1</v>
      </c>
      <c r="K109">
        <v>92</v>
      </c>
      <c r="L109">
        <v>29</v>
      </c>
      <c r="M109">
        <v>85</v>
      </c>
      <c r="N109">
        <v>27</v>
      </c>
      <c r="Q109" s="13">
        <f>B22/($B22+$C22+$D22)</f>
        <v>0.4705028679366981</v>
      </c>
      <c r="R109" s="13">
        <f>C22/($B22+$C22+$D22)</f>
        <v>0.31888231093501646</v>
      </c>
      <c r="S109" s="13">
        <f>D22/($B22+$C22+$D22)</f>
        <v>0.21061482112828545</v>
      </c>
      <c r="U109" s="13">
        <f t="shared" si="120"/>
        <v>0.43946188340807174</v>
      </c>
      <c r="V109" s="13">
        <f t="shared" si="121"/>
        <v>1.7937219730941704E-2</v>
      </c>
      <c r="W109" s="13">
        <f t="shared" si="122"/>
        <v>0.54260089686098656</v>
      </c>
      <c r="Y109" s="14">
        <f t="shared" si="123"/>
        <v>1.0706340770396294</v>
      </c>
      <c r="Z109" s="14">
        <f t="shared" si="140"/>
        <v>17.777688834627167</v>
      </c>
      <c r="AA109" s="14">
        <f t="shared" si="124"/>
        <v>0.38815789348436075</v>
      </c>
      <c r="AC109" s="21">
        <f t="shared" si="125"/>
        <v>80.297555777972207</v>
      </c>
      <c r="AD109" s="21">
        <f t="shared" si="126"/>
        <v>24.624583771911478</v>
      </c>
      <c r="AE109" s="21">
        <f t="shared" si="127"/>
        <v>65.308678699417399</v>
      </c>
      <c r="AF109" s="21">
        <f t="shared" si="128"/>
        <v>21.41268154079259</v>
      </c>
      <c r="AG109" s="21">
        <f t="shared" si="129"/>
        <v>17.777688834627167</v>
      </c>
      <c r="AH109" s="21">
        <f t="shared" si="130"/>
        <v>53.333066503881497</v>
      </c>
      <c r="AI109" s="21">
        <f t="shared" si="131"/>
        <v>17.777688834627167</v>
      </c>
      <c r="AJ109" s="21">
        <f t="shared" si="132"/>
        <v>17.777688834627167</v>
      </c>
      <c r="AK109" s="21">
        <f t="shared" si="133"/>
        <v>35.710526200561191</v>
      </c>
      <c r="AL109" s="21">
        <f t="shared" si="134"/>
        <v>11.256578911046462</v>
      </c>
      <c r="AM109" s="21">
        <f t="shared" si="135"/>
        <v>32.993420946170666</v>
      </c>
      <c r="AN109" s="21">
        <f t="shared" si="136"/>
        <v>10.480263124077741</v>
      </c>
      <c r="AP109">
        <f t="shared" si="143"/>
        <v>0.59993619198726722</v>
      </c>
      <c r="AQ109">
        <f t="shared" si="141"/>
        <v>0.40006380801273289</v>
      </c>
      <c r="AR109">
        <f t="shared" si="142"/>
        <v>0.22273826681389011</v>
      </c>
      <c r="AS109">
        <f t="shared" si="137"/>
        <v>0.520537168072714</v>
      </c>
      <c r="AT109">
        <f t="shared" si="138"/>
        <v>0.55675685316378587</v>
      </c>
      <c r="AU109">
        <f t="shared" si="139"/>
        <v>0.86765421894027306</v>
      </c>
    </row>
    <row r="110" spans="1:47" x14ac:dyDescent="0.3">
      <c r="A110" t="s">
        <v>17</v>
      </c>
      <c r="B110">
        <v>2017</v>
      </c>
      <c r="C110">
        <v>93</v>
      </c>
      <c r="D110">
        <v>11</v>
      </c>
      <c r="E110">
        <v>79</v>
      </c>
      <c r="F110">
        <v>4</v>
      </c>
      <c r="K110">
        <v>20</v>
      </c>
      <c r="L110">
        <v>16</v>
      </c>
      <c r="M110">
        <v>20</v>
      </c>
      <c r="N110">
        <v>14</v>
      </c>
      <c r="Q110" s="13">
        <f>B23/($B23+$C23+$D23)</f>
        <v>0.47853227288570616</v>
      </c>
      <c r="R110" s="13">
        <f>C23/($B23+$C23+$D23)</f>
        <v>0.2668652365410818</v>
      </c>
      <c r="S110" s="13">
        <f>D23/($B23+$C23+$D23)</f>
        <v>0.2546024905732121</v>
      </c>
      <c r="U110" s="13">
        <f t="shared" si="120"/>
        <v>0.74285714285714288</v>
      </c>
      <c r="V110" s="13">
        <f t="shared" si="121"/>
        <v>0</v>
      </c>
      <c r="W110" s="13">
        <f t="shared" si="122"/>
        <v>0.25714285714285712</v>
      </c>
      <c r="Y110" s="14">
        <f t="shared" si="123"/>
        <v>0.64417805965383523</v>
      </c>
      <c r="Z110" s="14"/>
      <c r="AA110" s="14">
        <f t="shared" si="124"/>
        <v>0.99012079667360275</v>
      </c>
      <c r="AC110" s="21">
        <f t="shared" si="125"/>
        <v>59.908559547806675</v>
      </c>
      <c r="AD110" s="21">
        <f t="shared" si="126"/>
        <v>7.0859586561921875</v>
      </c>
      <c r="AE110" s="21">
        <f t="shared" si="127"/>
        <v>50.890066712652981</v>
      </c>
      <c r="AF110" s="21">
        <f t="shared" si="128"/>
        <v>2.5767122386153409</v>
      </c>
      <c r="AG110" s="21">
        <f t="shared" si="129"/>
        <v>0</v>
      </c>
      <c r="AH110" s="21">
        <f t="shared" si="130"/>
        <v>0</v>
      </c>
      <c r="AI110" s="21">
        <f t="shared" si="131"/>
        <v>0</v>
      </c>
      <c r="AJ110" s="21">
        <f t="shared" si="132"/>
        <v>0</v>
      </c>
      <c r="AK110" s="21">
        <f t="shared" si="133"/>
        <v>19.802415933472055</v>
      </c>
      <c r="AL110" s="21">
        <f t="shared" si="134"/>
        <v>15.841932746777644</v>
      </c>
      <c r="AM110" s="21">
        <f t="shared" si="135"/>
        <v>19.802415933472055</v>
      </c>
      <c r="AN110" s="21">
        <f t="shared" si="136"/>
        <v>13.861691153430439</v>
      </c>
      <c r="AP110">
        <f t="shared" si="143"/>
        <v>0.77661589513817542</v>
      </c>
      <c r="AQ110">
        <f t="shared" si="141"/>
        <v>0.22338410486182456</v>
      </c>
      <c r="AR110">
        <f t="shared" si="142"/>
        <v>0.16015768578762918</v>
      </c>
      <c r="AS110">
        <f t="shared" si="137"/>
        <v>0.68874964028830121</v>
      </c>
      <c r="AT110">
        <f t="shared" si="138"/>
        <v>0.71696097574487494</v>
      </c>
      <c r="AU110">
        <f t="shared" si="139"/>
        <v>0.88686008694910756</v>
      </c>
    </row>
    <row r="111" spans="1:47" x14ac:dyDescent="0.3">
      <c r="A111" t="s">
        <v>17</v>
      </c>
      <c r="B111">
        <v>2018</v>
      </c>
      <c r="C111">
        <v>41</v>
      </c>
      <c r="D111">
        <v>18</v>
      </c>
      <c r="E111">
        <v>41</v>
      </c>
      <c r="F111">
        <v>13</v>
      </c>
      <c r="G111">
        <v>3</v>
      </c>
      <c r="H111">
        <v>6</v>
      </c>
      <c r="I111">
        <v>3</v>
      </c>
      <c r="J111">
        <v>3</v>
      </c>
      <c r="K111">
        <v>42</v>
      </c>
      <c r="L111">
        <v>3</v>
      </c>
      <c r="M111">
        <v>42</v>
      </c>
      <c r="N111">
        <v>1</v>
      </c>
      <c r="Q111" s="13">
        <f>B24/($B24+$C24+$D24)</f>
        <v>0.40731657469854893</v>
      </c>
      <c r="R111" s="13">
        <f>C24/($B24+$C24+$D24)</f>
        <v>0.33820423734586824</v>
      </c>
      <c r="S111" s="13">
        <f>D24/($B24+$C24+$D24)</f>
        <v>0.25447918795558283</v>
      </c>
      <c r="U111" s="13">
        <f>(C111+D111)/($C111+$D111+$G111+$H111+$K111+$L111)</f>
        <v>0.52212389380530977</v>
      </c>
      <c r="V111" s="13">
        <f>(G111+H111)/($C111+$D111+$G111+$H111+$K111+$L111)</f>
        <v>7.9646017699115043E-2</v>
      </c>
      <c r="W111" s="13">
        <f>(L111+K111)/($C111+$D111+$G111+$H111+$K111+$L111)</f>
        <v>0.39823008849557523</v>
      </c>
      <c r="Y111" s="14">
        <f>Q111/U111</f>
        <v>0.78011479560908514</v>
      </c>
      <c r="Z111" s="14">
        <f t="shared" ref="Z111" si="144">R111/V111</f>
        <v>4.2463420911203453</v>
      </c>
      <c r="AA111" s="14">
        <f t="shared" ref="AA111:AA114" si="145">S111/W111</f>
        <v>0.63902551642179684</v>
      </c>
      <c r="AC111" s="21">
        <f>$Y111*C111</f>
        <v>31.984706619972492</v>
      </c>
      <c r="AD111" s="21">
        <f t="shared" ref="AD111:AF114" si="146">$Y111*D111</f>
        <v>14.042066320963533</v>
      </c>
      <c r="AE111" s="21">
        <f t="shared" si="146"/>
        <v>31.984706619972492</v>
      </c>
      <c r="AF111" s="21">
        <f t="shared" si="146"/>
        <v>10.141492342918108</v>
      </c>
      <c r="AG111" s="21">
        <f>$Z111*G111</f>
        <v>12.739026273361036</v>
      </c>
      <c r="AH111" s="21">
        <f t="shared" ref="AH111:AJ114" si="147">$Z111*H111</f>
        <v>25.478052546722072</v>
      </c>
      <c r="AI111" s="21">
        <f t="shared" si="147"/>
        <v>12.739026273361036</v>
      </c>
      <c r="AJ111" s="21">
        <f t="shared" si="147"/>
        <v>12.739026273361036</v>
      </c>
      <c r="AK111" s="21">
        <f>$AA111*K111</f>
        <v>26.839071689715468</v>
      </c>
      <c r="AL111" s="21">
        <f t="shared" ref="AL111:AN114" si="148">$AA111*L111</f>
        <v>1.9170765492653905</v>
      </c>
      <c r="AM111" s="21">
        <f t="shared" si="148"/>
        <v>26.839071689715468</v>
      </c>
      <c r="AN111" s="21">
        <f t="shared" si="148"/>
        <v>0.63902551642179684</v>
      </c>
      <c r="AP111">
        <f>(AC111+AG111+AK111)/($AD111+$AC111+$AG111+$AH111+$AK111+$AL111)</f>
        <v>0.63329915560220362</v>
      </c>
      <c r="AQ111">
        <f t="shared" si="141"/>
        <v>0.36670084439779643</v>
      </c>
      <c r="AR111">
        <f t="shared" si="142"/>
        <v>0.20813755869646852</v>
      </c>
      <c r="AS111">
        <f>(AE111+AI111+AM111)/($AD111+$AC111+$AG111+$AH111+$AK111+$AL111)</f>
        <v>0.63329915560220362</v>
      </c>
      <c r="AT111">
        <f>(AN111+AJ111+AF111)/(AD111+AH111+AL111)</f>
        <v>0.56759498069407566</v>
      </c>
      <c r="AU111">
        <f>(AM111+AI111+AE111)/(AC111+AG111+AK111)</f>
        <v>1</v>
      </c>
    </row>
    <row r="112" spans="1:47" x14ac:dyDescent="0.3">
      <c r="A112" t="s">
        <v>17</v>
      </c>
      <c r="B112">
        <v>2019</v>
      </c>
      <c r="C112">
        <v>82</v>
      </c>
      <c r="D112">
        <v>39</v>
      </c>
      <c r="E112">
        <v>69</v>
      </c>
      <c r="F112">
        <v>20</v>
      </c>
      <c r="G112">
        <v>14</v>
      </c>
      <c r="H112">
        <v>6</v>
      </c>
      <c r="I112">
        <v>10</v>
      </c>
      <c r="J112">
        <v>4</v>
      </c>
      <c r="K112">
        <v>86</v>
      </c>
      <c r="L112">
        <v>19</v>
      </c>
      <c r="M112">
        <v>60</v>
      </c>
      <c r="N112">
        <v>14</v>
      </c>
      <c r="Q112" s="13">
        <f>B25/($B25+$C25+$D25)</f>
        <v>0.41250827408024254</v>
      </c>
      <c r="R112" s="13">
        <f>C25/($B25+$C25+$D25)</f>
        <v>0.34518395148719921</v>
      </c>
      <c r="S112" s="13">
        <f>D25/($B25+$C25+$D25)</f>
        <v>0.24230777443255824</v>
      </c>
      <c r="U112" s="13">
        <f t="shared" ref="U112:U114" si="149">(C112+D112)/($C112+$D112+$G112+$H112+$K112+$L112)</f>
        <v>0.491869918699187</v>
      </c>
      <c r="V112" s="13">
        <f t="shared" ref="V112:V114" si="150">(G112+H112)/($C112+$D112+$G112+$H112+$K112+$L112)</f>
        <v>8.1300813008130079E-2</v>
      </c>
      <c r="W112" s="13">
        <f t="shared" ref="W112:W114" si="151">(L112+K112)/($C112+$D112+$G112+$H112+$K112+$L112)</f>
        <v>0.42682926829268292</v>
      </c>
      <c r="Y112" s="14">
        <f t="shared" ref="Y112:Y114" si="152">Q112/U112</f>
        <v>0.83865318532016253</v>
      </c>
      <c r="Z112" s="14"/>
      <c r="AA112" s="14">
        <f t="shared" si="145"/>
        <v>0.56769250009913652</v>
      </c>
      <c r="AC112" s="21">
        <f t="shared" ref="AC112:AC114" si="153">$Y112*C112</f>
        <v>68.769561196253321</v>
      </c>
      <c r="AD112" s="21">
        <f t="shared" si="146"/>
        <v>32.707474227486337</v>
      </c>
      <c r="AE112" s="21">
        <f t="shared" si="146"/>
        <v>57.867069787091218</v>
      </c>
      <c r="AF112" s="21">
        <f t="shared" si="146"/>
        <v>16.773063706403249</v>
      </c>
      <c r="AG112" s="21">
        <f t="shared" ref="AG112" si="154">$Z112*G112</f>
        <v>0</v>
      </c>
      <c r="AH112" s="21">
        <f t="shared" si="147"/>
        <v>0</v>
      </c>
      <c r="AI112" s="21">
        <f t="shared" si="147"/>
        <v>0</v>
      </c>
      <c r="AJ112" s="21">
        <f t="shared" si="147"/>
        <v>0</v>
      </c>
      <c r="AK112" s="21">
        <f t="shared" ref="AK112:AK114" si="155">$AA112*K112</f>
        <v>48.821555008525742</v>
      </c>
      <c r="AL112" s="21">
        <f t="shared" si="148"/>
        <v>10.786157501883594</v>
      </c>
      <c r="AM112" s="21">
        <f t="shared" si="148"/>
        <v>34.061550005948192</v>
      </c>
      <c r="AN112" s="21">
        <f t="shared" si="148"/>
        <v>7.9476950013879115</v>
      </c>
      <c r="AP112">
        <f>(AC112+AG112+AK112)/($AD112+$AC112+$AG112+$AH112+$AK112+$AL112)</f>
        <v>0.72999534538707533</v>
      </c>
      <c r="AQ112">
        <f t="shared" ref="AQ112:AQ114" si="156">(AD112+AH112+AL112)/($AD112+$AC112+$AG112+$AH112+$AK112+$AL112)</f>
        <v>0.27000465461292467</v>
      </c>
      <c r="AR112">
        <f t="shared" ref="AR112:AR114" si="157">(AF112+AJ112+AN112)/($AD112+$AC112+$AG112+$AH112+$AK112+$AL112)</f>
        <v>0.15346430388243176</v>
      </c>
      <c r="AS112">
        <f t="shared" ref="AS112:AS114" si="158">(AE112+AI112+AM112)/($AD112+$AC112+$AG112+$AH112+$AK112+$AL112)</f>
        <v>0.57068481635902357</v>
      </c>
      <c r="AT112">
        <f t="shared" ref="AT112:AT114" si="159">(AN112+AJ112+AF112)/(AD112+AH112+AL112)</f>
        <v>0.56837651225841379</v>
      </c>
      <c r="AU112">
        <f t="shared" ref="AU112:AU114" si="160">(AM112+AI112+AE112)/(AC112+AG112+AK112)</f>
        <v>0.78176500708565688</v>
      </c>
    </row>
    <row r="113" spans="1:47" x14ac:dyDescent="0.3">
      <c r="A113" t="s">
        <v>17</v>
      </c>
      <c r="B113">
        <v>2020</v>
      </c>
      <c r="C113">
        <v>59</v>
      </c>
      <c r="D113">
        <v>20</v>
      </c>
      <c r="E113">
        <v>54</v>
      </c>
      <c r="F113">
        <v>15</v>
      </c>
      <c r="G113">
        <v>9</v>
      </c>
      <c r="H113">
        <v>3</v>
      </c>
      <c r="I113">
        <v>3</v>
      </c>
      <c r="J113">
        <v>0</v>
      </c>
      <c r="K113">
        <v>62</v>
      </c>
      <c r="L113">
        <v>23</v>
      </c>
      <c r="M113">
        <v>60</v>
      </c>
      <c r="N113">
        <v>20</v>
      </c>
      <c r="Q113" s="13">
        <f>B26/($B26+$C26+$D26)</f>
        <v>0.37175061641423035</v>
      </c>
      <c r="R113" s="13">
        <f>C26/($B26+$C26+$D26)</f>
        <v>0.33434307854878476</v>
      </c>
      <c r="S113" s="13">
        <f>D26/($B26+$C26+$D26)</f>
        <v>0.29390630503698484</v>
      </c>
      <c r="U113" s="13">
        <f t="shared" si="149"/>
        <v>0.44886363636363635</v>
      </c>
      <c r="V113" s="13">
        <f t="shared" si="150"/>
        <v>6.8181818181818177E-2</v>
      </c>
      <c r="W113" s="13">
        <f t="shared" si="151"/>
        <v>0.48295454545454547</v>
      </c>
      <c r="Y113" s="14">
        <f t="shared" si="152"/>
        <v>0.82820390492284235</v>
      </c>
      <c r="Z113" s="14">
        <f t="shared" ref="Z113:Z114" si="161">R113/V113</f>
        <v>4.9036984853821766</v>
      </c>
      <c r="AA113" s="14">
        <f t="shared" si="145"/>
        <v>0.60855893748834511</v>
      </c>
      <c r="AC113" s="21">
        <f t="shared" si="153"/>
        <v>48.864030390447695</v>
      </c>
      <c r="AD113" s="21">
        <f t="shared" si="146"/>
        <v>16.564078098456847</v>
      </c>
      <c r="AE113" s="21">
        <f t="shared" si="146"/>
        <v>44.723010865833487</v>
      </c>
      <c r="AF113" s="21">
        <f t="shared" si="146"/>
        <v>12.423058573842635</v>
      </c>
      <c r="AG113" s="21">
        <f>$Z113*G113</f>
        <v>44.133286368439592</v>
      </c>
      <c r="AH113" s="21">
        <f t="shared" si="147"/>
        <v>14.711095456146531</v>
      </c>
      <c r="AI113" s="21">
        <f t="shared" si="147"/>
        <v>14.711095456146531</v>
      </c>
      <c r="AJ113" s="21">
        <f t="shared" si="147"/>
        <v>0</v>
      </c>
      <c r="AK113" s="21">
        <f t="shared" si="155"/>
        <v>37.730654124277393</v>
      </c>
      <c r="AL113" s="21">
        <f t="shared" si="148"/>
        <v>13.996855562231937</v>
      </c>
      <c r="AM113" s="21">
        <f t="shared" si="148"/>
        <v>36.513536249300707</v>
      </c>
      <c r="AN113" s="21">
        <f t="shared" si="148"/>
        <v>12.171178749766902</v>
      </c>
      <c r="AP113">
        <f t="shared" ref="AP113:AP114" si="162">(AC113+AG113+AK113)/($AD113+$AC113+$AG113+$AH113+$AK113+$AL113)</f>
        <v>0.74277256183616303</v>
      </c>
      <c r="AQ113">
        <f t="shared" si="156"/>
        <v>0.25722743816383703</v>
      </c>
      <c r="AR113">
        <f t="shared" si="157"/>
        <v>0.13973998479323602</v>
      </c>
      <c r="AS113">
        <f t="shared" si="158"/>
        <v>0.54515706006409503</v>
      </c>
      <c r="AT113">
        <f t="shared" si="159"/>
        <v>0.5432545835340894</v>
      </c>
      <c r="AU113">
        <f t="shared" si="160"/>
        <v>0.73394883989312332</v>
      </c>
    </row>
    <row r="114" spans="1:47" x14ac:dyDescent="0.3">
      <c r="A114" t="s">
        <v>17</v>
      </c>
      <c r="B114">
        <v>2021</v>
      </c>
      <c r="C114">
        <v>12</v>
      </c>
      <c r="D114">
        <v>2</v>
      </c>
      <c r="E114">
        <v>12</v>
      </c>
      <c r="F114">
        <v>2</v>
      </c>
      <c r="G114">
        <v>3</v>
      </c>
      <c r="H114">
        <v>2</v>
      </c>
      <c r="I114">
        <v>2</v>
      </c>
      <c r="J114">
        <v>2</v>
      </c>
      <c r="K114">
        <v>40</v>
      </c>
      <c r="L114">
        <v>23</v>
      </c>
      <c r="M114">
        <v>37</v>
      </c>
      <c r="N114">
        <v>19</v>
      </c>
      <c r="Q114" s="13">
        <f>B27/($B27+$C27+$D27)</f>
        <v>0.45877496671105195</v>
      </c>
      <c r="R114" s="13">
        <f>C27/($B27+$C27+$D27)</f>
        <v>0.34793608521970704</v>
      </c>
      <c r="S114" s="13">
        <f>D27/($B27+$C27+$D27)</f>
        <v>0.19328894806924102</v>
      </c>
      <c r="U114" s="13">
        <f t="shared" si="149"/>
        <v>0.17073170731707318</v>
      </c>
      <c r="V114" s="13">
        <f t="shared" si="150"/>
        <v>6.097560975609756E-2</v>
      </c>
      <c r="W114" s="13">
        <f t="shared" si="151"/>
        <v>0.76829268292682928</v>
      </c>
      <c r="Y114" s="14">
        <f t="shared" si="152"/>
        <v>2.6871105193075899</v>
      </c>
      <c r="Z114" s="14">
        <f t="shared" si="161"/>
        <v>5.7061517976031952</v>
      </c>
      <c r="AA114" s="14">
        <f t="shared" si="145"/>
        <v>0.2515824403440915</v>
      </c>
      <c r="AC114" s="21">
        <f t="shared" si="153"/>
        <v>32.245326231691081</v>
      </c>
      <c r="AD114" s="21">
        <f t="shared" si="146"/>
        <v>5.3742210386151799</v>
      </c>
      <c r="AE114" s="21">
        <f t="shared" si="146"/>
        <v>32.245326231691081</v>
      </c>
      <c r="AF114" s="21">
        <f t="shared" si="146"/>
        <v>5.3742210386151799</v>
      </c>
      <c r="AG114" s="21">
        <f t="shared" ref="AG114" si="163">$Z114*G114</f>
        <v>17.118455392809587</v>
      </c>
      <c r="AH114" s="21">
        <f t="shared" si="147"/>
        <v>11.41230359520639</v>
      </c>
      <c r="AI114" s="21">
        <f t="shared" si="147"/>
        <v>11.41230359520639</v>
      </c>
      <c r="AJ114" s="21">
        <f t="shared" si="147"/>
        <v>11.41230359520639</v>
      </c>
      <c r="AK114" s="21">
        <f t="shared" si="155"/>
        <v>10.063297613763659</v>
      </c>
      <c r="AL114" s="21">
        <f t="shared" si="148"/>
        <v>5.7863961279141041</v>
      </c>
      <c r="AM114" s="21">
        <f t="shared" si="148"/>
        <v>9.3085502927313861</v>
      </c>
      <c r="AN114" s="21">
        <f t="shared" si="148"/>
        <v>4.7800663665377385</v>
      </c>
      <c r="AP114">
        <f t="shared" si="162"/>
        <v>0.72472047851541854</v>
      </c>
      <c r="AQ114">
        <f t="shared" si="156"/>
        <v>0.27527952148458135</v>
      </c>
      <c r="AR114">
        <f t="shared" si="157"/>
        <v>0.26300720732145494</v>
      </c>
      <c r="AS114">
        <f t="shared" si="158"/>
        <v>0.64592902584913237</v>
      </c>
      <c r="AT114">
        <f t="shared" si="159"/>
        <v>0.95541871732070049</v>
      </c>
      <c r="AU114">
        <f t="shared" si="160"/>
        <v>0.89128021768104371</v>
      </c>
    </row>
    <row r="115" spans="1:47" x14ac:dyDescent="0.3">
      <c r="A115" t="s">
        <v>17</v>
      </c>
      <c r="B115">
        <v>2022</v>
      </c>
      <c r="C115">
        <v>50</v>
      </c>
      <c r="D115">
        <v>12</v>
      </c>
      <c r="E115">
        <v>49</v>
      </c>
      <c r="F115">
        <v>5</v>
      </c>
      <c r="K115">
        <v>32</v>
      </c>
      <c r="L115">
        <v>19</v>
      </c>
      <c r="M115">
        <v>21</v>
      </c>
      <c r="N115">
        <v>18</v>
      </c>
      <c r="Q115" s="13">
        <f>B28/($B28+$C28+$D28)</f>
        <v>0.49950314673733026</v>
      </c>
      <c r="R115" s="13">
        <f>C28/($B28+$C28+$D28)</f>
        <v>0.29973802282513778</v>
      </c>
      <c r="S115" s="13">
        <f>D28/($B28+$C28+$D28)</f>
        <v>0.20075883043753198</v>
      </c>
      <c r="U115" s="13">
        <f t="shared" ref="U115" si="164">(C115+D115)/($C115+$D115+$G115+$H115+$K115+$L115)</f>
        <v>0.54867256637168138</v>
      </c>
      <c r="V115" s="13">
        <f t="shared" ref="V115" si="165">(G115+H115)/($C115+$D115+$G115+$H115+$K115+$L115)</f>
        <v>0</v>
      </c>
      <c r="W115" s="13">
        <f t="shared" ref="W115" si="166">(L115+K115)/($C115+$D115+$G115+$H115+$K115+$L115)</f>
        <v>0.45132743362831856</v>
      </c>
      <c r="Y115" s="14">
        <f t="shared" ref="Y115" si="167">Q115/U115</f>
        <v>0.91038476744061814</v>
      </c>
      <c r="Z115" s="14"/>
      <c r="AA115" s="14">
        <f t="shared" ref="AA115" si="168">S115/W115</f>
        <v>0.44481858508708066</v>
      </c>
      <c r="AC115" s="21">
        <f t="shared" ref="AC115" si="169">$Y115*C115</f>
        <v>45.519238372030905</v>
      </c>
      <c r="AD115" s="21">
        <f t="shared" ref="AD115" si="170">$Y115*D115</f>
        <v>10.924617209287417</v>
      </c>
      <c r="AE115" s="21">
        <f t="shared" ref="AE115" si="171">$Y115*E115</f>
        <v>44.608853604590287</v>
      </c>
      <c r="AF115" s="21">
        <f t="shared" ref="AF115" si="172">$Y115*F115</f>
        <v>4.5519238372030904</v>
      </c>
      <c r="AG115" s="21">
        <f t="shared" ref="AG115" si="173">$Z115*G115</f>
        <v>0</v>
      </c>
      <c r="AH115" s="21">
        <f t="shared" ref="AH115" si="174">$Z115*H115</f>
        <v>0</v>
      </c>
      <c r="AI115" s="21">
        <f t="shared" ref="AI115" si="175">$Z115*I115</f>
        <v>0</v>
      </c>
      <c r="AJ115" s="21">
        <f t="shared" ref="AJ115" si="176">$Z115*J115</f>
        <v>0</v>
      </c>
      <c r="AK115" s="21">
        <f t="shared" ref="AK115" si="177">$AA115*K115</f>
        <v>14.234194722786581</v>
      </c>
      <c r="AL115" s="21">
        <f t="shared" ref="AL115" si="178">$AA115*L115</f>
        <v>8.4515531166545319</v>
      </c>
      <c r="AM115" s="21">
        <f t="shared" ref="AM115" si="179">$AA115*M115</f>
        <v>9.3411902868286933</v>
      </c>
      <c r="AN115" s="21">
        <f t="shared" ref="AN115" si="180">$AA115*N115</f>
        <v>8.0067345315674512</v>
      </c>
      <c r="AP115">
        <f t="shared" ref="AP115" si="181">(AC115+AG115+AK115)/($AD115+$AC115+$AG115+$AH115+$AK115+$AL115)</f>
        <v>0.75513373644864412</v>
      </c>
      <c r="AQ115">
        <f t="shared" ref="AQ115" si="182">(AD115+AH115+AL115)/($AD115+$AC115+$AG115+$AH115+$AK115+$AL115)</f>
        <v>0.24486626355135585</v>
      </c>
      <c r="AR115">
        <f t="shared" ref="AR115" si="183">(AF115+AJ115+AN115)/($AD115+$AC115+$AG115+$AH115+$AK115+$AL115)</f>
        <v>0.15870998748713316</v>
      </c>
      <c r="AS115">
        <f t="shared" ref="AS115" si="184">(AE115+AI115+AM115)/($AD115+$AC115+$AG115+$AH115+$AK115+$AL115)</f>
        <v>0.68179343203008302</v>
      </c>
      <c r="AT115">
        <f t="shared" ref="AT115" si="185">(AN115+AJ115+AF115)/(AD115+AH115+AL115)</f>
        <v>0.64814966825287834</v>
      </c>
      <c r="AU115">
        <f t="shared" ref="AU115" si="186">(AM115+AI115+AE115)/(AC115+AG115+AK115)</f>
        <v>0.90287772764136209</v>
      </c>
    </row>
  </sheetData>
  <mergeCells count="34">
    <mergeCell ref="AP89:AS89"/>
    <mergeCell ref="AC89:AF89"/>
    <mergeCell ref="AG89:AJ89"/>
    <mergeCell ref="AK89:AN89"/>
    <mergeCell ref="C89:F89"/>
    <mergeCell ref="G89:J89"/>
    <mergeCell ref="K89:N89"/>
    <mergeCell ref="AP60:AS60"/>
    <mergeCell ref="C88:N88"/>
    <mergeCell ref="Y88:Z88"/>
    <mergeCell ref="AC60:AF60"/>
    <mergeCell ref="AG60:AJ60"/>
    <mergeCell ref="AK60:AN60"/>
    <mergeCell ref="C60:F60"/>
    <mergeCell ref="G60:J60"/>
    <mergeCell ref="K60:N60"/>
    <mergeCell ref="AC88:AN88"/>
    <mergeCell ref="AP88:AU88"/>
    <mergeCell ref="AC31:AF31"/>
    <mergeCell ref="AG31:AJ31"/>
    <mergeCell ref="AP31:AS31"/>
    <mergeCell ref="AT31:AW31"/>
    <mergeCell ref="C59:N59"/>
    <mergeCell ref="Y59:Z59"/>
    <mergeCell ref="C31:F31"/>
    <mergeCell ref="G31:J31"/>
    <mergeCell ref="AC59:AN59"/>
    <mergeCell ref="AP59:AU59"/>
    <mergeCell ref="AP30:AU30"/>
    <mergeCell ref="B1:E1"/>
    <mergeCell ref="B2:E2"/>
    <mergeCell ref="C30:J30"/>
    <mergeCell ref="Y30:Z30"/>
    <mergeCell ref="AC30:AJ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samples</vt:lpstr>
      <vt:lpstr>species_comp_Region2_forR</vt:lpstr>
      <vt:lpstr>CFMU samples by port</vt:lpstr>
      <vt:lpstr>R2 guide wt multiport</vt:lpstr>
      <vt:lpstr>R2 unguide wt multiport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Howard</dc:creator>
  <cp:lastModifiedBy>Philip Joy</cp:lastModifiedBy>
  <dcterms:created xsi:type="dcterms:W3CDTF">2019-09-26T21:16:15Z</dcterms:created>
  <dcterms:modified xsi:type="dcterms:W3CDTF">2024-08-16T22:01:36Z</dcterms:modified>
</cp:coreProperties>
</file>