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abst_saviour\Documents\Rockfish\Sport harvest reconstruction\Release &amp; total mortality estimates\"/>
    </mc:Choice>
  </mc:AlternateContent>
  <xr:revisionPtr revIDLastSave="0" documentId="13_ncr:1_{9BDF5A4B-A367-4CD9-95FA-C32B70912FF2}" xr6:coauthVersionLast="46" xr6:coauthVersionMax="46" xr10:uidLastSave="{00000000-0000-0000-0000-000000000000}"/>
  <bookViews>
    <workbookView xWindow="28680" yWindow="-4695" windowWidth="15990" windowHeight="24840" activeTab="2" xr2:uid="{F392A02B-CA4B-4E0D-9031-E70D8C44F4E9}"/>
  </bookViews>
  <sheets>
    <sheet name="rates" sheetId="1" r:id="rId1"/>
    <sheet name="tables" sheetId="2" r:id="rId2"/>
    <sheet name="condensed tables" sheetId="11" r:id="rId3"/>
    <sheet name="lit data" sheetId="7" r:id="rId4"/>
    <sheet name="PWS Hoch studies" sheetId="9" r:id="rId5"/>
    <sheet name="PWS Blain sub study" sheetId="8" r:id="rId6"/>
    <sheet name="Ragan info" sheetId="6" r:id="rId7"/>
    <sheet name="literature" sheetId="5" r:id="rId8"/>
    <sheet name="Hazzy email" sheetId="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9" i="11" l="1"/>
  <c r="X9" i="11"/>
  <c r="Y8" i="11"/>
  <c r="X8" i="11"/>
  <c r="N9" i="8" l="1"/>
  <c r="H8" i="11"/>
  <c r="F8" i="11"/>
  <c r="D29" i="8" l="1"/>
  <c r="P15" i="11"/>
  <c r="S14" i="11"/>
  <c r="P14" i="11"/>
  <c r="S13" i="11"/>
  <c r="P13" i="11"/>
  <c r="S12" i="11"/>
  <c r="P12" i="11"/>
  <c r="H9" i="11"/>
  <c r="F9" i="11"/>
  <c r="I39" i="9"/>
  <c r="H11" i="2"/>
  <c r="F14" i="2"/>
  <c r="E14" i="2"/>
  <c r="E10" i="2"/>
  <c r="F10" i="2"/>
  <c r="F13" i="2"/>
  <c r="E13" i="2"/>
  <c r="H39" i="9"/>
  <c r="L19" i="9"/>
  <c r="L26" i="9"/>
  <c r="L15" i="9"/>
  <c r="L23" i="9"/>
  <c r="K16" i="9"/>
  <c r="K22" i="9"/>
  <c r="K21" i="9"/>
  <c r="K20" i="9"/>
  <c r="K19" i="9"/>
  <c r="K18" i="9"/>
  <c r="K17" i="9"/>
  <c r="G46" i="9"/>
  <c r="E46" i="9"/>
  <c r="G43" i="9"/>
  <c r="E43" i="9"/>
  <c r="G35" i="9"/>
  <c r="E35" i="9"/>
  <c r="J35" i="9" s="1"/>
  <c r="G39" i="9"/>
  <c r="E39" i="9"/>
  <c r="I38" i="9"/>
  <c r="I41" i="9"/>
  <c r="I43" i="9"/>
  <c r="I44" i="9"/>
  <c r="I45" i="9"/>
  <c r="I46" i="9"/>
  <c r="I36" i="9"/>
  <c r="H33" i="9"/>
  <c r="H34" i="9"/>
  <c r="H35" i="9"/>
  <c r="H36" i="9"/>
  <c r="H37" i="9"/>
  <c r="I37" i="9" s="1"/>
  <c r="H38" i="9"/>
  <c r="H40" i="9"/>
  <c r="I40" i="9" s="1"/>
  <c r="H41" i="9"/>
  <c r="H42" i="9"/>
  <c r="I42" i="9" s="1"/>
  <c r="H43" i="9"/>
  <c r="H44" i="9"/>
  <c r="H45" i="9"/>
  <c r="H46" i="9"/>
  <c r="H32" i="9"/>
  <c r="G26" i="9"/>
  <c r="E26" i="9"/>
  <c r="G25" i="9"/>
  <c r="E25" i="9"/>
  <c r="G24" i="9"/>
  <c r="E24" i="9"/>
  <c r="G23" i="9"/>
  <c r="E23" i="9"/>
  <c r="G22" i="9"/>
  <c r="E22" i="9"/>
  <c r="G21" i="9"/>
  <c r="E21" i="9"/>
  <c r="G20" i="9"/>
  <c r="E20" i="9"/>
  <c r="G19" i="9"/>
  <c r="E19" i="9"/>
  <c r="G18" i="9"/>
  <c r="E18" i="9"/>
  <c r="G17" i="9"/>
  <c r="E17" i="9"/>
  <c r="G16" i="9"/>
  <c r="E16" i="9"/>
  <c r="G15" i="9"/>
  <c r="E15" i="9"/>
  <c r="G14" i="9"/>
  <c r="E14" i="9"/>
  <c r="G13" i="9"/>
  <c r="E13" i="9"/>
  <c r="G12" i="9"/>
  <c r="E12" i="9"/>
  <c r="S16" i="11" l="1"/>
  <c r="H12" i="11" s="1"/>
  <c r="P16" i="11"/>
  <c r="F12" i="11" s="1"/>
  <c r="H14" i="2"/>
  <c r="J39" i="9"/>
  <c r="K39" i="9" s="1"/>
  <c r="J43" i="9"/>
  <c r="K43" i="9" s="1"/>
  <c r="J46" i="9"/>
  <c r="K46" i="9" s="1"/>
  <c r="K23" i="1" l="1"/>
  <c r="J23" i="1"/>
  <c r="I23" i="1"/>
  <c r="D25" i="8" l="1"/>
  <c r="E25" i="8"/>
  <c r="F25" i="8"/>
  <c r="G25" i="8"/>
  <c r="H25" i="8"/>
  <c r="D26" i="8"/>
  <c r="E26" i="8"/>
  <c r="F26" i="8"/>
  <c r="G26" i="8"/>
  <c r="H26" i="8"/>
  <c r="D27" i="8"/>
  <c r="E27" i="8"/>
  <c r="F27" i="8"/>
  <c r="G27" i="8"/>
  <c r="H27" i="8"/>
  <c r="D28" i="8"/>
  <c r="E28" i="8"/>
  <c r="F28" i="8"/>
  <c r="G28" i="8"/>
  <c r="H2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tc={02F0A9A0-0BF7-45C3-A893-4692FBCA7004}</author>
    <author>tc={91CE0611-8F74-43DA-80AA-367F1BF82F59}</author>
    <author>tc={263E032A-C3C7-4320-9492-627F4F2C5354}</author>
    <author>St Saviour, Adam B (DFG)</author>
    <author>tc={F93383D7-FF37-4434-BF61-FF146CCB1E05}</author>
    <author>tc={8BAF932E-09F8-46F6-A543-7519C7BD4F45}</author>
  </authors>
  <commentList>
    <comment ref="E10" authorId="0" shapeId="0" xr:uid="{02F0A9A0-0BF7-45C3-A893-4692FBCA7004}">
      <text>
        <t>[Threaded comment]
Your version of Excel allows you to read this threaded comment; however, any edits to it will get removed if the file is opened in a newer version of Excel. Learn more: https://go.microsoft.com/fwlink/?linkid=870924
Comment:
    calculated from Table 2</t>
      </text>
    </comment>
    <comment ref="F10" authorId="1" shapeId="0" xr:uid="{91CE0611-8F74-43DA-80AA-367F1BF82F59}">
      <text>
        <t>[Threaded comment]
Your version of Excel allows you to read this threaded comment; however, any edits to it will get removed if the file is opened in a newer version of Excel. Learn more: https://go.microsoft.com/fwlink/?linkid=870924
Comment:
    Depth bin 40-51m</t>
      </text>
    </comment>
    <comment ref="G10" authorId="2" shapeId="0" xr:uid="{263E032A-C3C7-4320-9492-627F4F2C5354}">
      <text>
        <t>[Threaded comment]
Your version of Excel allows you to read this threaded comment; however, any edits to it will get removed if the file is opened in a newer version of Excel. Learn more: https://go.microsoft.com/fwlink/?linkid=870924
Comment:
    If you extended the modeled curve in Figure 2, it would be approximately 80% mort at 60 m.</t>
      </text>
    </comment>
    <comment ref="F13" authorId="3" shapeId="0" xr:uid="{2949C8FE-D250-4E51-8402-D9CB3CA08DD5}">
      <text>
        <r>
          <rPr>
            <b/>
            <sz val="9"/>
            <color indexed="81"/>
            <rFont val="Tahoma"/>
            <family val="2"/>
          </rPr>
          <t>St Saviour, Adam B (DFG):</t>
        </r>
        <r>
          <rPr>
            <sz val="9"/>
            <color indexed="81"/>
            <rFont val="Tahoma"/>
            <family val="2"/>
          </rPr>
          <t xml:space="preserve">
I recalculated these based on # of individuals</t>
        </r>
      </text>
    </comment>
    <comment ref="G13" authorId="4" shapeId="0" xr:uid="{F93383D7-FF37-4434-BF61-FF146CCB1E05}">
      <text>
        <t>[Threaded comment]
Your version of Excel allows you to read this threaded comment; however, any edits to it will get removed if the file is opened in a newer version of Excel. Learn more: https://go.microsoft.com/fwlink/?linkid=870924
Comment:
    sample size = 3 fish
Reply:
    Modeled mortality is &gt;0.4 over 60 m. Fig 6A.</t>
      </text>
    </comment>
    <comment ref="I24" authorId="5" shapeId="0" xr:uid="{8BAF932E-09F8-46F6-A543-7519C7BD4F45}">
      <text>
        <t>[Threaded comment]
Your version of Excel allows you to read this threaded comment; however, any edits to it will get removed if the file is opened in a newer version of Excel. Learn more: https://go.microsoft.com/fwlink/?linkid=870924
Comment:
    could look at raw data by depth bin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tc={C49AFE63-BCB3-4DE1-BAFB-ED5FB8238B41}</author>
    <author>tc={079908F0-0173-435E-83EA-EA6896DE0CB0}</author>
    <author>tc={EEF028AC-D0F7-4C3E-B5B6-49A997BC9DB0}</author>
    <author>tc={E11DB44F-C77F-42BE-8166-693552FF1B7B}</author>
    <author>St Saviour, Adam B (DFG)</author>
    <author>tc={55797AA5-18E5-44EA-8917-3EE4263468E2}</author>
    <author>tc={D473CA47-2913-4C49-8FA7-00CF531EAEFA}</author>
    <author>tc={927022BB-80C4-49EA-A699-7A6AB37DB385}</author>
    <author>tc={D552E470-7C1F-430B-A4B3-6964C9FE0E34}</author>
    <author>tc={0E59DE5D-6467-4A72-894C-954B2D9486AC}</author>
  </authors>
  <commentList>
    <comment ref="E7" authorId="0" shapeId="0" xr:uid="{C49AFE63-BCB3-4DE1-BAFB-ED5FB8238B41}">
      <text>
        <t>[Threaded comment]
Your version of Excel allows you to read this threaded comment; however, any edits to it will get removed if the file is opened in a newer version of Excel. Learn more: https://go.microsoft.com/fwlink/?linkid=870924
Comment:
    Jeffries interval calculated in R. Uses quantiles from a Beta distribution.</t>
      </text>
    </comment>
    <comment ref="F8" authorId="1" shapeId="0" xr:uid="{079908F0-0173-435E-83EA-EA6896DE0CB0}">
      <text>
        <t>[Threaded comment]
Your version of Excel allows you to read this threaded comment; however, any edits to it will get removed if the file is opened in a newer version of Excel. Learn more: https://go.microsoft.com/fwlink/?linkid=870924
Comment:
    calculated from Table 2</t>
      </text>
    </comment>
    <comment ref="H8" authorId="2" shapeId="0" xr:uid="{EEF028AC-D0F7-4C3E-B5B6-49A997BC9DB0}">
      <text>
        <t>[Threaded comment]
Your version of Excel allows you to read this threaded comment; however, any edits to it will get removed if the file is opened in a newer version of Excel. Learn more: https://go.microsoft.com/fwlink/?linkid=870924
Comment:
    Depth bin 40-51m</t>
      </text>
    </comment>
    <comment ref="J8" authorId="3" shapeId="0" xr:uid="{E11DB44F-C77F-42BE-8166-693552FF1B7B}">
      <text>
        <t>[Threaded comment]
Your version of Excel allows you to read this threaded comment; however, any edits to it will get removed if the file is opened in a newer version of Excel. Learn more: https://go.microsoft.com/fwlink/?linkid=870924
Comment:
    If you extended the modeled curve in Figure 2, it would be approximately 80% mort at 60 m.</t>
      </text>
    </comment>
    <comment ref="H9" authorId="4" shapeId="0" xr:uid="{89AF7973-8384-455A-B7A6-E604999BBF7E}">
      <text>
        <r>
          <rPr>
            <b/>
            <sz val="9"/>
            <color indexed="81"/>
            <rFont val="Tahoma"/>
            <family val="2"/>
          </rPr>
          <t>St Saviour, Adam B (DFG):</t>
        </r>
        <r>
          <rPr>
            <sz val="9"/>
            <color indexed="81"/>
            <rFont val="Tahoma"/>
            <family val="2"/>
          </rPr>
          <t xml:space="preserve">
I recalculated these based on # of individuals</t>
        </r>
      </text>
    </comment>
    <comment ref="J9" authorId="5" shapeId="0" xr:uid="{55797AA5-18E5-44EA-8917-3EE4263468E2}">
      <text>
        <t>[Threaded comment]
Your version of Excel allows you to read this threaded comment; however, any edits to it will get removed if the file is opened in a newer version of Excel. Learn more: https://go.microsoft.com/fwlink/?linkid=870924
Comment:
    sample size = 3 fish
Reply:
    Modeled mortality is &gt;0.4 over 60 m. Fig 6A.</t>
      </text>
    </comment>
    <comment ref="K9" authorId="6" shapeId="0" xr:uid="{D473CA47-2913-4C49-8FA7-00CF531EAEFA}">
      <text>
        <t>[Threaded comment]
Your version of Excel allows you to read this threaded comment; however, any edits to it will get removed if the file is opened in a newer version of Excel. Learn more: https://go.microsoft.com/fwlink/?linkid=870924
Comment:
    No  CIs in figure. Should increase about shallower depth bin. Could use the same proportional increase from the point estimate.</t>
      </text>
    </comment>
    <comment ref="E11" authorId="7" shapeId="0" xr:uid="{927022BB-80C4-49EA-A699-7A6AB37DB385}">
      <text>
        <t>[Threaded comment]
Your version of Excel allows you to read this threaded comment; however, any edits to it will get removed if the file is opened in a newer version of Excel. Learn more: https://go.microsoft.com/fwlink/?linkid=870924
Comment:
    Jeffries interval calculated in R. Uses quantiles from a Beta distribution.</t>
      </text>
    </comment>
    <comment ref="O11" authorId="4" shapeId="0" xr:uid="{FD8F4955-685E-41F0-ADDF-4845424F60DD}">
      <text>
        <r>
          <rPr>
            <b/>
            <sz val="9"/>
            <color indexed="81"/>
            <rFont val="Tahoma"/>
            <family val="2"/>
          </rPr>
          <t>St Saviour, Adam B (DFG):</t>
        </r>
        <r>
          <rPr>
            <sz val="9"/>
            <color indexed="81"/>
            <rFont val="Tahoma"/>
            <family val="2"/>
          </rPr>
          <t xml:space="preserve">
calculation from Table 1 Hochhalter 2012</t>
        </r>
      </text>
    </comment>
    <comment ref="R11" authorId="4" shapeId="0" xr:uid="{BDB72B7B-C272-4ED0-85B4-007B7B4B5A5B}">
      <text>
        <r>
          <rPr>
            <b/>
            <sz val="9"/>
            <color indexed="81"/>
            <rFont val="Tahoma"/>
            <family val="2"/>
          </rPr>
          <t>St Saviour, Adam B (DFG):</t>
        </r>
        <r>
          <rPr>
            <sz val="9"/>
            <color indexed="81"/>
            <rFont val="Tahoma"/>
            <family val="2"/>
          </rPr>
          <t xml:space="preserve">
calculation from Table 1 Hochhalter 2012</t>
        </r>
      </text>
    </comment>
    <comment ref="E12" authorId="8" shapeId="0" xr:uid="{D552E470-7C1F-430B-A4B3-6964C9FE0E34}">
      <text>
        <t>[Threaded comment]
Your version of Excel allows you to read this threaded comment; however, any edits to it will get removed if the file is opened in a newer version of Excel. Learn more: https://go.microsoft.com/fwlink/?linkid=870924
Comment:
    Inflated due to small sample size. Could correct by substituting similar species in this depth bin (Haggerty 2019). There's a bunch of quilback data in Hochhalter 2012.</t>
      </text>
    </comment>
    <comment ref="E13" authorId="9" shapeId="0" xr:uid="{0E59DE5D-6467-4A72-894C-954B2D9486AC}">
      <text>
        <t>[Threaded comment]
Your version of Excel allows you to read this threaded comment; however, any edits to it will get removed if the file is opened in a newer version of Excel. Learn more: https://go.microsoft.com/fwlink/?linkid=870924
Comment:
    Cannot calculate CI from this type of data using Jeffries interval. Will need to come up with another method if we go the 90% CI route.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Blain, Brittany J (DFG)</author>
  </authors>
  <commentList>
    <comment ref="D11" authorId="0" shapeId="0" xr:uid="{102BA171-3BBF-4A09-929D-D90D4EA46F72}">
      <text>
        <r>
          <rPr>
            <b/>
            <sz val="9"/>
            <color indexed="81"/>
            <rFont val="Tahoma"/>
            <family val="2"/>
          </rPr>
          <t>Blain, B</t>
        </r>
        <r>
          <rPr>
            <sz val="9"/>
            <color indexed="81"/>
            <rFont val="Tahoma"/>
            <family val="2"/>
          </rPr>
          <t xml:space="preserve"> single is fish that were caught in the Hochhalter PWS M-R study but not recaptured. So true fate is "unknown"</t>
        </r>
      </text>
    </comment>
    <comment ref="F11" authorId="0" shapeId="0" xr:uid="{08412019-90CA-4D2C-B7FA-AB439B53DB55}">
      <text>
        <r>
          <rPr>
            <b/>
            <sz val="9"/>
            <color indexed="81"/>
            <rFont val="Tahoma"/>
            <family val="2"/>
          </rPr>
          <t>Blain, Brittany J (DFG):</t>
        </r>
        <r>
          <rPr>
            <sz val="9"/>
            <color indexed="81"/>
            <rFont val="Tahoma"/>
            <family val="2"/>
          </rPr>
          <t xml:space="preserve">
Recap means fish that were recaptured in the 
Hochhalter PWS M-R study and thus all survived. "fate known" = they survived following deepwater release.</t>
        </r>
      </text>
    </comment>
    <comment ref="H11" authorId="0" shapeId="0" xr:uid="{21DCA74F-CA70-4413-8F9D-0D5600E8E520}">
      <text>
        <r>
          <rPr>
            <b/>
            <sz val="9"/>
            <color indexed="81"/>
            <rFont val="Tahoma"/>
            <family val="2"/>
          </rPr>
          <t>Blain, Brittany J (DFG):</t>
        </r>
        <r>
          <rPr>
            <sz val="9"/>
            <color indexed="81"/>
            <rFont val="Tahoma"/>
            <family val="2"/>
          </rPr>
          <t xml:space="preserve">
sub success data N=95</t>
        </r>
      </text>
    </comment>
  </commentList>
</comments>
</file>

<file path=xl/sharedStrings.xml><?xml version="1.0" encoding="utf-8"?>
<sst xmlns="http://schemas.openxmlformats.org/spreadsheetml/2006/main" count="378" uniqueCount="192">
  <si>
    <t>Surface</t>
  </si>
  <si>
    <t>CI</t>
  </si>
  <si>
    <t>NG</t>
  </si>
  <si>
    <t>Charter</t>
  </si>
  <si>
    <t>Private</t>
  </si>
  <si>
    <t>Surface Release</t>
  </si>
  <si>
    <t>Deepwater Release</t>
  </si>
  <si>
    <t>Black Rockfish</t>
  </si>
  <si>
    <t>Yelloweye Rockfish</t>
  </si>
  <si>
    <t>NE</t>
  </si>
  <si>
    <t>PWSI</t>
  </si>
  <si>
    <t>PWSO</t>
  </si>
  <si>
    <r>
      <t xml:space="preserve">Release mortality by depth of capture </t>
    </r>
    <r>
      <rPr>
        <i/>
        <sz val="11"/>
        <color theme="1"/>
        <rFont val="Calibri"/>
        <family val="2"/>
        <scheme val="minor"/>
      </rPr>
      <t>M</t>
    </r>
    <r>
      <rPr>
        <i/>
        <vertAlign val="subscript"/>
        <sz val="11"/>
        <color theme="1"/>
        <rFont val="Calibri"/>
        <family val="2"/>
        <scheme val="minor"/>
      </rPr>
      <t>kc</t>
    </r>
  </si>
  <si>
    <t>Assemblage</t>
  </si>
  <si>
    <t>Release Method</t>
  </si>
  <si>
    <t>0-59'</t>
  </si>
  <si>
    <t>60-119'</t>
  </si>
  <si>
    <t>120-179'</t>
  </si>
  <si>
    <t>180'+</t>
  </si>
  <si>
    <t>Pelagic (Black)</t>
  </si>
  <si>
    <t>DRM</t>
  </si>
  <si>
    <t>Non-pelagic (YE)</t>
  </si>
  <si>
    <r>
      <rPr>
        <i/>
        <sz val="9"/>
        <color theme="1"/>
        <rFont val="Calibri"/>
        <family val="2"/>
        <scheme val="minor"/>
      </rPr>
      <t>Note:</t>
    </r>
    <r>
      <rPr>
        <sz val="9"/>
        <color theme="1"/>
        <rFont val="Calibri"/>
        <family val="2"/>
        <scheme val="minor"/>
      </rPr>
      <t xml:space="preserve"> Mortality rates in red are apportioned from interview data with low sample sizes.</t>
    </r>
  </si>
  <si>
    <t>Table 1.-Black and yelloweye rockfish release mortality rates by method of release, CFMU, and user.</t>
  </si>
  <si>
    <r>
      <rPr>
        <i/>
        <sz val="9"/>
        <color theme="1"/>
        <rFont val="Calibri"/>
        <family val="2"/>
        <scheme val="minor"/>
      </rPr>
      <t xml:space="preserve">Note: </t>
    </r>
    <r>
      <rPr>
        <sz val="9"/>
        <color theme="1"/>
        <rFont val="Calibri"/>
        <family val="2"/>
        <scheme val="minor"/>
      </rPr>
      <t>Mortality rates are apportioned from interview data (2013-2019) by depth of capture using rates suggested in table below.</t>
    </r>
  </si>
  <si>
    <t>to input sport fishing release mortality rates for black and yelloweye rockfish.  Template allows inputting release mort rate by the following strata: year (rows 1999-2000); column heading species (black, yelloweye), Comm Fish Management Unit, and sector (guided, unguided).  Although this may seem a bit much it’s relatively simple and it is likely you/we will use the same rate for much of each table (e.g., black rockfish release mortality rate will be the same for an entire region and both guided/unguided anglers for most if not all years in the table).    The workbook contains a spreadsheet with release mort rate input table for each region (Westward, Central/Southcentral, Southeast) and spreadsheet with map of each region from Howard et al. report.</t>
  </si>
  <si>
    <t>Template allows 3 different staff to input release mort rate per year/species/CFMU/sector; at least 3 staff can input data for each region without overwriting each other.  Staff are currently listed as Murdoch, Cleopatra and Xavier.  If you input rate estimates please replace template staff name with your name in the appropriate column heading.   Additional columns for more staff can be added if desired but we shouldn’t get too carried away.  It would help if some consensus can be reached among staff in a region to minimize number of different staff providing input; otherwise, we get lots of numbers which will require additional discussion to resolve.  It will help if that discussion can happen before inputting rate estimates rather than after.</t>
  </si>
  <si>
    <t>Please keep in mind we need to document (1) assumptions/caveats/source(s) and (2) how to handle variances for the release mortality rates.  This can be done by typing notes below the release mortality rate table of each region, inserting a new spreadsheet to document this information, or various other ways.  The important thing is to “get it on paper” now.</t>
  </si>
  <si>
    <t>I don’t object to a highter DWR for black rf vs ye bc there is the possiblity that blk rf will be caught shallow and release deeper. I had wanted to do a cage study doing this (catch a blk rf shallow and release it deeper but scott wasn't supportive.</t>
  </si>
  <si>
    <t xml:space="preserve">19% avg </t>
  </si>
  <si>
    <t>???</t>
  </si>
  <si>
    <t>avg 31%</t>
  </si>
  <si>
    <t>MARTIN</t>
  </si>
  <si>
    <t>Brittany</t>
  </si>
  <si>
    <t>75% avg vs 78% if you used the 22%</t>
  </si>
  <si>
    <t>Premise is that some anglers will believe that all fish (or high proportion) survive if released at depth. They may then stay and catch more fish,</t>
  </si>
  <si>
    <t xml:space="preserve">as opposed to moving to minimize their rockfish catch. The net result could be a higher number of dead rockfish. This shows total removals </t>
  </si>
  <si>
    <t>if catch were to increase (steady harvest) under various assumed survival rates using recompression devices.</t>
  </si>
  <si>
    <t>-</t>
  </si>
  <si>
    <t>PWS submergence success studies 2018-2021 (prelim/in progress)</t>
  </si>
  <si>
    <t>Black RF</t>
  </si>
  <si>
    <t>Copper RF</t>
  </si>
  <si>
    <t>Dark RF</t>
  </si>
  <si>
    <t>Dusky RF</t>
  </si>
  <si>
    <t>Silvergray</t>
  </si>
  <si>
    <t>Samples collected to date (goal =60 each species)</t>
  </si>
  <si>
    <t>Depth of capture</t>
  </si>
  <si>
    <t>0-20m</t>
  </si>
  <si>
    <t>20-29m</t>
  </si>
  <si>
    <t>30-39m</t>
  </si>
  <si>
    <t>40m +</t>
  </si>
  <si>
    <t>Number of fish unable to submerge</t>
  </si>
  <si>
    <t>Percent of fish unable to submerge by depth</t>
  </si>
  <si>
    <t>Release mortality by depth of capture</t>
  </si>
  <si>
    <t>Source</t>
  </si>
  <si>
    <t>M. Schuster/PFMC</t>
  </si>
  <si>
    <t>NA</t>
  </si>
  <si>
    <t>M. Schuster</t>
  </si>
  <si>
    <t xml:space="preserve">17-day survival prog: 0.988, 95% CI = 0.40 – 0.999) and positively correlated with individual total length.  Survival probability was not significantly influenced by capture depth or by exposure to barotrauma and other capture stressors.  </t>
  </si>
  <si>
    <t>Notes from Hazzy email</t>
  </si>
  <si>
    <t>References</t>
  </si>
  <si>
    <t>GMT. 2012. Groundfish Management Team progress report on developing mortality rates for rockfish released using descending devices. Agenda Item 1.3.b, Groundfish Management Team Report, November 2012. Pacific Fishery Management Council.</t>
  </si>
  <si>
    <t>Hannah, R. W. et al. 2012. Use of a novel cage system to measure postrecompression survival of Northeast Pacific rockfish. Marine and Coastal Fisheries: Dynamics, Management, and Ecosystem Science 4:46-56.</t>
  </si>
  <si>
    <t>Hochhalter, S. J. and D. J.  Reed. 2011. The effectiveness of deepwater release at improving the survival of discarded yelloweye rockfish. N. Amer. J. Fish. Mgmt. 31:852-860.</t>
  </si>
  <si>
    <t>Hochhalter, S. J. Modeling submergence success of discarded yelloweye rockfish Sebastes ruberrimus and quillback rockfish Sebastes maliger: towards improved estimation of total fishery removals. Fisheries Research 127-128:142-147.</t>
  </si>
  <si>
    <t>Hannah, R. W., S. J. Parker, and K. M. Matteson. 2008. Escaping the surface: the effect of depth of capture on submergent success of surface-released Pacific rockfish.N. Amer. J. Fish. Mgmt. 28:694-700.</t>
  </si>
  <si>
    <t>Hannah, R. W. and K. M. Matteson. 2007. Behavior of nine species of Pacific rockfish after hook-and-line capture, recompression, and release. Trans. Amer. Fish. Soc. 136:24-33.</t>
  </si>
  <si>
    <t>Haggarty</t>
  </si>
  <si>
    <t>Generally speaking, at what depth did you release rockfish using a DRM in 2018?</t>
  </si>
  <si>
    <t>Answer Choices</t>
  </si>
  <si>
    <t>Responses</t>
  </si>
  <si>
    <t>At depth of capture</t>
  </si>
  <si>
    <t>50-99 feet</t>
  </si>
  <si>
    <t>100-200 feet</t>
  </si>
  <si>
    <t>More than 200 feet</t>
  </si>
  <si>
    <t>Other (please specify)</t>
  </si>
  <si>
    <t>Answered</t>
  </si>
  <si>
    <t>Skipped</t>
  </si>
  <si>
    <t>Hannah et al. 2008</t>
  </si>
  <si>
    <t>Submergence success</t>
  </si>
  <si>
    <t>Hannah et al. 2012</t>
  </si>
  <si>
    <t>DWR - cage study</t>
  </si>
  <si>
    <t>Jarvis and Lowe</t>
  </si>
  <si>
    <t>not YE or Blk</t>
  </si>
  <si>
    <t>Hochhalter 2012</t>
  </si>
  <si>
    <t>submergence - ye and quill</t>
  </si>
  <si>
    <t>Rankin et al. 2016</t>
  </si>
  <si>
    <t>delayed effects ye</t>
  </si>
  <si>
    <t>Hochhalter and reed 2011</t>
  </si>
  <si>
    <t>ye dwr</t>
  </si>
  <si>
    <t>Blain Roth inprep</t>
  </si>
  <si>
    <t>multiple spp</t>
  </si>
  <si>
    <t>sample size = 25</t>
  </si>
  <si>
    <t>Hannah et al 2012  2 day cage study</t>
  </si>
  <si>
    <t>FIGURE 1. Frequencies of capture depths for yelloweye rockfish (A) captured</t>
  </si>
  <si>
    <t>once (fate unknown) and (B) recaptured (fate known) in a mark–recapture</t>
  </si>
  <si>
    <t>study conducted May–August 2009 in Prince William Sound as well as for (C)</t>
  </si>
  <si>
    <t>individuals captured for submergence success trials conducted May–August</t>
  </si>
  <si>
    <t>From Hochhalter and Reed DRM:</t>
  </si>
  <si>
    <t>**lower survival of smaller ye</t>
  </si>
  <si>
    <t xml:space="preserve">22% overall
Submergence success of yelloweye rockfish released at the water’s surface was 0.221 (95% CI = 0.14 – 0.30) </t>
  </si>
  <si>
    <t>Blain-Roth et al. In prep: 2 d cage study in PWS</t>
  </si>
  <si>
    <t>Hochhalter and Reed in PWS</t>
  </si>
  <si>
    <t>Other</t>
  </si>
  <si>
    <t>Hochhalter  in PWS</t>
  </si>
  <si>
    <t>** not final</t>
  </si>
  <si>
    <t>side note from one of scotts analyses:</t>
  </si>
  <si>
    <t>21-40m</t>
  </si>
  <si>
    <t>40-60m</t>
  </si>
  <si>
    <t>great than 60m</t>
  </si>
  <si>
    <t>PWS surface release study (Blain-Roth). 35/60 samples collected to date. Will finish data collection in 2021.</t>
  </si>
  <si>
    <t xml:space="preserve">Hannah et al 2008. </t>
  </si>
  <si>
    <t>sample size = 2</t>
  </si>
  <si>
    <t xml:space="preserve">Blain-Roth et al.: </t>
  </si>
  <si>
    <t>subm success - OTHER non-pel spp: Copper, silvery gray. 
Hohchalter 2012 did Quillback: 86% sub success overa ll</t>
  </si>
  <si>
    <t>Single</t>
  </si>
  <si>
    <t>Recap</t>
  </si>
  <si>
    <t>0-4</t>
  </si>
  <si>
    <t>5-9</t>
  </si>
  <si>
    <t>10-14</t>
  </si>
  <si>
    <t>15-19</t>
  </si>
  <si>
    <t>20-24</t>
  </si>
  <si>
    <t>25-29</t>
  </si>
  <si>
    <t>30-34</t>
  </si>
  <si>
    <t>35-39</t>
  </si>
  <si>
    <t>40-44</t>
  </si>
  <si>
    <t>45-49</t>
  </si>
  <si>
    <t>50-54</t>
  </si>
  <si>
    <t>55-59</t>
  </si>
  <si>
    <t>60-64</t>
  </si>
  <si>
    <t>65-69</t>
  </si>
  <si>
    <t>70-74</t>
  </si>
  <si>
    <t>Depths</t>
  </si>
  <si>
    <t>Sum</t>
  </si>
  <si>
    <t>% mort Raw</t>
  </si>
  <si>
    <t>Fate Unknown</t>
  </si>
  <si>
    <t xml:space="preserve">Fate known </t>
  </si>
  <si>
    <t>Sum of fate unknown and known</t>
  </si>
  <si>
    <t>% mort by depth bin when using fate unknown and known</t>
  </si>
  <si>
    <t>prop. from each depth</t>
  </si>
  <si>
    <t>% sub (from Hoch. table)</t>
  </si>
  <si>
    <t># of fish sub</t>
  </si>
  <si>
    <t>*</t>
  </si>
  <si>
    <t>**lots of notes**</t>
  </si>
  <si>
    <t>**Should not use this!</t>
  </si>
  <si>
    <t>Surface release data</t>
  </si>
  <si>
    <t># of fish sampled</t>
  </si>
  <si>
    <t>S. Meyer generalization of Hochhalter 2011 figure 6.</t>
  </si>
  <si>
    <t>PMFC</t>
  </si>
  <si>
    <t>31% over 300'</t>
  </si>
  <si>
    <t xml:space="preserve">YE sample size = 25; depth: 31-91 m (avg: 73m)
Sample sizes:  0@0-59;   1 @ 60-119;    3@120-179;  21@180+
</t>
  </si>
  <si>
    <t>Hannah et al. 2012 2 day cage study in Oregon, solid sample sizes except very deep.</t>
  </si>
  <si>
    <t>Hannah et al. 2008 (sub w/in 5 min) in OR.
Sample size = 197
3.9%:  20-29m;  17.8%: 30-39m</t>
  </si>
  <si>
    <t>can we pool these sources? -Find out how long Brittany observes. Do they use a pen?</t>
  </si>
  <si>
    <t>N</t>
  </si>
  <si>
    <t>0 (modeled)</t>
  </si>
  <si>
    <t>3 (modeled)</t>
  </si>
  <si>
    <t>Total N</t>
  </si>
  <si>
    <t>calculate 90% Cis</t>
  </si>
  <si>
    <t>Originally proposed by S. Meyer as generalization of Hochhalter 2011 with a conservative assumption below 180'.</t>
  </si>
  <si>
    <t>Many sources support these mortality rates. 
Hochalter and Reed 2011 modeled 17-day survival across all capture depths at 0.988 (95% CI = 0.40 – 0.999) using mark-recapture methods (N=182).
Blain-Roth et al. In prep: 2 d cage study in PWS found 0% mortality across all depths N=25; 0@0-59;   1 @ 60-119;    3@120-179;  21@180+.
Hannah et al. 2014 focused on deeper capture depths (46-174 m) and found 20% mortality across all depths (N = 81).</t>
  </si>
  <si>
    <t>Haggerty 2019 does not detail how they came up with these rates.</t>
  </si>
  <si>
    <t>Hochhalter 2012 in PWS</t>
  </si>
  <si>
    <t>N sub</t>
  </si>
  <si>
    <t>S. Meyer: The pelagic rockfish mortality rate for release at depth is derived from Hannah et  al. (2012; Figure 6A</t>
  </si>
  <si>
    <t>Haggerty et al. 2019 references Hannah et al. 2012 and Parker et al. 2006, but they do not detail how they came up with these mortality rates</t>
  </si>
  <si>
    <t>Hannah et al. 2008 (sub w/in 5 min) in OR.</t>
  </si>
  <si>
    <t>Hannah et al. 2012 2 day cage study in Oregon</t>
  </si>
  <si>
    <t>solid sample sizes except very deep. N=144; 34@0-59;  72 @ 60-119;  35@120-179;  3@180+.</t>
  </si>
  <si>
    <t>upper 90% CI</t>
  </si>
  <si>
    <t>40-60 m</t>
  </si>
  <si>
    <t>Unlike Hannah et al. 2008, no pen is used and fish are observed for 15 min rather than 5. However, all fish but 1 sumberged in &lt; 5 min and the one did in 6 min. They also hazed birds to keep them from eating fish which may have had a similar effect to the pen.</t>
  </si>
  <si>
    <t>Pooling Blain-Roth w Hannah et al. 2008 suface release</t>
  </si>
  <si>
    <t>Blain-Roth in prep</t>
  </si>
  <si>
    <t>0-20</t>
  </si>
  <si>
    <t>depth bins (m)</t>
  </si>
  <si>
    <t>20-40</t>
  </si>
  <si>
    <t>40-60</t>
  </si>
  <si>
    <t>60+</t>
  </si>
  <si>
    <t># mort</t>
  </si>
  <si>
    <t>N=95; 2 @ 0-59; 56 @ 60-119; 34 @ 120 - 179; 3@ &gt;180</t>
  </si>
  <si>
    <t>N=197; 27@0-59;   124 @ 60-119;    46@120-179;  0@180+. We may try to pool with Blain-Roth in prep submergence data.</t>
  </si>
  <si>
    <t>For publication</t>
  </si>
  <si>
    <t>Species</t>
  </si>
  <si>
    <t>Hannah et al. 2008 observed 5 min Oregon</t>
  </si>
  <si>
    <t>Hannah et al. 2012 48 hour cage study Oregon</t>
  </si>
  <si>
    <t>Hochhalter 2012 in PWS, AK</t>
  </si>
  <si>
    <t>Originally proposed by S. Meyer as generalization of Hochhalter and Reed 2011 with a conservative assumption below 180'.</t>
  </si>
  <si>
    <t>Other information</t>
  </si>
  <si>
    <t>Many sources support these mortality rates. 
Hochalter and Reed 2011 modeled 17-day survival across all capture depths at 0.988 (95% CI = 0.40 – 0.999) using mark-recapture methods (N=182).
Blain-Roth et al. In prep: 2 d cage study in PWS found 0% mortality across all depths N=25; 0@0-59; 1@ 60-119; 3@120-179; 21@180+.
Hannah et al. 2014 focused on deeper capture depths (150'-570') and found 20% mortality across all depths (N = 81).</t>
  </si>
  <si>
    <t>Solid sample sizes except very deep. N=144; 34@0-59; 72@60-119; 35@120-179; 3@180+.</t>
  </si>
  <si>
    <t>N=197; 27@0-59; 124@60-119; 46@120-179; 0@180+. We may try to pool with Blain-Roth in prep submergence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</si>
</sst>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sz val="11"/>
      <color rgb="FFFF0000"/>
      <name val="Calibri"/>
      <family val="2"/>
      <scheme val="minor"/>
    </font>
    <font>
      <i/>
      <sz val="11"/>
      <color theme="1"/>
      <name val="Calibri"/>
      <family val="2"/>
      <scheme val="minor"/>
    </font>
    <font>
      <i/>
      <vertAlign val="subscript"/>
      <sz val="11"/>
      <color theme="1"/>
      <name val="Calibri"/>
      <family val="2"/>
      <scheme val="minor"/>
    </font>
    <font>
      <sz val="9"/>
      <color theme="1"/>
      <name val="Calibri"/>
      <family val="2"/>
      <scheme val="minor"/>
    </font>
    <font>
      <i/>
      <sz val="9"/>
      <color theme="1"/>
      <name val="Calibri"/>
      <family val="2"/>
      <scheme val="minor"/>
    </font>
    <font>
      <b/>
      <sz val="11"/>
      <color theme="1"/>
      <name val="Calibri"/>
      <family val="2"/>
      <scheme val="minor"/>
    </font>
    <font>
      <sz val="10"/>
      <color rgb="FF0000FF"/>
      <name val="Arial"/>
      <family val="2"/>
    </font>
    <font>
      <sz val="12"/>
      <color theme="1"/>
      <name val="Times New Roman"/>
      <family val="1"/>
    </font>
    <font>
      <b/>
      <sz val="18"/>
      <color theme="1"/>
      <name val="Calibri"/>
      <family val="2"/>
      <scheme val="minor"/>
    </font>
    <font>
      <sz val="18"/>
      <color theme="1"/>
      <name val="Calibri"/>
      <family val="2"/>
      <scheme val="minor"/>
    </font>
    <font>
      <b/>
      <sz val="11"/>
      <name val="Calibri"/>
      <family val="2"/>
      <scheme val="minor"/>
    </font>
    <font>
      <u/>
      <sz val="11"/>
      <color theme="1"/>
      <name val="Calibri"/>
      <family val="2"/>
      <scheme val="minor"/>
    </font>
    <font>
      <sz val="10"/>
      <color theme="1"/>
      <name val="Arial"/>
      <family val="2"/>
    </font>
    <font>
      <b/>
      <sz val="12"/>
      <color rgb="FF333333"/>
      <name val="Arial"/>
      <family val="2"/>
    </font>
    <font>
      <sz val="11"/>
      <color rgb="FF333333"/>
      <name val="Arial"/>
      <family val="2"/>
    </font>
    <font>
      <b/>
      <sz val="11"/>
      <color rgb="FF333333"/>
      <name val="Arial"/>
      <family val="2"/>
    </font>
    <font>
      <sz val="9"/>
      <color indexed="81"/>
      <name val="Tahoma"/>
      <family val="2"/>
    </font>
    <font>
      <b/>
      <sz val="9"/>
      <color indexed="81"/>
      <name val="Tahoma"/>
      <family val="2"/>
    </font>
    <font>
      <b/>
      <sz val="12"/>
      <color theme="1"/>
      <name val="Times New Roman"/>
      <family val="1"/>
    </font>
    <font>
      <b/>
      <i/>
      <sz val="12"/>
      <color theme="1"/>
      <name val="Times New Roman"/>
      <family val="1"/>
    </font>
    <font>
      <sz val="10"/>
      <color theme="1"/>
      <name val="Times New Roman"/>
      <family val="1"/>
    </font>
    <font>
      <b/>
      <sz val="16"/>
      <color theme="1"/>
      <name val="Times New Roman"/>
      <family val="1"/>
    </font>
    <font>
      <b/>
      <sz val="18"/>
      <color theme="1"/>
      <name val="Times New Roman"/>
      <family val="1"/>
    </font>
    <font>
      <sz val="12"/>
      <color rgb="FF000000"/>
      <name val="Times New Roman"/>
      <family val="1"/>
    </font>
    <font>
      <sz val="11"/>
      <color theme="0" tint="-0.249977111117893"/>
      <name val="Calibri"/>
      <family val="2"/>
      <scheme val="minor"/>
    </font>
    <font>
      <sz val="16"/>
      <color theme="1"/>
      <name val="Times New Roman"/>
      <family val="1"/>
    </font>
    <font>
      <sz val="16"/>
      <color rgb="FF000000"/>
      <name val="Times New Roman"/>
      <family val="1"/>
    </font>
  </fonts>
  <fills count="1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EAEAE8"/>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00B0F0"/>
        <bgColor indexed="64"/>
      </patternFill>
    </fill>
    <fill>
      <patternFill patternType="solid">
        <fgColor theme="0" tint="-0.14999847407452621"/>
        <bgColor indexed="64"/>
      </patternFill>
    </fill>
  </fills>
  <borders count="1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37">
    <xf numFmtId="0" fontId="0" fillId="0" borderId="0" xfId="0"/>
    <xf numFmtId="0" fontId="0" fillId="2" borderId="0" xfId="0" applyFill="1"/>
    <xf numFmtId="0" fontId="0" fillId="2" borderId="0" xfId="0" applyFill="1" applyAlignment="1">
      <alignment horizontal="center"/>
    </xf>
    <xf numFmtId="0" fontId="0" fillId="2" borderId="2" xfId="0" applyFill="1" applyBorder="1"/>
    <xf numFmtId="0" fontId="0" fillId="2" borderId="2" xfId="0" applyFill="1" applyBorder="1" applyAlignment="1">
      <alignment horizontal="center" wrapText="1"/>
    </xf>
    <xf numFmtId="0" fontId="0" fillId="2" borderId="3" xfId="0" applyFill="1" applyBorder="1"/>
    <xf numFmtId="0" fontId="0" fillId="2" borderId="1" xfId="0" applyFill="1" applyBorder="1"/>
    <xf numFmtId="9" fontId="0" fillId="2" borderId="0" xfId="0" applyNumberFormat="1" applyFill="1"/>
    <xf numFmtId="9" fontId="0" fillId="2" borderId="1" xfId="0" applyNumberFormat="1" applyFill="1" applyBorder="1"/>
    <xf numFmtId="0" fontId="0" fillId="2" borderId="0" xfId="0" applyFill="1" applyBorder="1"/>
    <xf numFmtId="0" fontId="0" fillId="2" borderId="3" xfId="0" applyFill="1" applyBorder="1" applyAlignment="1">
      <alignment horizontal="center"/>
    </xf>
    <xf numFmtId="9" fontId="0" fillId="2" borderId="0" xfId="0" applyNumberFormat="1" applyFill="1" applyAlignment="1">
      <alignment horizontal="center"/>
    </xf>
    <xf numFmtId="9" fontId="1" fillId="2" borderId="0" xfId="0" applyNumberFormat="1" applyFont="1" applyFill="1" applyAlignment="1">
      <alignment horizontal="center"/>
    </xf>
    <xf numFmtId="9" fontId="0" fillId="2" borderId="0" xfId="0" applyNumberFormat="1" applyFill="1" applyBorder="1" applyAlignment="1">
      <alignment horizontal="center"/>
    </xf>
    <xf numFmtId="9" fontId="1" fillId="2" borderId="0" xfId="0" applyNumberFormat="1" applyFont="1" applyFill="1" applyBorder="1" applyAlignment="1">
      <alignment horizontal="center"/>
    </xf>
    <xf numFmtId="9" fontId="1" fillId="2" borderId="1" xfId="0" applyNumberFormat="1" applyFont="1" applyFill="1" applyBorder="1" applyAlignment="1">
      <alignment horizontal="center"/>
    </xf>
    <xf numFmtId="9" fontId="0" fillId="2" borderId="1" xfId="0" applyNumberFormat="1" applyFill="1" applyBorder="1" applyAlignment="1">
      <alignment horizontal="center"/>
    </xf>
    <xf numFmtId="10" fontId="0" fillId="2" borderId="3" xfId="0" applyNumberFormat="1" applyFill="1" applyBorder="1"/>
    <xf numFmtId="0" fontId="4" fillId="3" borderId="0" xfId="0" applyFont="1" applyFill="1"/>
    <xf numFmtId="9" fontId="0" fillId="4" borderId="0" xfId="0" applyNumberFormat="1" applyFill="1"/>
    <xf numFmtId="0" fontId="0" fillId="4" borderId="0" xfId="0" applyFill="1"/>
    <xf numFmtId="0" fontId="0" fillId="5" borderId="0" xfId="0" applyFill="1"/>
    <xf numFmtId="0" fontId="0" fillId="6" borderId="0" xfId="0" applyFill="1"/>
    <xf numFmtId="9" fontId="0" fillId="6" borderId="0" xfId="0" applyNumberFormat="1" applyFill="1"/>
    <xf numFmtId="9" fontId="0" fillId="2" borderId="0" xfId="0" quotePrefix="1" applyNumberFormat="1" applyFill="1"/>
    <xf numFmtId="0" fontId="9" fillId="5" borderId="4" xfId="0" applyFont="1" applyFill="1" applyBorder="1"/>
    <xf numFmtId="0" fontId="10" fillId="5" borderId="2" xfId="0" applyFont="1" applyFill="1" applyBorder="1"/>
    <xf numFmtId="0" fontId="10" fillId="5" borderId="5" xfId="0" applyFont="1" applyFill="1" applyBorder="1"/>
    <xf numFmtId="0" fontId="0" fillId="0" borderId="6" xfId="0" applyBorder="1"/>
    <xf numFmtId="0" fontId="6" fillId="0" borderId="0" xfId="0" applyFont="1" applyAlignment="1">
      <alignment horizontal="center" vertical="center"/>
    </xf>
    <xf numFmtId="0" fontId="6" fillId="0" borderId="7" xfId="0" applyFont="1" applyBorder="1" applyAlignment="1">
      <alignment horizontal="center" vertical="center"/>
    </xf>
    <xf numFmtId="0" fontId="0" fillId="7" borderId="6" xfId="0" applyFill="1" applyBorder="1" applyAlignment="1">
      <alignment wrapText="1"/>
    </xf>
    <xf numFmtId="0" fontId="0" fillId="7" borderId="0" xfId="0" applyFill="1" applyAlignment="1">
      <alignment horizontal="center" vertical="center"/>
    </xf>
    <xf numFmtId="0" fontId="0" fillId="7" borderId="7" xfId="0" applyFill="1" applyBorder="1" applyAlignment="1">
      <alignment horizontal="center" vertical="center"/>
    </xf>
    <xf numFmtId="0" fontId="2" fillId="0" borderId="6" xfId="0" applyFont="1" applyBorder="1" applyAlignment="1">
      <alignment wrapText="1"/>
    </xf>
    <xf numFmtId="0" fontId="0" fillId="0" borderId="0" xfId="0" applyAlignment="1">
      <alignment horizontal="center" vertical="center"/>
    </xf>
    <xf numFmtId="0" fontId="0" fillId="0" borderId="7" xfId="0" applyBorder="1" applyAlignment="1">
      <alignment horizontal="center" vertical="center"/>
    </xf>
    <xf numFmtId="0" fontId="0" fillId="0" borderId="6" xfId="0" applyBorder="1" applyAlignment="1">
      <alignment horizontal="right"/>
    </xf>
    <xf numFmtId="0" fontId="11" fillId="8" borderId="8" xfId="0" applyFont="1" applyFill="1" applyBorder="1" applyAlignment="1">
      <alignment horizontal="left"/>
    </xf>
    <xf numFmtId="0" fontId="11" fillId="8" borderId="3" xfId="0" applyFont="1" applyFill="1" applyBorder="1" applyAlignment="1">
      <alignment horizontal="center" vertical="center"/>
    </xf>
    <xf numFmtId="0" fontId="11" fillId="8" borderId="9" xfId="0" applyFont="1" applyFill="1" applyBorder="1" applyAlignment="1">
      <alignment horizontal="center" vertical="center"/>
    </xf>
    <xf numFmtId="0" fontId="11" fillId="9" borderId="8" xfId="0" applyFont="1" applyFill="1" applyBorder="1" applyAlignment="1">
      <alignment horizontal="left"/>
    </xf>
    <xf numFmtId="0" fontId="11" fillId="9" borderId="3" xfId="0" applyFont="1" applyFill="1" applyBorder="1" applyAlignment="1">
      <alignment horizontal="center" vertical="center"/>
    </xf>
    <xf numFmtId="0" fontId="11" fillId="9" borderId="9" xfId="0" applyFont="1" applyFill="1" applyBorder="1" applyAlignment="1">
      <alignment horizontal="center" vertical="center"/>
    </xf>
    <xf numFmtId="164" fontId="0" fillId="0" borderId="0" xfId="0" applyNumberFormat="1" applyAlignment="1">
      <alignment horizontal="center" vertical="center"/>
    </xf>
    <xf numFmtId="164" fontId="0" fillId="0" borderId="7" xfId="0" applyNumberFormat="1" applyBorder="1" applyAlignment="1">
      <alignment horizontal="center" vertical="center"/>
    </xf>
    <xf numFmtId="0" fontId="0" fillId="0" borderId="10" xfId="0" applyBorder="1" applyAlignment="1">
      <alignment horizontal="right"/>
    </xf>
    <xf numFmtId="164" fontId="0" fillId="0" borderId="1" xfId="0" applyNumberFormat="1" applyBorder="1" applyAlignment="1">
      <alignment horizontal="center" vertical="center"/>
    </xf>
    <xf numFmtId="164" fontId="0" fillId="0" borderId="11" xfId="0" applyNumberFormat="1" applyBorder="1" applyAlignment="1">
      <alignment horizontal="center" vertical="center"/>
    </xf>
    <xf numFmtId="0" fontId="7" fillId="0" borderId="0" xfId="0" applyFont="1" applyAlignment="1">
      <alignment vertical="center" wrapText="1"/>
    </xf>
    <xf numFmtId="0" fontId="12" fillId="0" borderId="0" xfId="0" applyFont="1" applyAlignment="1">
      <alignment vertical="center" wrapText="1"/>
    </xf>
    <xf numFmtId="0" fontId="0" fillId="0" borderId="0" xfId="0" applyAlignment="1">
      <alignment vertical="center" wrapText="1"/>
    </xf>
    <xf numFmtId="0" fontId="13" fillId="0" borderId="0" xfId="0" applyFont="1" applyAlignment="1">
      <alignment horizontal="left" vertical="top" wrapText="1" indent="4"/>
    </xf>
    <xf numFmtId="0" fontId="13" fillId="0" borderId="0" xfId="0" applyFont="1" applyAlignment="1">
      <alignment horizontal="left" vertical="center" indent="4"/>
    </xf>
    <xf numFmtId="0" fontId="15" fillId="10" borderId="0" xfId="0" applyFont="1" applyFill="1" applyAlignment="1">
      <alignment horizontal="center" vertical="center"/>
    </xf>
    <xf numFmtId="0" fontId="15" fillId="10" borderId="0" xfId="0" applyFont="1" applyFill="1" applyAlignment="1">
      <alignment vertical="center"/>
    </xf>
    <xf numFmtId="10" fontId="15" fillId="0" borderId="0" xfId="0" applyNumberFormat="1" applyFont="1" applyAlignment="1">
      <alignment horizontal="right" vertical="center"/>
    </xf>
    <xf numFmtId="0" fontId="15" fillId="0" borderId="0" xfId="0" applyFont="1" applyAlignment="1">
      <alignment horizontal="right" vertical="center"/>
    </xf>
    <xf numFmtId="0" fontId="16" fillId="0" borderId="0" xfId="0" applyFont="1" applyAlignment="1">
      <alignment vertical="center"/>
    </xf>
    <xf numFmtId="0" fontId="16" fillId="0" borderId="0" xfId="0" applyFont="1" applyAlignment="1">
      <alignment horizontal="right" vertical="center"/>
    </xf>
    <xf numFmtId="10" fontId="0" fillId="0" borderId="0" xfId="0" applyNumberFormat="1"/>
    <xf numFmtId="0" fontId="19" fillId="2" borderId="3" xfId="0" applyFont="1" applyFill="1" applyBorder="1" applyAlignment="1">
      <alignment horizontal="center"/>
    </xf>
    <xf numFmtId="0" fontId="19" fillId="2" borderId="2" xfId="0" applyFont="1" applyFill="1" applyBorder="1" applyAlignment="1">
      <alignment horizontal="center"/>
    </xf>
    <xf numFmtId="10" fontId="19" fillId="2" borderId="2" xfId="0" applyNumberFormat="1" applyFont="1" applyFill="1" applyBorder="1" applyAlignment="1">
      <alignment horizontal="center"/>
    </xf>
    <xf numFmtId="9" fontId="8" fillId="2" borderId="3" xfId="0" applyNumberFormat="1" applyFont="1" applyFill="1" applyBorder="1" applyAlignment="1">
      <alignment horizontal="center"/>
    </xf>
    <xf numFmtId="0" fontId="8" fillId="0" borderId="0" xfId="0" applyFont="1" applyFill="1" applyBorder="1" applyAlignment="1">
      <alignment horizontal="left" wrapText="1"/>
    </xf>
    <xf numFmtId="0" fontId="8" fillId="2" borderId="0" xfId="0" applyFont="1" applyFill="1" applyAlignment="1">
      <alignment horizontal="center"/>
    </xf>
    <xf numFmtId="0" fontId="8" fillId="0" borderId="3" xfId="0" applyFont="1" applyBorder="1" applyAlignment="1">
      <alignment horizontal="center"/>
    </xf>
    <xf numFmtId="0" fontId="8" fillId="0" borderId="0" xfId="0" applyFont="1" applyAlignment="1">
      <alignment horizontal="center"/>
    </xf>
    <xf numFmtId="0" fontId="8" fillId="2" borderId="2" xfId="0" applyFont="1" applyFill="1" applyBorder="1" applyAlignment="1">
      <alignment horizontal="center"/>
    </xf>
    <xf numFmtId="0" fontId="8" fillId="0" borderId="2" xfId="0" applyFont="1" applyBorder="1" applyAlignment="1">
      <alignment horizontal="center"/>
    </xf>
    <xf numFmtId="0" fontId="8" fillId="2" borderId="3" xfId="0" applyFont="1" applyFill="1" applyBorder="1" applyAlignment="1">
      <alignment horizontal="center"/>
    </xf>
    <xf numFmtId="0" fontId="8" fillId="0" borderId="3" xfId="0" applyFont="1" applyBorder="1" applyAlignment="1">
      <alignment horizontal="center" wrapText="1"/>
    </xf>
    <xf numFmtId="0" fontId="8" fillId="2" borderId="1" xfId="0" applyFont="1" applyFill="1" applyBorder="1" applyAlignment="1">
      <alignment horizontal="center"/>
    </xf>
    <xf numFmtId="0" fontId="19" fillId="2" borderId="0" xfId="0" applyFont="1" applyFill="1" applyBorder="1" applyAlignment="1">
      <alignment horizontal="center"/>
    </xf>
    <xf numFmtId="0" fontId="8" fillId="0" borderId="1" xfId="0" applyFont="1" applyBorder="1" applyAlignment="1">
      <alignment horizontal="center"/>
    </xf>
    <xf numFmtId="9" fontId="8" fillId="2" borderId="2" xfId="0" applyNumberFormat="1" applyFont="1" applyFill="1" applyBorder="1" applyAlignment="1">
      <alignment horizontal="center"/>
    </xf>
    <xf numFmtId="9" fontId="8" fillId="2" borderId="1" xfId="0" applyNumberFormat="1" applyFont="1" applyFill="1" applyBorder="1" applyAlignment="1">
      <alignment horizontal="center"/>
    </xf>
    <xf numFmtId="9" fontId="8" fillId="0" borderId="3" xfId="0" applyNumberFormat="1" applyFont="1" applyBorder="1" applyAlignment="1">
      <alignment horizontal="center"/>
    </xf>
    <xf numFmtId="0" fontId="8" fillId="0" borderId="3" xfId="0" applyFont="1" applyBorder="1" applyAlignment="1">
      <alignment horizontal="left" wrapText="1"/>
    </xf>
    <xf numFmtId="0" fontId="8" fillId="0" borderId="1" xfId="0" applyFont="1" applyBorder="1" applyAlignment="1">
      <alignment horizontal="left" wrapText="1"/>
    </xf>
    <xf numFmtId="0" fontId="8" fillId="0" borderId="3" xfId="0" applyFont="1" applyFill="1" applyBorder="1" applyAlignment="1">
      <alignment horizontal="left" wrapText="1"/>
    </xf>
    <xf numFmtId="0" fontId="19" fillId="2" borderId="0" xfId="0" applyFont="1" applyFill="1" applyAlignment="1">
      <alignment horizontal="left"/>
    </xf>
    <xf numFmtId="0" fontId="19" fillId="0" borderId="0" xfId="0" applyFont="1" applyAlignment="1">
      <alignment horizontal="center"/>
    </xf>
    <xf numFmtId="0" fontId="8" fillId="2" borderId="0" xfId="0" applyFont="1" applyFill="1" applyBorder="1" applyAlignment="1">
      <alignment horizontal="center"/>
    </xf>
    <xf numFmtId="0" fontId="8" fillId="4" borderId="3" xfId="0" applyFont="1" applyFill="1" applyBorder="1" applyAlignment="1">
      <alignment horizontal="center"/>
    </xf>
    <xf numFmtId="9" fontId="8" fillId="4" borderId="1" xfId="0" applyNumberFormat="1" applyFont="1" applyFill="1" applyBorder="1" applyAlignment="1">
      <alignment horizontal="center"/>
    </xf>
    <xf numFmtId="164" fontId="8" fillId="4" borderId="3" xfId="0" applyNumberFormat="1" applyFont="1" applyFill="1" applyBorder="1" applyAlignment="1">
      <alignment horizontal="center"/>
    </xf>
    <xf numFmtId="0" fontId="0" fillId="0" borderId="0" xfId="0" applyBorder="1"/>
    <xf numFmtId="0" fontId="0" fillId="0" borderId="0" xfId="0" applyFill="1"/>
    <xf numFmtId="0" fontId="8" fillId="11" borderId="1" xfId="0" applyFont="1" applyFill="1" applyBorder="1" applyAlignment="1">
      <alignment horizontal="center"/>
    </xf>
    <xf numFmtId="164" fontId="8" fillId="11" borderId="1" xfId="0" applyNumberFormat="1" applyFont="1" applyFill="1" applyBorder="1" applyAlignment="1">
      <alignment horizontal="center"/>
    </xf>
    <xf numFmtId="0" fontId="8" fillId="11" borderId="3" xfId="0" applyFont="1" applyFill="1" applyBorder="1" applyAlignment="1">
      <alignment horizontal="center"/>
    </xf>
    <xf numFmtId="9" fontId="8" fillId="11" borderId="3" xfId="0" applyNumberFormat="1" applyFont="1" applyFill="1" applyBorder="1" applyAlignment="1">
      <alignment horizontal="center"/>
    </xf>
    <xf numFmtId="0" fontId="8" fillId="7" borderId="2" xfId="0" applyFont="1" applyFill="1" applyBorder="1" applyAlignment="1">
      <alignment horizontal="center"/>
    </xf>
    <xf numFmtId="164" fontId="8" fillId="7" borderId="2" xfId="0" applyNumberFormat="1" applyFont="1" applyFill="1" applyBorder="1" applyAlignment="1">
      <alignment horizontal="center"/>
    </xf>
    <xf numFmtId="0" fontId="8" fillId="7" borderId="2" xfId="0" applyFont="1" applyFill="1" applyBorder="1" applyAlignment="1">
      <alignment horizontal="left" wrapText="1"/>
    </xf>
    <xf numFmtId="0" fontId="8" fillId="7" borderId="3" xfId="0" applyFont="1" applyFill="1" applyBorder="1" applyAlignment="1">
      <alignment horizontal="center"/>
    </xf>
    <xf numFmtId="164" fontId="8" fillId="7" borderId="3" xfId="0" applyNumberFormat="1" applyFont="1" applyFill="1" applyBorder="1" applyAlignment="1">
      <alignment horizontal="center"/>
    </xf>
    <xf numFmtId="0" fontId="8" fillId="7" borderId="3" xfId="0" applyFont="1" applyFill="1" applyBorder="1" applyAlignment="1">
      <alignment horizontal="left" wrapText="1"/>
    </xf>
    <xf numFmtId="164" fontId="20" fillId="7" borderId="3" xfId="0" applyNumberFormat="1" applyFont="1" applyFill="1" applyBorder="1" applyAlignment="1">
      <alignment horizontal="center"/>
    </xf>
    <xf numFmtId="0" fontId="21" fillId="7" borderId="3" xfId="0" applyFont="1" applyFill="1" applyBorder="1" applyAlignment="1">
      <alignment horizontal="left" wrapText="1"/>
    </xf>
    <xf numFmtId="0" fontId="21" fillId="7" borderId="2" xfId="0" applyFont="1" applyFill="1" applyBorder="1" applyAlignment="1">
      <alignment horizontal="left" wrapText="1"/>
    </xf>
    <xf numFmtId="0" fontId="21" fillId="11" borderId="1" xfId="0" applyFont="1" applyFill="1" applyBorder="1" applyAlignment="1">
      <alignment horizontal="left" wrapText="1"/>
    </xf>
    <xf numFmtId="0" fontId="8" fillId="0" borderId="1" xfId="0" applyFont="1" applyFill="1" applyBorder="1" applyAlignment="1">
      <alignment horizontal="left" wrapText="1"/>
    </xf>
    <xf numFmtId="0" fontId="19" fillId="2" borderId="1" xfId="0" applyFont="1" applyFill="1" applyBorder="1" applyAlignment="1">
      <alignment horizontal="center"/>
    </xf>
    <xf numFmtId="10" fontId="19" fillId="2" borderId="0" xfId="0" applyNumberFormat="1" applyFont="1" applyFill="1" applyBorder="1" applyAlignment="1">
      <alignment horizontal="center"/>
    </xf>
    <xf numFmtId="0" fontId="22" fillId="12" borderId="0" xfId="0" applyFont="1" applyFill="1" applyAlignment="1">
      <alignment horizontal="center" vertical="center"/>
    </xf>
    <xf numFmtId="0" fontId="22" fillId="13" borderId="2" xfId="0" applyFont="1" applyFill="1" applyBorder="1" applyAlignment="1">
      <alignment horizontal="center" vertical="center"/>
    </xf>
    <xf numFmtId="9" fontId="8" fillId="7" borderId="2" xfId="0" applyNumberFormat="1" applyFont="1" applyFill="1" applyBorder="1" applyAlignment="1">
      <alignment horizontal="center"/>
    </xf>
    <xf numFmtId="9" fontId="8" fillId="7" borderId="3" xfId="0" applyNumberFormat="1" applyFont="1" applyFill="1" applyBorder="1" applyAlignment="1">
      <alignment horizontal="center"/>
    </xf>
    <xf numFmtId="9" fontId="8" fillId="7" borderId="1" xfId="0" applyNumberFormat="1" applyFont="1" applyFill="1" applyBorder="1" applyAlignment="1">
      <alignment horizontal="center"/>
    </xf>
    <xf numFmtId="0" fontId="8" fillId="7" borderId="1" xfId="0" applyFont="1" applyFill="1" applyBorder="1" applyAlignment="1">
      <alignment horizontal="center"/>
    </xf>
    <xf numFmtId="0" fontId="8" fillId="7" borderId="1" xfId="0" applyFont="1" applyFill="1" applyBorder="1" applyAlignment="1">
      <alignment horizontal="left" wrapText="1"/>
    </xf>
    <xf numFmtId="0" fontId="6" fillId="0" borderId="0" xfId="0" applyFont="1"/>
    <xf numFmtId="0" fontId="6" fillId="0" borderId="6" xfId="0" applyFont="1" applyBorder="1"/>
    <xf numFmtId="0" fontId="6" fillId="0" borderId="0" xfId="0" applyFont="1" applyBorder="1"/>
    <xf numFmtId="0" fontId="0" fillId="0" borderId="7" xfId="0" applyBorder="1"/>
    <xf numFmtId="0" fontId="0" fillId="0" borderId="12" xfId="0" quotePrefix="1" applyBorder="1"/>
    <xf numFmtId="16" fontId="0" fillId="0" borderId="12" xfId="0" quotePrefix="1" applyNumberFormat="1" applyBorder="1"/>
    <xf numFmtId="164" fontId="0" fillId="0" borderId="7" xfId="0" applyNumberFormat="1" applyBorder="1"/>
    <xf numFmtId="0" fontId="0" fillId="0" borderId="13" xfId="0" quotePrefix="1" applyBorder="1"/>
    <xf numFmtId="0" fontId="0" fillId="0" borderId="10" xfId="0" applyBorder="1"/>
    <xf numFmtId="0" fontId="0" fillId="0" borderId="11" xfId="0" applyBorder="1"/>
    <xf numFmtId="164" fontId="0" fillId="0" borderId="11" xfId="0" applyNumberFormat="1" applyBorder="1"/>
    <xf numFmtId="0" fontId="6" fillId="0" borderId="4" xfId="0" applyFont="1" applyBorder="1"/>
    <xf numFmtId="0" fontId="6" fillId="0" borderId="5" xfId="0" applyFont="1" applyBorder="1"/>
    <xf numFmtId="3" fontId="0" fillId="0" borderId="0" xfId="0" applyNumberFormat="1"/>
    <xf numFmtId="164" fontId="0" fillId="0" borderId="0" xfId="0" applyNumberFormat="1"/>
    <xf numFmtId="0" fontId="19" fillId="6" borderId="0" xfId="0" applyFont="1" applyFill="1" applyBorder="1" applyAlignment="1">
      <alignment horizontal="center"/>
    </xf>
    <xf numFmtId="0" fontId="19" fillId="14" borderId="0" xfId="0" applyFont="1" applyFill="1" applyBorder="1" applyAlignment="1">
      <alignment horizontal="center"/>
    </xf>
    <xf numFmtId="10" fontId="19" fillId="8" borderId="0" xfId="0" applyNumberFormat="1" applyFont="1" applyFill="1" applyBorder="1" applyAlignment="1">
      <alignment horizontal="center"/>
    </xf>
    <xf numFmtId="0" fontId="19" fillId="15" borderId="0" xfId="0" applyFont="1" applyFill="1" applyBorder="1" applyAlignment="1">
      <alignment horizontal="center"/>
    </xf>
    <xf numFmtId="10" fontId="8" fillId="4" borderId="3" xfId="0" applyNumberFormat="1" applyFont="1" applyFill="1" applyBorder="1" applyAlignment="1">
      <alignment horizontal="center"/>
    </xf>
    <xf numFmtId="0" fontId="2" fillId="0" borderId="0" xfId="0" applyFont="1"/>
    <xf numFmtId="3" fontId="0" fillId="0" borderId="1" xfId="0" applyNumberFormat="1" applyBorder="1"/>
    <xf numFmtId="0" fontId="6" fillId="16" borderId="14" xfId="0" applyFont="1" applyFill="1" applyBorder="1" applyAlignment="1">
      <alignment wrapText="1"/>
    </xf>
    <xf numFmtId="0" fontId="0" fillId="0" borderId="15" xfId="0" applyBorder="1"/>
    <xf numFmtId="0" fontId="0" fillId="14" borderId="15" xfId="0" applyFill="1" applyBorder="1"/>
    <xf numFmtId="164" fontId="0" fillId="0" borderId="15" xfId="0" applyNumberFormat="1" applyBorder="1"/>
    <xf numFmtId="164" fontId="0" fillId="6" borderId="15" xfId="0" applyNumberFormat="1" applyFill="1" applyBorder="1"/>
    <xf numFmtId="164" fontId="0" fillId="8" borderId="15" xfId="0" applyNumberFormat="1" applyFill="1" applyBorder="1"/>
    <xf numFmtId="164" fontId="0" fillId="15" borderId="16" xfId="0" applyNumberFormat="1" applyFill="1" applyBorder="1"/>
    <xf numFmtId="0" fontId="0" fillId="0" borderId="0" xfId="0" applyAlignment="1">
      <alignment horizontal="center"/>
    </xf>
    <xf numFmtId="0" fontId="0" fillId="0" borderId="0" xfId="0" applyFill="1" applyBorder="1" applyAlignment="1">
      <alignment horizontal="center"/>
    </xf>
    <xf numFmtId="0" fontId="6" fillId="0" borderId="7" xfId="0" applyFont="1" applyBorder="1" applyAlignment="1">
      <alignment wrapText="1"/>
    </xf>
    <xf numFmtId="0" fontId="6" fillId="0" borderId="0" xfId="0" applyFont="1" applyAlignment="1">
      <alignment horizontal="center" wrapText="1"/>
    </xf>
    <xf numFmtId="0" fontId="0" fillId="0" borderId="1" xfId="0" applyFill="1" applyBorder="1" applyAlignment="1">
      <alignment horizontal="center"/>
    </xf>
    <xf numFmtId="1" fontId="0" fillId="0" borderId="1" xfId="0" applyNumberFormat="1" applyFill="1" applyBorder="1"/>
    <xf numFmtId="1" fontId="0" fillId="0" borderId="0" xfId="0" applyNumberFormat="1" applyFill="1" applyBorder="1"/>
    <xf numFmtId="1" fontId="0" fillId="0" borderId="0" xfId="0" applyNumberFormat="1"/>
    <xf numFmtId="1" fontId="0" fillId="0" borderId="1" xfId="0" applyNumberFormat="1" applyBorder="1"/>
    <xf numFmtId="0" fontId="6" fillId="0" borderId="0" xfId="0" applyFont="1" applyAlignment="1">
      <alignment wrapText="1"/>
    </xf>
    <xf numFmtId="0" fontId="6" fillId="4" borderId="0" xfId="0" applyFont="1" applyFill="1" applyBorder="1"/>
    <xf numFmtId="0" fontId="6" fillId="0" borderId="0" xfId="0" applyFont="1" applyFill="1" applyBorder="1" applyAlignment="1">
      <alignment wrapText="1"/>
    </xf>
    <xf numFmtId="0" fontId="23" fillId="2" borderId="3" xfId="0" applyFont="1" applyFill="1" applyBorder="1" applyAlignment="1">
      <alignment horizontal="left" wrapText="1"/>
    </xf>
    <xf numFmtId="0" fontId="22" fillId="13" borderId="0" xfId="0" applyFont="1" applyFill="1" applyBorder="1" applyAlignment="1">
      <alignment horizontal="center" vertical="center"/>
    </xf>
    <xf numFmtId="9" fontId="8" fillId="0" borderId="3" xfId="0" applyNumberFormat="1" applyFont="1" applyFill="1" applyBorder="1" applyAlignment="1">
      <alignment horizontal="center"/>
    </xf>
    <xf numFmtId="10" fontId="8" fillId="0" borderId="3" xfId="0" applyNumberFormat="1" applyFont="1" applyFill="1" applyBorder="1" applyAlignment="1">
      <alignment horizontal="center"/>
    </xf>
    <xf numFmtId="9" fontId="8" fillId="0" borderId="1" xfId="0" applyNumberFormat="1" applyFont="1" applyFill="1" applyBorder="1" applyAlignment="1">
      <alignment horizontal="center"/>
    </xf>
    <xf numFmtId="164" fontId="8" fillId="0" borderId="3" xfId="0" applyNumberFormat="1" applyFont="1" applyFill="1" applyBorder="1" applyAlignment="1">
      <alignment horizontal="center"/>
    </xf>
    <xf numFmtId="9" fontId="8" fillId="2" borderId="0" xfId="0" applyNumberFormat="1" applyFont="1" applyFill="1" applyBorder="1" applyAlignment="1">
      <alignment horizontal="center"/>
    </xf>
    <xf numFmtId="0" fontId="23" fillId="2" borderId="1" xfId="0" applyFont="1" applyFill="1" applyBorder="1" applyAlignment="1">
      <alignment horizontal="left" wrapText="1"/>
    </xf>
    <xf numFmtId="0" fontId="8" fillId="17" borderId="3" xfId="0" applyFont="1" applyFill="1" applyBorder="1" applyAlignment="1">
      <alignment horizontal="center"/>
    </xf>
    <xf numFmtId="0" fontId="8" fillId="17" borderId="2" xfId="0" applyFont="1" applyFill="1" applyBorder="1" applyAlignment="1">
      <alignment horizontal="center"/>
    </xf>
    <xf numFmtId="0" fontId="21" fillId="17" borderId="3" xfId="0" applyFont="1" applyFill="1" applyBorder="1" applyAlignment="1">
      <alignment horizontal="left" wrapText="1"/>
    </xf>
    <xf numFmtId="1" fontId="8" fillId="7" borderId="3" xfId="0" applyNumberFormat="1" applyFont="1" applyFill="1" applyBorder="1" applyAlignment="1">
      <alignment horizontal="center"/>
    </xf>
    <xf numFmtId="1" fontId="8" fillId="11" borderId="2" xfId="0" applyNumberFormat="1" applyFont="1" applyFill="1" applyBorder="1" applyAlignment="1">
      <alignment horizontal="center"/>
    </xf>
    <xf numFmtId="1" fontId="8" fillId="2" borderId="0" xfId="0" applyNumberFormat="1" applyFont="1" applyFill="1" applyAlignment="1">
      <alignment horizontal="center"/>
    </xf>
    <xf numFmtId="1" fontId="21" fillId="17" borderId="3" xfId="0" applyNumberFormat="1" applyFont="1" applyFill="1" applyBorder="1" applyAlignment="1">
      <alignment horizontal="left" wrapText="1"/>
    </xf>
    <xf numFmtId="1" fontId="8" fillId="0" borderId="0" xfId="0" applyNumberFormat="1" applyFont="1" applyBorder="1" applyAlignment="1">
      <alignment horizontal="center"/>
    </xf>
    <xf numFmtId="1" fontId="8" fillId="2" borderId="0" xfId="0" applyNumberFormat="1" applyFont="1" applyFill="1" applyBorder="1" applyAlignment="1">
      <alignment horizontal="center"/>
    </xf>
    <xf numFmtId="1" fontId="8" fillId="0" borderId="0" xfId="0" applyNumberFormat="1" applyFont="1" applyAlignment="1">
      <alignment horizontal="center"/>
    </xf>
    <xf numFmtId="0" fontId="23" fillId="2" borderId="3" xfId="0" applyFont="1" applyFill="1" applyBorder="1" applyAlignment="1">
      <alignment horizontal="left" wrapText="1"/>
    </xf>
    <xf numFmtId="0" fontId="8" fillId="17" borderId="1" xfId="0" applyFont="1" applyFill="1" applyBorder="1" applyAlignment="1">
      <alignment horizontal="center"/>
    </xf>
    <xf numFmtId="0" fontId="24" fillId="0" borderId="0" xfId="0" applyFont="1" applyAlignment="1">
      <alignment wrapText="1"/>
    </xf>
    <xf numFmtId="0" fontId="8" fillId="0" borderId="0" xfId="0" applyFont="1" applyBorder="1" applyAlignment="1">
      <alignment horizontal="center"/>
    </xf>
    <xf numFmtId="0" fontId="22" fillId="13" borderId="1" xfId="0" applyFont="1" applyFill="1" applyBorder="1" applyAlignment="1">
      <alignment horizontal="center" vertical="center"/>
    </xf>
    <xf numFmtId="0" fontId="25" fillId="0" borderId="0" xfId="0" applyFont="1"/>
    <xf numFmtId="1" fontId="25" fillId="0" borderId="0" xfId="0" applyNumberFormat="1" applyFont="1"/>
    <xf numFmtId="0" fontId="8" fillId="0" borderId="0" xfId="0" applyFont="1" applyFill="1" applyBorder="1" applyAlignment="1">
      <alignment horizontal="center"/>
    </xf>
    <xf numFmtId="9" fontId="8" fillId="0" borderId="0" xfId="0" applyNumberFormat="1" applyFont="1" applyFill="1" applyBorder="1" applyAlignment="1">
      <alignment horizontal="center"/>
    </xf>
    <xf numFmtId="0" fontId="8" fillId="0" borderId="0" xfId="0" applyFont="1" applyFill="1" applyAlignment="1">
      <alignment horizontal="center"/>
    </xf>
    <xf numFmtId="0" fontId="0" fillId="0" borderId="0" xfId="0" applyAlignment="1">
      <alignment wrapText="1"/>
    </xf>
    <xf numFmtId="0" fontId="8" fillId="0" borderId="0" xfId="0" applyFont="1" applyAlignment="1">
      <alignment horizontal="left" wrapText="1"/>
    </xf>
    <xf numFmtId="0" fontId="8" fillId="0" borderId="2" xfId="0" applyFont="1" applyBorder="1" applyAlignment="1">
      <alignment horizontal="left" wrapText="1"/>
    </xf>
    <xf numFmtId="0" fontId="8" fillId="18" borderId="3" xfId="0" applyFont="1" applyFill="1" applyBorder="1" applyAlignment="1">
      <alignment horizontal="center"/>
    </xf>
    <xf numFmtId="9" fontId="8" fillId="18" borderId="3" xfId="0" applyNumberFormat="1" applyFont="1" applyFill="1" applyBorder="1" applyAlignment="1">
      <alignment horizontal="center"/>
    </xf>
    <xf numFmtId="0" fontId="21" fillId="18" borderId="3" xfId="0" applyFont="1" applyFill="1" applyBorder="1" applyAlignment="1">
      <alignment horizontal="left" wrapText="1"/>
    </xf>
    <xf numFmtId="0" fontId="8" fillId="18" borderId="1" xfId="0" applyFont="1" applyFill="1" applyBorder="1" applyAlignment="1">
      <alignment horizontal="center"/>
    </xf>
    <xf numFmtId="9" fontId="8" fillId="18" borderId="1" xfId="0" applyNumberFormat="1" applyFont="1" applyFill="1" applyBorder="1" applyAlignment="1">
      <alignment horizontal="center"/>
    </xf>
    <xf numFmtId="0" fontId="24" fillId="18" borderId="3" xfId="0" applyFont="1" applyFill="1" applyBorder="1" applyAlignment="1">
      <alignment wrapText="1"/>
    </xf>
    <xf numFmtId="0" fontId="8" fillId="18" borderId="1" xfId="0" applyFont="1" applyFill="1" applyBorder="1" applyAlignment="1">
      <alignment horizontal="left" wrapText="1"/>
    </xf>
    <xf numFmtId="0" fontId="8" fillId="0" borderId="3" xfId="0" applyFont="1" applyFill="1" applyBorder="1" applyAlignment="1">
      <alignment horizontal="center"/>
    </xf>
    <xf numFmtId="0" fontId="21" fillId="0" borderId="3" xfId="0" applyFont="1" applyFill="1" applyBorder="1" applyAlignment="1">
      <alignment horizontal="left" wrapText="1"/>
    </xf>
    <xf numFmtId="0" fontId="8" fillId="18" borderId="3" xfId="0" applyFont="1" applyFill="1" applyBorder="1" applyAlignment="1">
      <alignment horizontal="left" wrapText="1"/>
    </xf>
    <xf numFmtId="9" fontId="8" fillId="18" borderId="3" xfId="0" applyNumberFormat="1" applyFont="1" applyFill="1" applyBorder="1" applyAlignment="1">
      <alignment horizontal="left"/>
    </xf>
    <xf numFmtId="9" fontId="8" fillId="0" borderId="3" xfId="0" applyNumberFormat="1" applyFont="1" applyFill="1" applyBorder="1" applyAlignment="1">
      <alignment horizontal="left"/>
    </xf>
    <xf numFmtId="164" fontId="8" fillId="0" borderId="3" xfId="0" applyNumberFormat="1" applyFont="1" applyFill="1" applyBorder="1" applyAlignment="1">
      <alignment horizontal="left"/>
    </xf>
    <xf numFmtId="0" fontId="19" fillId="2" borderId="3" xfId="0" applyFont="1" applyFill="1" applyBorder="1" applyAlignment="1">
      <alignment horizontal="left" wrapText="1"/>
    </xf>
    <xf numFmtId="9" fontId="24" fillId="0" borderId="0" xfId="0" applyNumberFormat="1" applyFont="1" applyAlignment="1">
      <alignment horizontal="left"/>
    </xf>
    <xf numFmtId="164" fontId="0" fillId="0" borderId="0" xfId="0" applyNumberFormat="1" applyFill="1" applyBorder="1" applyAlignment="1">
      <alignment horizontal="center" vertical="center"/>
    </xf>
    <xf numFmtId="10" fontId="19" fillId="2" borderId="1" xfId="0" applyNumberFormat="1" applyFont="1" applyFill="1" applyBorder="1" applyAlignment="1">
      <alignment horizontal="center"/>
    </xf>
    <xf numFmtId="0" fontId="0" fillId="0" borderId="0" xfId="0" applyFont="1" applyFill="1" applyBorder="1" applyAlignment="1">
      <alignment horizontal="left" vertical="center"/>
    </xf>
    <xf numFmtId="164" fontId="8" fillId="0" borderId="0" xfId="0" applyNumberFormat="1" applyFont="1" applyFill="1" applyBorder="1" applyAlignment="1">
      <alignment horizontal="center"/>
    </xf>
    <xf numFmtId="0" fontId="19" fillId="2" borderId="1" xfId="0" applyFont="1" applyFill="1" applyBorder="1" applyAlignment="1">
      <alignment horizontal="left" wrapText="1"/>
    </xf>
    <xf numFmtId="9" fontId="8" fillId="0" borderId="1" xfId="0" applyNumberFormat="1" applyFont="1" applyFill="1" applyBorder="1" applyAlignment="1">
      <alignment horizontal="left"/>
    </xf>
    <xf numFmtId="0" fontId="26" fillId="0" borderId="3" xfId="0" applyFont="1" applyBorder="1" applyAlignment="1">
      <alignment horizontal="center"/>
    </xf>
    <xf numFmtId="0" fontId="22" fillId="2" borderId="3" xfId="0" applyFont="1" applyFill="1" applyBorder="1" applyAlignment="1">
      <alignment horizontal="center"/>
    </xf>
    <xf numFmtId="0" fontId="22" fillId="2" borderId="2" xfId="0" applyFont="1" applyFill="1" applyBorder="1" applyAlignment="1">
      <alignment horizontal="center"/>
    </xf>
    <xf numFmtId="10" fontId="22" fillId="2" borderId="2" xfId="0" applyNumberFormat="1" applyFont="1" applyFill="1" applyBorder="1" applyAlignment="1">
      <alignment horizontal="center"/>
    </xf>
    <xf numFmtId="0" fontId="22" fillId="2" borderId="0" xfId="0" applyFont="1" applyFill="1" applyAlignment="1">
      <alignment horizontal="left"/>
    </xf>
    <xf numFmtId="0" fontId="22" fillId="0" borderId="0" xfId="0" applyFont="1" applyAlignment="1">
      <alignment horizontal="center"/>
    </xf>
    <xf numFmtId="0" fontId="26" fillId="0" borderId="3" xfId="0" applyFont="1" applyFill="1" applyBorder="1" applyAlignment="1">
      <alignment horizontal="center"/>
    </xf>
    <xf numFmtId="9" fontId="26" fillId="0" borderId="3" xfId="0" applyNumberFormat="1" applyFont="1" applyFill="1" applyBorder="1" applyAlignment="1">
      <alignment horizontal="center"/>
    </xf>
    <xf numFmtId="0" fontId="26" fillId="0" borderId="3" xfId="0" applyFont="1" applyFill="1" applyBorder="1" applyAlignment="1">
      <alignment horizontal="left" wrapText="1"/>
    </xf>
    <xf numFmtId="0" fontId="26" fillId="12" borderId="1" xfId="0" applyFont="1" applyFill="1" applyBorder="1" applyAlignment="1">
      <alignment horizontal="center"/>
    </xf>
    <xf numFmtId="0" fontId="26" fillId="18" borderId="3" xfId="0" applyFont="1" applyFill="1" applyBorder="1" applyAlignment="1">
      <alignment horizontal="center"/>
    </xf>
    <xf numFmtId="9" fontId="26" fillId="18" borderId="3" xfId="0" applyNumberFormat="1" applyFont="1" applyFill="1" applyBorder="1" applyAlignment="1">
      <alignment horizontal="center"/>
    </xf>
    <xf numFmtId="0" fontId="26" fillId="18" borderId="3" xfId="0" applyFont="1" applyFill="1" applyBorder="1" applyAlignment="1">
      <alignment horizontal="left" wrapText="1"/>
    </xf>
    <xf numFmtId="0" fontId="26" fillId="0" borderId="0" xfId="0" applyFont="1" applyFill="1" applyBorder="1" applyAlignment="1">
      <alignment horizontal="center"/>
    </xf>
    <xf numFmtId="0" fontId="26" fillId="0" borderId="0" xfId="0" applyFont="1" applyFill="1" applyBorder="1" applyAlignment="1">
      <alignment horizontal="left" wrapText="1"/>
    </xf>
    <xf numFmtId="0" fontId="26" fillId="0" borderId="0" xfId="0" applyFont="1" applyFill="1" applyAlignment="1">
      <alignment horizontal="center"/>
    </xf>
    <xf numFmtId="9" fontId="26" fillId="0" borderId="1" xfId="0" applyNumberFormat="1" applyFont="1" applyFill="1" applyBorder="1" applyAlignment="1">
      <alignment horizontal="center"/>
    </xf>
    <xf numFmtId="0" fontId="26" fillId="18" borderId="1" xfId="0" applyFont="1" applyFill="1" applyBorder="1" applyAlignment="1">
      <alignment horizontal="center"/>
    </xf>
    <xf numFmtId="9" fontId="26" fillId="18" borderId="1" xfId="0" applyNumberFormat="1" applyFont="1" applyFill="1" applyBorder="1" applyAlignment="1">
      <alignment horizontal="center"/>
    </xf>
    <xf numFmtId="0" fontId="27" fillId="18" borderId="3" xfId="0" applyFont="1" applyFill="1" applyBorder="1" applyAlignment="1">
      <alignment wrapText="1"/>
    </xf>
    <xf numFmtId="0" fontId="26" fillId="18" borderId="1" xfId="0" applyFont="1" applyFill="1" applyBorder="1" applyAlignment="1">
      <alignment horizontal="left" wrapText="1"/>
    </xf>
    <xf numFmtId="0" fontId="0" fillId="2" borderId="3" xfId="0" applyFill="1" applyBorder="1" applyAlignment="1">
      <alignment horizontal="center" wrapText="1"/>
    </xf>
    <xf numFmtId="0" fontId="0" fillId="2" borderId="0" xfId="0" applyFill="1" applyAlignment="1">
      <alignment horizontal="center" wrapText="1"/>
    </xf>
    <xf numFmtId="0" fontId="0" fillId="2" borderId="0" xfId="0" applyFill="1" applyBorder="1" applyAlignment="1">
      <alignment horizontal="center" wrapText="1"/>
    </xf>
    <xf numFmtId="0" fontId="0" fillId="2" borderId="1" xfId="0" applyFill="1" applyBorder="1" applyAlignment="1">
      <alignment horizontal="center" wrapText="1"/>
    </xf>
    <xf numFmtId="0" fontId="23" fillId="2" borderId="3" xfId="0" applyFont="1" applyFill="1" applyBorder="1" applyAlignment="1">
      <alignment horizontal="left" wrapText="1"/>
    </xf>
    <xf numFmtId="0" fontId="22" fillId="2" borderId="3" xfId="0" applyFont="1" applyFill="1" applyBorder="1" applyAlignment="1">
      <alignment horizontal="left" wrapText="1"/>
    </xf>
    <xf numFmtId="0" fontId="0" fillId="0" borderId="0" xfId="0" applyAlignment="1"/>
    <xf numFmtId="0" fontId="14" fillId="0" borderId="0" xfId="0" applyFont="1" applyAlignment="1">
      <alignment vertical="center"/>
    </xf>
    <xf numFmtId="0" fontId="15"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emf"/><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4.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9</xdr:col>
      <xdr:colOff>180975</xdr:colOff>
      <xdr:row>17</xdr:row>
      <xdr:rowOff>0</xdr:rowOff>
    </xdr:from>
    <xdr:to>
      <xdr:col>19</xdr:col>
      <xdr:colOff>400050</xdr:colOff>
      <xdr:row>30</xdr:row>
      <xdr:rowOff>115966</xdr:rowOff>
    </xdr:to>
    <xdr:pic>
      <xdr:nvPicPr>
        <xdr:cNvPr id="3" name="Picture 2">
          <a:extLst>
            <a:ext uri="{FF2B5EF4-FFF2-40B4-BE49-F238E27FC236}">
              <a16:creationId xmlns:a16="http://schemas.microsoft.com/office/drawing/2014/main" id="{33383B05-8A38-44A2-AFAD-5EB0EA7FCD1C}"/>
            </a:ext>
          </a:extLst>
        </xdr:cNvPr>
        <xdr:cNvPicPr>
          <a:picLocks noChangeAspect="1"/>
        </xdr:cNvPicPr>
      </xdr:nvPicPr>
      <xdr:blipFill>
        <a:blip xmlns:r="http://schemas.openxmlformats.org/officeDocument/2006/relationships" r:embed="rId1"/>
        <a:stretch>
          <a:fillRect/>
        </a:stretch>
      </xdr:blipFill>
      <xdr:spPr>
        <a:xfrm>
          <a:off x="7924800" y="3076575"/>
          <a:ext cx="6315075" cy="2468641"/>
        </a:xfrm>
        <a:prstGeom prst="rect">
          <a:avLst/>
        </a:prstGeom>
      </xdr:spPr>
    </xdr:pic>
    <xdr:clientData/>
  </xdr:twoCellAnchor>
  <xdr:twoCellAnchor editAs="oneCell">
    <xdr:from>
      <xdr:col>4</xdr:col>
      <xdr:colOff>16517</xdr:colOff>
      <xdr:row>18</xdr:row>
      <xdr:rowOff>15875</xdr:rowOff>
    </xdr:from>
    <xdr:to>
      <xdr:col>9</xdr:col>
      <xdr:colOff>161374</xdr:colOff>
      <xdr:row>30</xdr:row>
      <xdr:rowOff>63500</xdr:rowOff>
    </xdr:to>
    <xdr:pic>
      <xdr:nvPicPr>
        <xdr:cNvPr id="4" name="Picture 3">
          <a:extLst>
            <a:ext uri="{FF2B5EF4-FFF2-40B4-BE49-F238E27FC236}">
              <a16:creationId xmlns:a16="http://schemas.microsoft.com/office/drawing/2014/main" id="{1150EABB-B131-4F2F-8377-C7C3B4803FBA}"/>
            </a:ext>
          </a:extLst>
        </xdr:cNvPr>
        <xdr:cNvPicPr>
          <a:picLocks noChangeAspect="1"/>
        </xdr:cNvPicPr>
      </xdr:nvPicPr>
      <xdr:blipFill>
        <a:blip xmlns:r="http://schemas.openxmlformats.org/officeDocument/2006/relationships" r:embed="rId2"/>
        <a:stretch>
          <a:fillRect/>
        </a:stretch>
      </xdr:blipFill>
      <xdr:spPr>
        <a:xfrm>
          <a:off x="4112267" y="3273425"/>
          <a:ext cx="3796107" cy="2222500"/>
        </a:xfrm>
        <a:prstGeom prst="rect">
          <a:avLst/>
        </a:prstGeom>
      </xdr:spPr>
    </xdr:pic>
    <xdr:clientData/>
  </xdr:twoCellAnchor>
  <xdr:twoCellAnchor editAs="oneCell">
    <xdr:from>
      <xdr:col>19</xdr:col>
      <xdr:colOff>485775</xdr:colOff>
      <xdr:row>6</xdr:row>
      <xdr:rowOff>34925</xdr:rowOff>
    </xdr:from>
    <xdr:to>
      <xdr:col>25</xdr:col>
      <xdr:colOff>406939</xdr:colOff>
      <xdr:row>28</xdr:row>
      <xdr:rowOff>125518</xdr:rowOff>
    </xdr:to>
    <xdr:pic>
      <xdr:nvPicPr>
        <xdr:cNvPr id="5" name="Picture 4">
          <a:extLst>
            <a:ext uri="{FF2B5EF4-FFF2-40B4-BE49-F238E27FC236}">
              <a16:creationId xmlns:a16="http://schemas.microsoft.com/office/drawing/2014/main" id="{B3D44B6D-0D93-4379-B827-C6426C835441}"/>
            </a:ext>
          </a:extLst>
        </xdr:cNvPr>
        <xdr:cNvPicPr>
          <a:picLocks noChangeAspect="1"/>
        </xdr:cNvPicPr>
      </xdr:nvPicPr>
      <xdr:blipFill>
        <a:blip xmlns:r="http://schemas.openxmlformats.org/officeDocument/2006/relationships" r:embed="rId3"/>
        <a:stretch>
          <a:fillRect/>
        </a:stretch>
      </xdr:blipFill>
      <xdr:spPr>
        <a:xfrm>
          <a:off x="14325600" y="1120775"/>
          <a:ext cx="3581939" cy="4068868"/>
        </a:xfrm>
        <a:prstGeom prst="rect">
          <a:avLst/>
        </a:prstGeom>
      </xdr:spPr>
    </xdr:pic>
    <xdr:clientData/>
  </xdr:twoCellAnchor>
  <xdr:twoCellAnchor editAs="oneCell">
    <xdr:from>
      <xdr:col>4</xdr:col>
      <xdr:colOff>25400</xdr:colOff>
      <xdr:row>32</xdr:row>
      <xdr:rowOff>37170</xdr:rowOff>
    </xdr:from>
    <xdr:to>
      <xdr:col>12</xdr:col>
      <xdr:colOff>183033</xdr:colOff>
      <xdr:row>48</xdr:row>
      <xdr:rowOff>97210</xdr:rowOff>
    </xdr:to>
    <xdr:pic>
      <xdr:nvPicPr>
        <xdr:cNvPr id="6" name="Picture 5">
          <a:extLst>
            <a:ext uri="{FF2B5EF4-FFF2-40B4-BE49-F238E27FC236}">
              <a16:creationId xmlns:a16="http://schemas.microsoft.com/office/drawing/2014/main" id="{D52AC4BE-D23E-413E-9640-F399698003E2}"/>
            </a:ext>
          </a:extLst>
        </xdr:cNvPr>
        <xdr:cNvPicPr>
          <a:picLocks noChangeAspect="1"/>
        </xdr:cNvPicPr>
      </xdr:nvPicPr>
      <xdr:blipFill>
        <a:blip xmlns:r="http://schemas.openxmlformats.org/officeDocument/2006/relationships" r:embed="rId4"/>
        <a:stretch>
          <a:fillRect/>
        </a:stretch>
      </xdr:blipFill>
      <xdr:spPr>
        <a:xfrm>
          <a:off x="4121150" y="5828370"/>
          <a:ext cx="5631333" cy="2955640"/>
        </a:xfrm>
        <a:prstGeom prst="rect">
          <a:avLst/>
        </a:prstGeom>
      </xdr:spPr>
    </xdr:pic>
    <xdr:clientData/>
  </xdr:twoCellAnchor>
  <xdr:twoCellAnchor editAs="oneCell">
    <xdr:from>
      <xdr:col>4</xdr:col>
      <xdr:colOff>260349</xdr:colOff>
      <xdr:row>0</xdr:row>
      <xdr:rowOff>66674</xdr:rowOff>
    </xdr:from>
    <xdr:to>
      <xdr:col>14</xdr:col>
      <xdr:colOff>17009</xdr:colOff>
      <xdr:row>15</xdr:row>
      <xdr:rowOff>39006</xdr:rowOff>
    </xdr:to>
    <xdr:pic>
      <xdr:nvPicPr>
        <xdr:cNvPr id="7" name="Picture 6">
          <a:extLst>
            <a:ext uri="{FF2B5EF4-FFF2-40B4-BE49-F238E27FC236}">
              <a16:creationId xmlns:a16="http://schemas.microsoft.com/office/drawing/2014/main" id="{B773D9C1-FAB6-4F77-BA37-3F7A44B7478A}"/>
            </a:ext>
          </a:extLst>
        </xdr:cNvPr>
        <xdr:cNvPicPr/>
      </xdr:nvPicPr>
      <xdr:blipFill>
        <a:blip xmlns:r="http://schemas.openxmlformats.org/officeDocument/2006/relationships" r:embed="rId5"/>
        <a:stretch>
          <a:fillRect/>
        </a:stretch>
      </xdr:blipFill>
      <xdr:spPr>
        <a:xfrm>
          <a:off x="4356099" y="66674"/>
          <a:ext cx="6452735" cy="2686957"/>
        </a:xfrm>
        <a:prstGeom prst="rect">
          <a:avLst/>
        </a:prstGeom>
      </xdr:spPr>
    </xdr:pic>
    <xdr:clientData/>
  </xdr:twoCellAnchor>
  <xdr:twoCellAnchor editAs="oneCell">
    <xdr:from>
      <xdr:col>12</xdr:col>
      <xdr:colOff>320675</xdr:colOff>
      <xdr:row>32</xdr:row>
      <xdr:rowOff>35234</xdr:rowOff>
    </xdr:from>
    <xdr:to>
      <xdr:col>19</xdr:col>
      <xdr:colOff>507035</xdr:colOff>
      <xdr:row>48</xdr:row>
      <xdr:rowOff>18425</xdr:rowOff>
    </xdr:to>
    <xdr:pic>
      <xdr:nvPicPr>
        <xdr:cNvPr id="8" name="Picture 7">
          <a:extLst>
            <a:ext uri="{FF2B5EF4-FFF2-40B4-BE49-F238E27FC236}">
              <a16:creationId xmlns:a16="http://schemas.microsoft.com/office/drawing/2014/main" id="{9D7E3214-8372-4871-AAEE-ACDDA2143696}"/>
            </a:ext>
          </a:extLst>
        </xdr:cNvPr>
        <xdr:cNvPicPr>
          <a:picLocks noChangeAspect="1"/>
        </xdr:cNvPicPr>
      </xdr:nvPicPr>
      <xdr:blipFill>
        <a:blip xmlns:r="http://schemas.openxmlformats.org/officeDocument/2006/relationships" r:embed="rId6"/>
        <a:stretch>
          <a:fillRect/>
        </a:stretch>
      </xdr:blipFill>
      <xdr:spPr>
        <a:xfrm>
          <a:off x="9893300" y="5826434"/>
          <a:ext cx="4450385" cy="2878791"/>
        </a:xfrm>
        <a:prstGeom prst="rect">
          <a:avLst/>
        </a:prstGeom>
      </xdr:spPr>
    </xdr:pic>
    <xdr:clientData/>
  </xdr:twoCellAnchor>
  <xdr:twoCellAnchor editAs="oneCell">
    <xdr:from>
      <xdr:col>20</xdr:col>
      <xdr:colOff>177878</xdr:colOff>
      <xdr:row>29</xdr:row>
      <xdr:rowOff>111125</xdr:rowOff>
    </xdr:from>
    <xdr:to>
      <xdr:col>25</xdr:col>
      <xdr:colOff>304240</xdr:colOff>
      <xdr:row>49</xdr:row>
      <xdr:rowOff>161279</xdr:rowOff>
    </xdr:to>
    <xdr:pic>
      <xdr:nvPicPr>
        <xdr:cNvPr id="10" name="Picture 9">
          <a:extLst>
            <a:ext uri="{FF2B5EF4-FFF2-40B4-BE49-F238E27FC236}">
              <a16:creationId xmlns:a16="http://schemas.microsoft.com/office/drawing/2014/main" id="{4D0185B8-E08F-4E49-9352-174FA51A45BD}"/>
            </a:ext>
          </a:extLst>
        </xdr:cNvPr>
        <xdr:cNvPicPr>
          <a:picLocks noChangeAspect="1"/>
        </xdr:cNvPicPr>
      </xdr:nvPicPr>
      <xdr:blipFill>
        <a:blip xmlns:r="http://schemas.openxmlformats.org/officeDocument/2006/relationships" r:embed="rId7"/>
        <a:stretch>
          <a:fillRect/>
        </a:stretch>
      </xdr:blipFill>
      <xdr:spPr>
        <a:xfrm>
          <a:off x="14627303" y="5359400"/>
          <a:ext cx="3174362" cy="3672829"/>
        </a:xfrm>
        <a:prstGeom prst="rect">
          <a:avLst/>
        </a:prstGeom>
      </xdr:spPr>
    </xdr:pic>
    <xdr:clientData/>
  </xdr:twoCellAnchor>
  <xdr:twoCellAnchor editAs="oneCell">
    <xdr:from>
      <xdr:col>4</xdr:col>
      <xdr:colOff>98424</xdr:colOff>
      <xdr:row>52</xdr:row>
      <xdr:rowOff>37146</xdr:rowOff>
    </xdr:from>
    <xdr:to>
      <xdr:col>15</xdr:col>
      <xdr:colOff>446449</xdr:colOff>
      <xdr:row>64</xdr:row>
      <xdr:rowOff>88544</xdr:rowOff>
    </xdr:to>
    <xdr:pic>
      <xdr:nvPicPr>
        <xdr:cNvPr id="11" name="Picture 10">
          <a:extLst>
            <a:ext uri="{FF2B5EF4-FFF2-40B4-BE49-F238E27FC236}">
              <a16:creationId xmlns:a16="http://schemas.microsoft.com/office/drawing/2014/main" id="{FC2E0134-34B8-4275-A844-0B41AC4B46F1}"/>
            </a:ext>
          </a:extLst>
        </xdr:cNvPr>
        <xdr:cNvPicPr>
          <a:picLocks noChangeAspect="1"/>
        </xdr:cNvPicPr>
      </xdr:nvPicPr>
      <xdr:blipFill>
        <a:blip xmlns:r="http://schemas.openxmlformats.org/officeDocument/2006/relationships" r:embed="rId8"/>
        <a:stretch>
          <a:fillRect/>
        </a:stretch>
      </xdr:blipFill>
      <xdr:spPr>
        <a:xfrm>
          <a:off x="4194174" y="9447846"/>
          <a:ext cx="7656875" cy="2219923"/>
        </a:xfrm>
        <a:prstGeom prst="rect">
          <a:avLst/>
        </a:prstGeom>
      </xdr:spPr>
    </xdr:pic>
    <xdr:clientData/>
  </xdr:twoCellAnchor>
  <xdr:twoCellAnchor editAs="oneCell">
    <xdr:from>
      <xdr:col>15</xdr:col>
      <xdr:colOff>550157</xdr:colOff>
      <xdr:row>48</xdr:row>
      <xdr:rowOff>120650</xdr:rowOff>
    </xdr:from>
    <xdr:to>
      <xdr:col>20</xdr:col>
      <xdr:colOff>208915</xdr:colOff>
      <xdr:row>68</xdr:row>
      <xdr:rowOff>49969</xdr:rowOff>
    </xdr:to>
    <xdr:pic>
      <xdr:nvPicPr>
        <xdr:cNvPr id="12" name="Picture 11">
          <a:extLst>
            <a:ext uri="{FF2B5EF4-FFF2-40B4-BE49-F238E27FC236}">
              <a16:creationId xmlns:a16="http://schemas.microsoft.com/office/drawing/2014/main" id="{B850FEF2-CA17-4C54-9ECF-45AE6887E688}"/>
            </a:ext>
          </a:extLst>
        </xdr:cNvPr>
        <xdr:cNvPicPr>
          <a:picLocks noChangeAspect="1"/>
        </xdr:cNvPicPr>
      </xdr:nvPicPr>
      <xdr:blipFill>
        <a:blip xmlns:r="http://schemas.openxmlformats.org/officeDocument/2006/relationships" r:embed="rId9"/>
        <a:stretch>
          <a:fillRect/>
        </a:stretch>
      </xdr:blipFill>
      <xdr:spPr>
        <a:xfrm>
          <a:off x="11951582" y="8807450"/>
          <a:ext cx="2706758" cy="3545644"/>
        </a:xfrm>
        <a:prstGeom prst="rect">
          <a:avLst/>
        </a:prstGeom>
      </xdr:spPr>
    </xdr:pic>
    <xdr:clientData/>
  </xdr:twoCellAnchor>
  <xdr:twoCellAnchor editAs="oneCell">
    <xdr:from>
      <xdr:col>1</xdr:col>
      <xdr:colOff>501650</xdr:colOff>
      <xdr:row>116</xdr:row>
      <xdr:rowOff>84087</xdr:rowOff>
    </xdr:from>
    <xdr:to>
      <xdr:col>11</xdr:col>
      <xdr:colOff>282575</xdr:colOff>
      <xdr:row>146</xdr:row>
      <xdr:rowOff>27628</xdr:rowOff>
    </xdr:to>
    <xdr:pic>
      <xdr:nvPicPr>
        <xdr:cNvPr id="13" name="Picture 12">
          <a:extLst>
            <a:ext uri="{FF2B5EF4-FFF2-40B4-BE49-F238E27FC236}">
              <a16:creationId xmlns:a16="http://schemas.microsoft.com/office/drawing/2014/main" id="{45FA55D9-B653-43F1-ADC7-B77C74126982}"/>
            </a:ext>
          </a:extLst>
        </xdr:cNvPr>
        <xdr:cNvPicPr>
          <a:picLocks noChangeAspect="1"/>
        </xdr:cNvPicPr>
      </xdr:nvPicPr>
      <xdr:blipFill>
        <a:blip xmlns:r="http://schemas.openxmlformats.org/officeDocument/2006/relationships" r:embed="rId10"/>
        <a:stretch>
          <a:fillRect/>
        </a:stretch>
      </xdr:blipFill>
      <xdr:spPr>
        <a:xfrm>
          <a:off x="1111250" y="15647937"/>
          <a:ext cx="8134350" cy="5372791"/>
        </a:xfrm>
        <a:prstGeom prst="rect">
          <a:avLst/>
        </a:prstGeom>
      </xdr:spPr>
    </xdr:pic>
    <xdr:clientData/>
  </xdr:twoCellAnchor>
  <xdr:twoCellAnchor editAs="oneCell">
    <xdr:from>
      <xdr:col>11</xdr:col>
      <xdr:colOff>98178</xdr:colOff>
      <xdr:row>65</xdr:row>
      <xdr:rowOff>0</xdr:rowOff>
    </xdr:from>
    <xdr:to>
      <xdr:col>15</xdr:col>
      <xdr:colOff>219074</xdr:colOff>
      <xdr:row>92</xdr:row>
      <xdr:rowOff>152400</xdr:rowOff>
    </xdr:to>
    <xdr:pic>
      <xdr:nvPicPr>
        <xdr:cNvPr id="14" name="Picture 13">
          <a:extLst>
            <a:ext uri="{FF2B5EF4-FFF2-40B4-BE49-F238E27FC236}">
              <a16:creationId xmlns:a16="http://schemas.microsoft.com/office/drawing/2014/main" id="{84729B02-5806-4BE0-82F5-005B2985848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061203" y="11763375"/>
          <a:ext cx="2559296" cy="503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1282700</xdr:colOff>
      <xdr:row>70</xdr:row>
      <xdr:rowOff>67111</xdr:rowOff>
    </xdr:from>
    <xdr:to>
      <xdr:col>9</xdr:col>
      <xdr:colOff>56562</xdr:colOff>
      <xdr:row>88</xdr:row>
      <xdr:rowOff>174104</xdr:rowOff>
    </xdr:to>
    <xdr:pic>
      <xdr:nvPicPr>
        <xdr:cNvPr id="2" name="Picture 1">
          <a:extLst>
            <a:ext uri="{FF2B5EF4-FFF2-40B4-BE49-F238E27FC236}">
              <a16:creationId xmlns:a16="http://schemas.microsoft.com/office/drawing/2014/main" id="{30B7546F-1615-427C-9814-08FDA92D358E}"/>
            </a:ext>
          </a:extLst>
        </xdr:cNvPr>
        <xdr:cNvPicPr>
          <a:picLocks noChangeAspect="1"/>
        </xdr:cNvPicPr>
      </xdr:nvPicPr>
      <xdr:blipFill>
        <a:blip xmlns:r="http://schemas.openxmlformats.org/officeDocument/2006/relationships" r:embed="rId12"/>
        <a:stretch>
          <a:fillRect/>
        </a:stretch>
      </xdr:blipFill>
      <xdr:spPr>
        <a:xfrm>
          <a:off x="3997325" y="12735361"/>
          <a:ext cx="3803062" cy="3364543"/>
        </a:xfrm>
        <a:prstGeom prst="rect">
          <a:avLst/>
        </a:prstGeom>
      </xdr:spPr>
    </xdr:pic>
    <xdr:clientData/>
  </xdr:twoCellAnchor>
  <xdr:twoCellAnchor editAs="oneCell">
    <xdr:from>
      <xdr:col>2</xdr:col>
      <xdr:colOff>0</xdr:colOff>
      <xdr:row>94</xdr:row>
      <xdr:rowOff>0</xdr:rowOff>
    </xdr:from>
    <xdr:to>
      <xdr:col>8</xdr:col>
      <xdr:colOff>28575</xdr:colOff>
      <xdr:row>104</xdr:row>
      <xdr:rowOff>95250</xdr:rowOff>
    </xdr:to>
    <xdr:pic>
      <xdr:nvPicPr>
        <xdr:cNvPr id="15" name="Picture 14">
          <a:extLst>
            <a:ext uri="{FF2B5EF4-FFF2-40B4-BE49-F238E27FC236}">
              <a16:creationId xmlns:a16="http://schemas.microsoft.com/office/drawing/2014/main" id="{81C1B6B0-1179-4A8D-9B6F-820FA7EEBB43}"/>
            </a:ext>
          </a:extLst>
        </xdr:cNvPr>
        <xdr:cNvPicPr/>
      </xdr:nvPicPr>
      <xdr:blipFill>
        <a:blip xmlns:r="http://schemas.openxmlformats.org/officeDocument/2006/relationships" r:embed="rId13"/>
        <a:stretch>
          <a:fillRect/>
        </a:stretch>
      </xdr:blipFill>
      <xdr:spPr>
        <a:xfrm>
          <a:off x="1219200" y="17011650"/>
          <a:ext cx="5943600" cy="1905000"/>
        </a:xfrm>
        <a:prstGeom prst="rect">
          <a:avLst/>
        </a:prstGeom>
      </xdr:spPr>
    </xdr:pic>
    <xdr:clientData/>
  </xdr:twoCellAnchor>
  <xdr:twoCellAnchor editAs="oneCell">
    <xdr:from>
      <xdr:col>8</xdr:col>
      <xdr:colOff>133350</xdr:colOff>
      <xdr:row>93</xdr:row>
      <xdr:rowOff>142875</xdr:rowOff>
    </xdr:from>
    <xdr:to>
      <xdr:col>17</xdr:col>
      <xdr:colOff>596900</xdr:colOff>
      <xdr:row>108</xdr:row>
      <xdr:rowOff>57785</xdr:rowOff>
    </xdr:to>
    <xdr:pic>
      <xdr:nvPicPr>
        <xdr:cNvPr id="16" name="Picture 15">
          <a:extLst>
            <a:ext uri="{FF2B5EF4-FFF2-40B4-BE49-F238E27FC236}">
              <a16:creationId xmlns:a16="http://schemas.microsoft.com/office/drawing/2014/main" id="{5B9467CE-5D02-4591-BC02-0FD0B9F24BD2}"/>
            </a:ext>
          </a:extLst>
        </xdr:cNvPr>
        <xdr:cNvPicPr/>
      </xdr:nvPicPr>
      <xdr:blipFill>
        <a:blip xmlns:r="http://schemas.openxmlformats.org/officeDocument/2006/relationships" r:embed="rId14"/>
        <a:stretch>
          <a:fillRect/>
        </a:stretch>
      </xdr:blipFill>
      <xdr:spPr>
        <a:xfrm>
          <a:off x="7267575" y="16973550"/>
          <a:ext cx="5949950" cy="2629535"/>
        </a:xfrm>
        <a:prstGeom prst="rect">
          <a:avLst/>
        </a:prstGeom>
      </xdr:spPr>
    </xdr:pic>
    <xdr:clientData/>
  </xdr:twoCellAnchor>
  <xdr:twoCellAnchor editAs="oneCell">
    <xdr:from>
      <xdr:col>20</xdr:col>
      <xdr:colOff>428625</xdr:colOff>
      <xdr:row>51</xdr:row>
      <xdr:rowOff>76200</xdr:rowOff>
    </xdr:from>
    <xdr:to>
      <xdr:col>28</xdr:col>
      <xdr:colOff>285158</xdr:colOff>
      <xdr:row>71</xdr:row>
      <xdr:rowOff>75724</xdr:rowOff>
    </xdr:to>
    <xdr:pic>
      <xdr:nvPicPr>
        <xdr:cNvPr id="9" name="Picture 8">
          <a:extLst>
            <a:ext uri="{FF2B5EF4-FFF2-40B4-BE49-F238E27FC236}">
              <a16:creationId xmlns:a16="http://schemas.microsoft.com/office/drawing/2014/main" id="{B760A31A-4A06-4DCF-ABB0-CAEBF18FF779}"/>
            </a:ext>
          </a:extLst>
        </xdr:cNvPr>
        <xdr:cNvPicPr>
          <a:picLocks noChangeAspect="1"/>
        </xdr:cNvPicPr>
      </xdr:nvPicPr>
      <xdr:blipFill>
        <a:blip xmlns:r="http://schemas.openxmlformats.org/officeDocument/2006/relationships" r:embed="rId15"/>
        <a:stretch>
          <a:fillRect/>
        </a:stretch>
      </xdr:blipFill>
      <xdr:spPr>
        <a:xfrm>
          <a:off x="14678025" y="9791700"/>
          <a:ext cx="4733333" cy="3809524"/>
        </a:xfrm>
        <a:prstGeom prst="rect">
          <a:avLst/>
        </a:prstGeom>
      </xdr:spPr>
    </xdr:pic>
    <xdr:clientData/>
  </xdr:twoCellAnchor>
  <xdr:twoCellAnchor editAs="oneCell">
    <xdr:from>
      <xdr:col>24</xdr:col>
      <xdr:colOff>31750</xdr:colOff>
      <xdr:row>73</xdr:row>
      <xdr:rowOff>0</xdr:rowOff>
    </xdr:from>
    <xdr:to>
      <xdr:col>30</xdr:col>
      <xdr:colOff>131350</xdr:colOff>
      <xdr:row>85</xdr:row>
      <xdr:rowOff>124009</xdr:rowOff>
    </xdr:to>
    <xdr:pic>
      <xdr:nvPicPr>
        <xdr:cNvPr id="17" name="Picture 16">
          <a:extLst>
            <a:ext uri="{FF2B5EF4-FFF2-40B4-BE49-F238E27FC236}">
              <a16:creationId xmlns:a16="http://schemas.microsoft.com/office/drawing/2014/main" id="{95729686-CAED-467C-B20B-3589335D542F}"/>
            </a:ext>
          </a:extLst>
        </xdr:cNvPr>
        <xdr:cNvPicPr>
          <a:picLocks noChangeAspect="1"/>
        </xdr:cNvPicPr>
      </xdr:nvPicPr>
      <xdr:blipFill>
        <a:blip xmlns:r="http://schemas.openxmlformats.org/officeDocument/2006/relationships" r:embed="rId16"/>
        <a:stretch>
          <a:fillRect/>
        </a:stretch>
      </xdr:blipFill>
      <xdr:spPr>
        <a:xfrm>
          <a:off x="17028583" y="13133917"/>
          <a:ext cx="3782600" cy="2283009"/>
        </a:xfrm>
        <a:prstGeom prst="rect">
          <a:avLst/>
        </a:prstGeom>
      </xdr:spPr>
    </xdr:pic>
    <xdr:clientData/>
  </xdr:twoCellAnchor>
  <xdr:twoCellAnchor editAs="oneCell">
    <xdr:from>
      <xdr:col>28</xdr:col>
      <xdr:colOff>423333</xdr:colOff>
      <xdr:row>57</xdr:row>
      <xdr:rowOff>52917</xdr:rowOff>
    </xdr:from>
    <xdr:to>
      <xdr:col>35</xdr:col>
      <xdr:colOff>225283</xdr:colOff>
      <xdr:row>72</xdr:row>
      <xdr:rowOff>6324</xdr:rowOff>
    </xdr:to>
    <xdr:pic>
      <xdr:nvPicPr>
        <xdr:cNvPr id="18" name="Picture 17">
          <a:extLst>
            <a:ext uri="{FF2B5EF4-FFF2-40B4-BE49-F238E27FC236}">
              <a16:creationId xmlns:a16="http://schemas.microsoft.com/office/drawing/2014/main" id="{93FDB483-9AEF-4069-A215-8078C2E8FD81}"/>
            </a:ext>
          </a:extLst>
        </xdr:cNvPr>
        <xdr:cNvPicPr>
          <a:picLocks noChangeAspect="1"/>
        </xdr:cNvPicPr>
      </xdr:nvPicPr>
      <xdr:blipFill>
        <a:blip xmlns:r="http://schemas.openxmlformats.org/officeDocument/2006/relationships" r:embed="rId17"/>
        <a:stretch>
          <a:fillRect/>
        </a:stretch>
      </xdr:blipFill>
      <xdr:spPr>
        <a:xfrm>
          <a:off x="19875500" y="10308167"/>
          <a:ext cx="4098783" cy="26521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310154</xdr:colOff>
      <xdr:row>1</xdr:row>
      <xdr:rowOff>105834</xdr:rowOff>
    </xdr:from>
    <xdr:to>
      <xdr:col>19</xdr:col>
      <xdr:colOff>95250</xdr:colOff>
      <xdr:row>28</xdr:row>
      <xdr:rowOff>41043</xdr:rowOff>
    </xdr:to>
    <xdr:pic>
      <xdr:nvPicPr>
        <xdr:cNvPr id="7" name="Picture 6">
          <a:extLst>
            <a:ext uri="{FF2B5EF4-FFF2-40B4-BE49-F238E27FC236}">
              <a16:creationId xmlns:a16="http://schemas.microsoft.com/office/drawing/2014/main" id="{5E398F71-A315-435C-8219-6173968AD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3987" y="285751"/>
          <a:ext cx="2854263" cy="54385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209021</xdr:colOff>
      <xdr:row>13</xdr:row>
      <xdr:rowOff>29105</xdr:rowOff>
    </xdr:from>
    <xdr:to>
      <xdr:col>31</xdr:col>
      <xdr:colOff>580858</xdr:colOff>
      <xdr:row>24</xdr:row>
      <xdr:rowOff>175754</xdr:rowOff>
    </xdr:to>
    <xdr:pic>
      <xdr:nvPicPr>
        <xdr:cNvPr id="8" name="Picture 7">
          <a:extLst>
            <a:ext uri="{FF2B5EF4-FFF2-40B4-BE49-F238E27FC236}">
              <a16:creationId xmlns:a16="http://schemas.microsoft.com/office/drawing/2014/main" id="{8B27086D-0FB9-43CA-843D-A261BF62E79A}"/>
            </a:ext>
          </a:extLst>
        </xdr:cNvPr>
        <xdr:cNvPicPr>
          <a:picLocks noChangeAspect="1"/>
        </xdr:cNvPicPr>
      </xdr:nvPicPr>
      <xdr:blipFill>
        <a:blip xmlns:r="http://schemas.openxmlformats.org/officeDocument/2006/relationships" r:embed="rId2"/>
        <a:stretch>
          <a:fillRect/>
        </a:stretch>
      </xdr:blipFill>
      <xdr:spPr>
        <a:xfrm>
          <a:off x="12782021" y="2950105"/>
          <a:ext cx="7737837" cy="21892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9</xdr:col>
      <xdr:colOff>524724</xdr:colOff>
      <xdr:row>24</xdr:row>
      <xdr:rowOff>141378</xdr:rowOff>
    </xdr:to>
    <xdr:pic>
      <xdr:nvPicPr>
        <xdr:cNvPr id="3" name="Picture 2">
          <a:extLst>
            <a:ext uri="{FF2B5EF4-FFF2-40B4-BE49-F238E27FC236}">
              <a16:creationId xmlns:a16="http://schemas.microsoft.com/office/drawing/2014/main" id="{0EB45B11-5C1C-4EE8-91FB-66DC943CA1F8}"/>
            </a:ext>
          </a:extLst>
        </xdr:cNvPr>
        <xdr:cNvPicPr>
          <a:picLocks noChangeAspect="1"/>
        </xdr:cNvPicPr>
      </xdr:nvPicPr>
      <xdr:blipFill>
        <a:blip xmlns:r="http://schemas.openxmlformats.org/officeDocument/2006/relationships" r:embed="rId1"/>
        <a:stretch>
          <a:fillRect/>
        </a:stretch>
      </xdr:blipFill>
      <xdr:spPr>
        <a:xfrm>
          <a:off x="609600" y="1266825"/>
          <a:ext cx="5401524" cy="32433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19</xdr:row>
      <xdr:rowOff>180974</xdr:rowOff>
    </xdr:from>
    <xdr:to>
      <xdr:col>0</xdr:col>
      <xdr:colOff>5467350</xdr:colOff>
      <xdr:row>51</xdr:row>
      <xdr:rowOff>171449</xdr:rowOff>
    </xdr:to>
    <xdr:pic>
      <xdr:nvPicPr>
        <xdr:cNvPr id="2" name="Picture 1">
          <a:extLst>
            <a:ext uri="{FF2B5EF4-FFF2-40B4-BE49-F238E27FC236}">
              <a16:creationId xmlns:a16="http://schemas.microsoft.com/office/drawing/2014/main" id="{7EF4C403-D2F5-4ACB-934D-7E65DE179594}"/>
            </a:ext>
          </a:extLst>
        </xdr:cNvPr>
        <xdr:cNvPicPr/>
      </xdr:nvPicPr>
      <xdr:blipFill>
        <a:blip xmlns:r="http://schemas.openxmlformats.org/officeDocument/2006/relationships" r:embed="rId1"/>
        <a:stretch>
          <a:fillRect/>
        </a:stretch>
      </xdr:blipFill>
      <xdr:spPr>
        <a:xfrm>
          <a:off x="0" y="4705349"/>
          <a:ext cx="5467350" cy="5781675"/>
        </a:xfrm>
        <a:prstGeom prst="rect">
          <a:avLst/>
        </a:prstGeom>
      </xdr:spPr>
    </xdr:pic>
    <xdr:clientData/>
  </xdr:twoCellAnchor>
  <xdr:twoCellAnchor editAs="oneCell">
    <xdr:from>
      <xdr:col>0</xdr:col>
      <xdr:colOff>5781675</xdr:colOff>
      <xdr:row>21</xdr:row>
      <xdr:rowOff>57150</xdr:rowOff>
    </xdr:from>
    <xdr:to>
      <xdr:col>1</xdr:col>
      <xdr:colOff>3144520</xdr:colOff>
      <xdr:row>49</xdr:row>
      <xdr:rowOff>47625</xdr:rowOff>
    </xdr:to>
    <xdr:pic>
      <xdr:nvPicPr>
        <xdr:cNvPr id="3" name="Picture 2">
          <a:extLst>
            <a:ext uri="{FF2B5EF4-FFF2-40B4-BE49-F238E27FC236}">
              <a16:creationId xmlns:a16="http://schemas.microsoft.com/office/drawing/2014/main" id="{FE3970E4-49D4-4D7B-813B-68AB81236DAC}"/>
            </a:ext>
          </a:extLst>
        </xdr:cNvPr>
        <xdr:cNvPicPr/>
      </xdr:nvPicPr>
      <xdr:blipFill>
        <a:blip xmlns:r="http://schemas.openxmlformats.org/officeDocument/2006/relationships" r:embed="rId2"/>
        <a:stretch>
          <a:fillRect/>
        </a:stretch>
      </xdr:blipFill>
      <xdr:spPr>
        <a:xfrm>
          <a:off x="5781675" y="4953000"/>
          <a:ext cx="6135370" cy="53244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t Saviour, Adam B (DFG)" id="{B4FD2B70-53C2-4775-86B7-4A9676347062}" userId="S::adam.stsaviour@alaska.gov::208be4b6-0084-47bd-8c16-65bb15c39fb5" providerId="AD"/>
  <person displayName="Blain, Brittany J (DFG)" id="{28975E3D-D668-45CA-B461-73A1E53256D5}" userId="S::brittany.blain@alaska.gov::bc21a2cc-4fe7-4c63-81e2-500f00877ff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1-01-15T01:20:32.23" personId="{B4FD2B70-53C2-4775-86B7-4A9676347062}" id="{02F0A9A0-0BF7-45C3-A893-4692FBCA7004}">
    <text>calculated from Table 2</text>
  </threadedComment>
  <threadedComment ref="F10" dT="2021-01-15T01:23:23.83" personId="{B4FD2B70-53C2-4775-86B7-4A9676347062}" id="{91CE0611-8F74-43DA-80AA-367F1BF82F59}">
    <text>Depth bin 40-51m</text>
  </threadedComment>
  <threadedComment ref="G10" dT="2021-01-15T01:32:51.42" personId="{B4FD2B70-53C2-4775-86B7-4A9676347062}" id="{263E032A-C3C7-4320-9492-627F4F2C5354}">
    <text>If you extended the modeled curve in Figure 2, it would be approximately 80% mort at 60 m.</text>
  </threadedComment>
  <threadedComment ref="G13" dT="2021-01-01T01:58:12.53" personId="{28975E3D-D668-45CA-B461-73A1E53256D5}" id="{F93383D7-FF37-4434-BF61-FF146CCB1E05}">
    <text>sample size = 3 fish</text>
  </threadedComment>
  <threadedComment ref="G13" dT="2021-01-14T21:33:02.60" personId="{B4FD2B70-53C2-4775-86B7-4A9676347062}" id="{58196131-8D41-4303-A4F4-511C374257CF}" parentId="{F93383D7-FF37-4434-BF61-FF146CCB1E05}">
    <text>Modeled mortality is &gt;0.4 over 60 m. Fig 6A.</text>
  </threadedComment>
  <threadedComment ref="I24" dT="2021-01-01T02:03:18.06" personId="{28975E3D-D668-45CA-B461-73A1E53256D5}" id="{8BAF932E-09F8-46F6-A543-7519C7BD4F45}">
    <text>could look at raw data by depth bin</text>
  </threadedComment>
</ThreadedComments>
</file>

<file path=xl/threadedComments/threadedComment2.xml><?xml version="1.0" encoding="utf-8"?>
<ThreadedComments xmlns="http://schemas.microsoft.com/office/spreadsheetml/2018/threadedcomments" xmlns:x="http://schemas.openxmlformats.org/spreadsheetml/2006/main">
  <threadedComment ref="E7" dT="2021-01-21T00:14:28.76" personId="{B4FD2B70-53C2-4775-86B7-4A9676347062}" id="{C49AFE63-BCB3-4DE1-BAFB-ED5FB8238B41}">
    <text>Jeffries interval calculated in R. Uses quantiles from a Beta distribution.</text>
  </threadedComment>
  <threadedComment ref="F8" dT="2021-01-15T01:20:32.23" personId="{B4FD2B70-53C2-4775-86B7-4A9676347062}" id="{079908F0-0173-435E-83EA-EA6896DE0CB0}">
    <text>calculated from Table 2</text>
  </threadedComment>
  <threadedComment ref="H8" dT="2021-01-15T01:23:23.83" personId="{B4FD2B70-53C2-4775-86B7-4A9676347062}" id="{EEF028AC-D0F7-4C3E-B5B6-49A997BC9DB0}">
    <text>Depth bin 40-51m</text>
  </threadedComment>
  <threadedComment ref="J8" dT="2021-01-15T01:32:51.42" personId="{B4FD2B70-53C2-4775-86B7-4A9676347062}" id="{E11DB44F-C77F-42BE-8166-693552FF1B7B}">
    <text>If you extended the modeled curve in Figure 2, it would be approximately 80% mort at 60 m.</text>
  </threadedComment>
  <threadedComment ref="J9" dT="2021-01-01T01:58:12.53" personId="{28975E3D-D668-45CA-B461-73A1E53256D5}" id="{55797AA5-18E5-44EA-8917-3EE4263468E2}">
    <text>sample size = 3 fish</text>
  </threadedComment>
  <threadedComment ref="J9" dT="2021-01-14T21:33:02.60" personId="{B4FD2B70-53C2-4775-86B7-4A9676347062}" id="{6C27A2BE-EA96-466C-A641-1FF0F0E8BF59}" parentId="{55797AA5-18E5-44EA-8917-3EE4263468E2}">
    <text>Modeled mortality is &gt;0.4 over 60 m. Fig 6A.</text>
  </threadedComment>
  <threadedComment ref="K9" dT="2021-01-20T22:41:34.26" personId="{B4FD2B70-53C2-4775-86B7-4A9676347062}" id="{D473CA47-2913-4C49-8FA7-00CF531EAEFA}">
    <text>No  CIs in figure. Should increase about shallower depth bin. Could use the same proportional increase from the point estimate.</text>
  </threadedComment>
  <threadedComment ref="E11" dT="2021-01-21T00:14:28.76" personId="{B4FD2B70-53C2-4775-86B7-4A9676347062}" id="{927022BB-80C4-49EA-A699-7A6AB37DB385}">
    <text>Jeffries interval calculated in R. Uses quantiles from a Beta distribution.</text>
  </threadedComment>
  <threadedComment ref="E12" dT="2021-01-21T00:11:16.46" personId="{B4FD2B70-53C2-4775-86B7-4A9676347062}" id="{D552E470-7C1F-430B-A4B3-6964C9FE0E34}">
    <text>Inflated due to small sample size. Could correct by substituting similar species in this depth bin (Haggerty 2019). There's a bunch of quilback data in Hochhalter 2012.</text>
  </threadedComment>
  <threadedComment ref="E13" dT="2021-01-21T00:13:05.27" personId="{B4FD2B70-53C2-4775-86B7-4A9676347062}" id="{0E59DE5D-6467-4A72-894C-954B2D9486AC}">
    <text>Cannot calculate CI from this type of data using Jeffries interval. Will need to come up with another method if we go the 90% CI route.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8752-910B-4C00-8DF0-D02EF6ED3017}">
  <dimension ref="A2:M38"/>
  <sheetViews>
    <sheetView zoomScale="70" zoomScaleNormal="70" workbookViewId="0">
      <selection activeCell="O14" sqref="O14"/>
    </sheetView>
  </sheetViews>
  <sheetFormatPr defaultRowHeight="15" x14ac:dyDescent="0.25"/>
  <cols>
    <col min="1" max="1" width="11" customWidth="1"/>
    <col min="8" max="8" width="1.7109375" customWidth="1"/>
    <col min="18" max="18" width="129" customWidth="1"/>
  </cols>
  <sheetData>
    <row r="2" spans="1:13" x14ac:dyDescent="0.25">
      <c r="A2" s="1" t="s">
        <v>23</v>
      </c>
      <c r="B2" s="1"/>
      <c r="C2" s="1"/>
      <c r="D2" s="1"/>
      <c r="E2" s="1"/>
      <c r="F2" s="1"/>
      <c r="G2" s="1"/>
      <c r="H2" s="1"/>
      <c r="I2" s="1"/>
      <c r="J2" s="1"/>
      <c r="K2" s="1"/>
      <c r="L2" s="1"/>
      <c r="M2" s="1"/>
    </row>
    <row r="3" spans="1:13" x14ac:dyDescent="0.25">
      <c r="A3" s="3"/>
      <c r="B3" s="3"/>
      <c r="C3" s="228" t="s">
        <v>5</v>
      </c>
      <c r="D3" s="228"/>
      <c r="E3" s="228"/>
      <c r="F3" s="228"/>
      <c r="G3" s="228"/>
      <c r="H3" s="4"/>
      <c r="I3" s="228" t="s">
        <v>6</v>
      </c>
      <c r="J3" s="228"/>
      <c r="K3" s="228"/>
      <c r="L3" s="228"/>
      <c r="M3" s="228"/>
    </row>
    <row r="4" spans="1:13" x14ac:dyDescent="0.25">
      <c r="A4" s="6"/>
      <c r="B4" s="6"/>
      <c r="C4" s="10" t="s">
        <v>1</v>
      </c>
      <c r="D4" s="10" t="s">
        <v>2</v>
      </c>
      <c r="E4" s="10" t="s">
        <v>10</v>
      </c>
      <c r="F4" s="10" t="s">
        <v>11</v>
      </c>
      <c r="G4" s="10" t="s">
        <v>9</v>
      </c>
      <c r="H4" s="2"/>
      <c r="I4" s="10" t="s">
        <v>1</v>
      </c>
      <c r="J4" s="10" t="s">
        <v>2</v>
      </c>
      <c r="K4" s="10" t="s">
        <v>10</v>
      </c>
      <c r="L4" s="10" t="s">
        <v>11</v>
      </c>
      <c r="M4" s="10" t="s">
        <v>9</v>
      </c>
    </row>
    <row r="5" spans="1:13" x14ac:dyDescent="0.25">
      <c r="A5" s="229" t="s">
        <v>7</v>
      </c>
      <c r="B5" s="1" t="s">
        <v>3</v>
      </c>
      <c r="C5" s="11">
        <v>0.14249999999999999</v>
      </c>
      <c r="D5" s="11">
        <v>0.1479</v>
      </c>
      <c r="E5" s="11">
        <v>0.13880000000000001</v>
      </c>
      <c r="F5" s="11">
        <v>0.15379999999999999</v>
      </c>
      <c r="G5" s="11">
        <v>0.18090000000000001</v>
      </c>
      <c r="H5" s="11"/>
      <c r="I5" s="12">
        <v>0.04</v>
      </c>
      <c r="J5" s="11">
        <v>0.106</v>
      </c>
      <c r="K5" s="11">
        <v>0.19070000000000001</v>
      </c>
      <c r="L5" s="11">
        <v>0.15440000000000001</v>
      </c>
      <c r="M5" s="12">
        <v>5.6000000000000001E-2</v>
      </c>
    </row>
    <row r="6" spans="1:13" x14ac:dyDescent="0.25">
      <c r="A6" s="229"/>
      <c r="B6" s="9" t="s">
        <v>4</v>
      </c>
      <c r="C6" s="13">
        <v>0.13200000000000001</v>
      </c>
      <c r="D6" s="13">
        <v>0.14710000000000001</v>
      </c>
      <c r="E6" s="13">
        <v>0.16300000000000001</v>
      </c>
      <c r="F6" s="13">
        <v>0.12889999999999999</v>
      </c>
      <c r="G6" s="13">
        <v>0.1782</v>
      </c>
      <c r="H6" s="13"/>
      <c r="I6" s="14">
        <v>0.11</v>
      </c>
      <c r="J6" s="13">
        <v>0.14940000000000001</v>
      </c>
      <c r="K6" s="13">
        <v>0.14560000000000001</v>
      </c>
      <c r="L6" s="13">
        <v>0.16619999999999999</v>
      </c>
      <c r="M6" s="13">
        <v>9.9099999999999994E-2</v>
      </c>
    </row>
    <row r="7" spans="1:13" x14ac:dyDescent="0.25">
      <c r="A7" s="230" t="s">
        <v>8</v>
      </c>
      <c r="B7" s="1" t="s">
        <v>3</v>
      </c>
      <c r="C7" s="12">
        <v>0.9</v>
      </c>
      <c r="D7" s="11">
        <v>0.76</v>
      </c>
      <c r="E7" s="12">
        <v>0.72860000000000003</v>
      </c>
      <c r="F7" s="12">
        <v>0.78680000000000005</v>
      </c>
      <c r="G7" s="12">
        <v>0.9</v>
      </c>
      <c r="H7" s="11"/>
      <c r="I7" s="12">
        <v>0.01</v>
      </c>
      <c r="J7" s="11">
        <v>9.0800000000000006E-2</v>
      </c>
      <c r="K7" s="12">
        <v>0.124</v>
      </c>
      <c r="L7" s="11">
        <v>5.0299999999999997E-2</v>
      </c>
      <c r="M7" s="12">
        <v>0.01</v>
      </c>
    </row>
    <row r="8" spans="1:13" x14ac:dyDescent="0.25">
      <c r="A8" s="231"/>
      <c r="B8" s="6" t="s">
        <v>4</v>
      </c>
      <c r="C8" s="15">
        <v>0.9</v>
      </c>
      <c r="D8" s="16">
        <v>0.80249999999999999</v>
      </c>
      <c r="E8" s="16">
        <v>0.72899999999999998</v>
      </c>
      <c r="F8" s="15">
        <v>0.92500000000000004</v>
      </c>
      <c r="G8" s="15">
        <v>0.8125</v>
      </c>
      <c r="H8" s="16"/>
      <c r="I8" s="15">
        <v>0.5</v>
      </c>
      <c r="J8" s="16">
        <v>0.1148</v>
      </c>
      <c r="K8" s="16">
        <v>0.10100000000000001</v>
      </c>
      <c r="L8" s="16">
        <v>8.4099999999999994E-2</v>
      </c>
      <c r="M8" s="15">
        <v>6.4299999999999996E-2</v>
      </c>
    </row>
    <row r="9" spans="1:13" x14ac:dyDescent="0.25">
      <c r="A9" s="18" t="s">
        <v>24</v>
      </c>
      <c r="B9" s="18"/>
      <c r="C9" s="18"/>
      <c r="D9" s="18"/>
      <c r="E9" s="18"/>
      <c r="F9" s="18"/>
      <c r="G9" s="18"/>
      <c r="H9" s="18"/>
      <c r="I9" s="18"/>
      <c r="J9" s="18"/>
      <c r="K9" s="18"/>
      <c r="L9" s="18"/>
      <c r="M9" s="18"/>
    </row>
    <row r="10" spans="1:13" ht="15" customHeight="1" x14ac:dyDescent="0.25">
      <c r="A10" s="18" t="s">
        <v>22</v>
      </c>
      <c r="B10" s="18"/>
      <c r="C10" s="18"/>
      <c r="D10" s="18"/>
      <c r="E10" s="18"/>
      <c r="F10" s="18"/>
      <c r="G10" s="18"/>
      <c r="H10" s="18"/>
      <c r="I10" s="18"/>
      <c r="J10" s="18"/>
      <c r="K10" s="18"/>
      <c r="L10" s="18"/>
      <c r="M10" s="18"/>
    </row>
    <row r="11" spans="1:13" ht="15" customHeight="1" x14ac:dyDescent="0.25">
      <c r="A11" s="21" t="s">
        <v>32</v>
      </c>
    </row>
    <row r="12" spans="1:13" ht="16.5" x14ac:dyDescent="0.35">
      <c r="A12" s="228" t="s">
        <v>12</v>
      </c>
      <c r="B12" s="228"/>
      <c r="C12" s="228"/>
      <c r="D12" s="228"/>
      <c r="E12" s="228"/>
      <c r="F12" s="228"/>
    </row>
    <row r="13" spans="1:13" x14ac:dyDescent="0.25">
      <c r="A13" s="5" t="s">
        <v>13</v>
      </c>
      <c r="B13" s="5" t="s">
        <v>14</v>
      </c>
      <c r="C13" s="5" t="s">
        <v>15</v>
      </c>
      <c r="D13" s="5" t="s">
        <v>16</v>
      </c>
      <c r="E13" s="17" t="s">
        <v>17</v>
      </c>
      <c r="F13" s="5" t="s">
        <v>18</v>
      </c>
    </row>
    <row r="14" spans="1:13" x14ac:dyDescent="0.25">
      <c r="A14" s="22" t="s">
        <v>19</v>
      </c>
      <c r="B14" s="22" t="s">
        <v>0</v>
      </c>
      <c r="C14" s="23">
        <v>0.11</v>
      </c>
      <c r="D14" s="23">
        <v>0.2</v>
      </c>
      <c r="E14" s="23">
        <v>0.28999999999999998</v>
      </c>
      <c r="F14" s="23">
        <v>0.63</v>
      </c>
      <c r="G14" s="20" t="s">
        <v>31</v>
      </c>
    </row>
    <row r="15" spans="1:13" x14ac:dyDescent="0.25">
      <c r="A15" s="1"/>
      <c r="B15" s="1" t="s">
        <v>20</v>
      </c>
      <c r="C15" s="7">
        <v>0.02</v>
      </c>
      <c r="D15" s="7">
        <v>0.04</v>
      </c>
      <c r="E15" s="7">
        <v>0.2</v>
      </c>
      <c r="F15" s="7">
        <v>0.5</v>
      </c>
    </row>
    <row r="16" spans="1:13" x14ac:dyDescent="0.25">
      <c r="A16" s="1"/>
      <c r="B16" s="1"/>
      <c r="C16" s="1"/>
      <c r="D16" s="1"/>
      <c r="E16" s="7"/>
      <c r="F16" s="1"/>
    </row>
    <row r="17" spans="1:13" x14ac:dyDescent="0.25">
      <c r="A17" s="22" t="s">
        <v>21</v>
      </c>
      <c r="B17" s="22" t="s">
        <v>0</v>
      </c>
      <c r="C17" s="23">
        <v>0.2</v>
      </c>
      <c r="D17" s="23">
        <v>0.9</v>
      </c>
      <c r="E17" s="23">
        <v>0.9</v>
      </c>
      <c r="F17" s="23">
        <v>1</v>
      </c>
      <c r="L17" t="s">
        <v>142</v>
      </c>
    </row>
    <row r="18" spans="1:13" x14ac:dyDescent="0.25">
      <c r="A18" s="6"/>
      <c r="B18" s="6" t="s">
        <v>20</v>
      </c>
      <c r="C18" s="8">
        <v>0.01</v>
      </c>
      <c r="D18" s="8">
        <v>0.01</v>
      </c>
      <c r="E18" s="8">
        <v>0.01</v>
      </c>
      <c r="F18" s="8">
        <v>0.2</v>
      </c>
      <c r="M18" s="20"/>
    </row>
    <row r="21" spans="1:13" x14ac:dyDescent="0.25">
      <c r="A21" s="21" t="s">
        <v>33</v>
      </c>
      <c r="B21" s="20" t="s">
        <v>105</v>
      </c>
      <c r="C21" s="20" t="s">
        <v>143</v>
      </c>
      <c r="D21" s="20"/>
    </row>
    <row r="22" spans="1:13" ht="16.5" x14ac:dyDescent="0.35">
      <c r="A22" s="228" t="s">
        <v>12</v>
      </c>
      <c r="B22" s="228"/>
      <c r="C22" s="228"/>
      <c r="D22" s="228"/>
      <c r="E22" s="228"/>
      <c r="F22" s="228"/>
      <c r="I22" t="s">
        <v>47</v>
      </c>
      <c r="J22" t="s">
        <v>107</v>
      </c>
      <c r="K22" t="s">
        <v>108</v>
      </c>
      <c r="L22" t="s">
        <v>109</v>
      </c>
    </row>
    <row r="23" spans="1:13" x14ac:dyDescent="0.25">
      <c r="A23" s="5" t="s">
        <v>13</v>
      </c>
      <c r="B23" s="5" t="s">
        <v>14</v>
      </c>
      <c r="C23" s="5" t="s">
        <v>15</v>
      </c>
      <c r="D23" s="5" t="s">
        <v>16</v>
      </c>
      <c r="E23" s="17" t="s">
        <v>17</v>
      </c>
      <c r="F23" s="5" t="s">
        <v>18</v>
      </c>
      <c r="I23">
        <f>59/3</f>
        <v>19.666666666666668</v>
      </c>
      <c r="J23">
        <f>119/3</f>
        <v>39.666666666666664</v>
      </c>
      <c r="K23">
        <f>179/3</f>
        <v>59.666666666666664</v>
      </c>
    </row>
    <row r="24" spans="1:13" x14ac:dyDescent="0.25">
      <c r="A24" s="1" t="s">
        <v>19</v>
      </c>
      <c r="B24" s="1" t="s">
        <v>0</v>
      </c>
      <c r="C24" s="19">
        <v>0</v>
      </c>
      <c r="D24" s="19">
        <v>0</v>
      </c>
      <c r="E24" s="19">
        <v>0.06</v>
      </c>
      <c r="F24" s="19" t="s">
        <v>30</v>
      </c>
    </row>
    <row r="25" spans="1:13" x14ac:dyDescent="0.25">
      <c r="A25" s="1"/>
      <c r="B25" s="1" t="s">
        <v>20</v>
      </c>
      <c r="C25" s="7">
        <v>0.02</v>
      </c>
      <c r="D25" s="7">
        <v>0.04</v>
      </c>
      <c r="E25" s="7">
        <v>0.2</v>
      </c>
      <c r="F25" s="7">
        <v>0.5</v>
      </c>
      <c r="G25" s="20" t="s">
        <v>29</v>
      </c>
      <c r="I25" t="s">
        <v>28</v>
      </c>
    </row>
    <row r="26" spans="1:13" x14ac:dyDescent="0.25">
      <c r="A26" s="1"/>
      <c r="B26" s="1"/>
      <c r="C26" s="1"/>
      <c r="D26" s="1"/>
      <c r="E26" s="7"/>
      <c r="F26" s="1"/>
    </row>
    <row r="27" spans="1:13" x14ac:dyDescent="0.25">
      <c r="A27" s="1" t="s">
        <v>21</v>
      </c>
      <c r="B27" s="1" t="s">
        <v>0</v>
      </c>
      <c r="C27" s="24" t="s">
        <v>38</v>
      </c>
      <c r="D27" s="7">
        <v>0.78</v>
      </c>
      <c r="E27" s="7">
        <v>0.78</v>
      </c>
      <c r="F27" s="7">
        <v>0.78</v>
      </c>
      <c r="G27" s="20" t="s">
        <v>34</v>
      </c>
      <c r="H27" s="20"/>
      <c r="I27" s="20"/>
      <c r="J27" s="20"/>
    </row>
    <row r="28" spans="1:13" x14ac:dyDescent="0.25">
      <c r="A28" s="6"/>
      <c r="B28" s="6" t="s">
        <v>20</v>
      </c>
      <c r="C28" s="8">
        <v>0.01</v>
      </c>
      <c r="D28" s="8">
        <v>0.01</v>
      </c>
      <c r="E28" s="8">
        <v>0.01</v>
      </c>
      <c r="F28" s="8">
        <v>0.2</v>
      </c>
    </row>
    <row r="31" spans="1:13" s="89" customFormat="1" x14ac:dyDescent="0.25"/>
    <row r="32" spans="1:13" s="89" customFormat="1" x14ac:dyDescent="0.25"/>
    <row r="33" s="89" customFormat="1" x14ac:dyDescent="0.25"/>
    <row r="34" s="89" customFormat="1" x14ac:dyDescent="0.25"/>
    <row r="35" s="89" customFormat="1" x14ac:dyDescent="0.25"/>
    <row r="37" ht="15.6" customHeight="1" x14ac:dyDescent="0.25"/>
    <row r="38" ht="15.6" customHeight="1" x14ac:dyDescent="0.25"/>
  </sheetData>
  <mergeCells count="6">
    <mergeCell ref="I3:M3"/>
    <mergeCell ref="A22:F22"/>
    <mergeCell ref="A5:A6"/>
    <mergeCell ref="A7:A8"/>
    <mergeCell ref="A12:F12"/>
    <mergeCell ref="C3:G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6BEC4-9097-4A47-94B8-E7B270ADEA1E}">
  <dimension ref="B6:R32"/>
  <sheetViews>
    <sheetView showGridLines="0" topLeftCell="B1" zoomScale="70" zoomScaleNormal="70" workbookViewId="0">
      <selection activeCell="E20" sqref="E20:F20"/>
    </sheetView>
  </sheetViews>
  <sheetFormatPr defaultRowHeight="15" x14ac:dyDescent="0.25"/>
  <cols>
    <col min="1" max="1" width="20.85546875" customWidth="1"/>
    <col min="2" max="2" width="24.28515625" customWidth="1"/>
    <col min="3" max="3" width="22.42578125" customWidth="1"/>
    <col min="4" max="4" width="12.42578125" customWidth="1"/>
    <col min="5" max="5" width="13.28515625" customWidth="1"/>
    <col min="6" max="6" width="13.85546875" customWidth="1"/>
    <col min="7" max="7" width="14.5703125" customWidth="1"/>
    <col min="8" max="8" width="8.85546875" customWidth="1"/>
    <col min="9" max="9" width="50" customWidth="1"/>
    <col min="10" max="10" width="89.42578125" customWidth="1"/>
    <col min="11" max="11" width="52.5703125" customWidth="1"/>
  </cols>
  <sheetData>
    <row r="6" spans="2:11" ht="42.6" customHeight="1" x14ac:dyDescent="0.3">
      <c r="B6" s="232" t="s">
        <v>53</v>
      </c>
      <c r="C6" s="232"/>
      <c r="D6" s="232"/>
      <c r="E6" s="232"/>
      <c r="F6" s="232"/>
      <c r="G6" s="232"/>
      <c r="H6" s="155"/>
      <c r="I6" s="67"/>
      <c r="J6" s="67"/>
    </row>
    <row r="7" spans="2:11" ht="42.6" customHeight="1" x14ac:dyDescent="0.25">
      <c r="B7" s="61" t="s">
        <v>13</v>
      </c>
      <c r="C7" s="62" t="s">
        <v>14</v>
      </c>
      <c r="D7" s="62" t="s">
        <v>15</v>
      </c>
      <c r="E7" s="62" t="s">
        <v>16</v>
      </c>
      <c r="F7" s="63" t="s">
        <v>17</v>
      </c>
      <c r="G7" s="62" t="s">
        <v>18</v>
      </c>
      <c r="H7" s="74" t="s">
        <v>157</v>
      </c>
      <c r="I7" s="82" t="s">
        <v>54</v>
      </c>
      <c r="J7" s="83" t="s">
        <v>103</v>
      </c>
    </row>
    <row r="8" spans="2:11" ht="42.6" customHeight="1" x14ac:dyDescent="0.25">
      <c r="B8" s="107" t="s">
        <v>19</v>
      </c>
      <c r="C8" s="94" t="s">
        <v>0</v>
      </c>
      <c r="D8" s="95">
        <v>0.11</v>
      </c>
      <c r="E8" s="95">
        <v>0.2</v>
      </c>
      <c r="F8" s="95">
        <v>0.28999999999999998</v>
      </c>
      <c r="G8" s="95">
        <v>0.63</v>
      </c>
      <c r="H8" s="95"/>
      <c r="I8" s="102" t="s">
        <v>55</v>
      </c>
      <c r="J8" s="185" t="s">
        <v>165</v>
      </c>
    </row>
    <row r="9" spans="2:11" ht="50.25" customHeight="1" x14ac:dyDescent="0.25">
      <c r="B9" s="66"/>
      <c r="C9" s="90" t="s">
        <v>20</v>
      </c>
      <c r="D9" s="91">
        <v>0.02</v>
      </c>
      <c r="E9" s="91">
        <v>0.04</v>
      </c>
      <c r="F9" s="91">
        <v>0.2</v>
      </c>
      <c r="G9" s="91">
        <v>0.5</v>
      </c>
      <c r="H9" s="91"/>
      <c r="I9" s="103" t="s">
        <v>57</v>
      </c>
      <c r="J9" s="183" t="s">
        <v>164</v>
      </c>
      <c r="K9" t="s">
        <v>158</v>
      </c>
    </row>
    <row r="10" spans="2:11" s="150" customFormat="1" ht="49.5" customHeight="1" x14ac:dyDescent="0.25">
      <c r="B10" s="66"/>
      <c r="C10" s="97" t="s">
        <v>0</v>
      </c>
      <c r="D10" s="98">
        <v>0</v>
      </c>
      <c r="E10" s="98">
        <f>(2+13)/(51+73)</f>
        <v>0.12096774193548387</v>
      </c>
      <c r="F10" s="98">
        <f>16/46</f>
        <v>0.34782608695652173</v>
      </c>
      <c r="G10" s="98">
        <v>0.8</v>
      </c>
      <c r="H10" s="98"/>
      <c r="I10" s="165" t="s">
        <v>152</v>
      </c>
      <c r="J10" s="67" t="s">
        <v>153</v>
      </c>
    </row>
    <row r="11" spans="2:11" ht="42.6" customHeight="1" x14ac:dyDescent="0.25">
      <c r="B11" s="168"/>
      <c r="C11" s="166" t="s">
        <v>154</v>
      </c>
      <c r="D11" s="166">
        <v>27</v>
      </c>
      <c r="E11" s="166">
        <v>124</v>
      </c>
      <c r="F11" s="166">
        <v>46</v>
      </c>
      <c r="G11" s="166" t="s">
        <v>155</v>
      </c>
      <c r="H11" s="166">
        <f>SUM(D11:G11)</f>
        <v>197</v>
      </c>
      <c r="I11" s="169"/>
      <c r="J11" s="170"/>
    </row>
    <row r="12" spans="2:11" ht="51.75" customHeight="1" x14ac:dyDescent="0.25">
      <c r="B12" s="66"/>
      <c r="C12" s="97" t="s">
        <v>0</v>
      </c>
      <c r="D12" s="100">
        <v>0</v>
      </c>
      <c r="E12" s="100">
        <v>0</v>
      </c>
      <c r="F12" s="100">
        <v>5.7000000000000002E-2</v>
      </c>
      <c r="G12" s="98" t="s">
        <v>56</v>
      </c>
      <c r="H12" s="98"/>
      <c r="I12" s="101" t="s">
        <v>110</v>
      </c>
      <c r="J12" s="184" t="s">
        <v>171</v>
      </c>
    </row>
    <row r="13" spans="2:11" ht="42.6" customHeight="1" x14ac:dyDescent="0.25">
      <c r="B13" s="84"/>
      <c r="C13" s="92" t="s">
        <v>20</v>
      </c>
      <c r="D13" s="93">
        <v>0</v>
      </c>
      <c r="E13" s="93">
        <f>3/(38+34)</f>
        <v>4.1666666666666664E-2</v>
      </c>
      <c r="F13" s="93">
        <f>(4+7)/(21+14)</f>
        <v>0.31428571428571428</v>
      </c>
      <c r="G13" s="93">
        <v>0.4</v>
      </c>
      <c r="H13" s="93"/>
      <c r="I13" s="165" t="s">
        <v>151</v>
      </c>
      <c r="J13" s="68"/>
    </row>
    <row r="14" spans="2:11" s="150" customFormat="1" ht="22.5" customHeight="1" x14ac:dyDescent="0.25">
      <c r="B14" s="171"/>
      <c r="C14" s="167" t="s">
        <v>154</v>
      </c>
      <c r="D14" s="167">
        <v>34</v>
      </c>
      <c r="E14" s="167">
        <f>38+34</f>
        <v>72</v>
      </c>
      <c r="F14" s="167">
        <f>21+14</f>
        <v>35</v>
      </c>
      <c r="G14" s="167" t="s">
        <v>156</v>
      </c>
      <c r="H14" s="167">
        <f>SUM(D14:G14)+3</f>
        <v>144</v>
      </c>
      <c r="I14" s="169"/>
      <c r="J14" s="172"/>
    </row>
    <row r="15" spans="2:11" ht="42.6" customHeight="1" x14ac:dyDescent="0.25">
      <c r="B15" s="84"/>
      <c r="C15" s="69"/>
      <c r="D15" s="76"/>
      <c r="E15" s="76"/>
      <c r="F15" s="76"/>
      <c r="G15" s="76"/>
      <c r="H15" s="161"/>
      <c r="I15" s="65"/>
      <c r="J15" s="68"/>
    </row>
    <row r="16" spans="2:11" ht="42.6" customHeight="1" x14ac:dyDescent="0.3">
      <c r="B16" s="232" t="s">
        <v>53</v>
      </c>
      <c r="C16" s="232"/>
      <c r="D16" s="232"/>
      <c r="E16" s="232"/>
      <c r="F16" s="232"/>
      <c r="G16" s="232"/>
      <c r="H16" s="162"/>
      <c r="I16" s="104"/>
      <c r="J16" s="75"/>
    </row>
    <row r="17" spans="2:18" ht="42.6" customHeight="1" x14ac:dyDescent="0.25">
      <c r="B17" s="105" t="s">
        <v>13</v>
      </c>
      <c r="C17" s="74" t="s">
        <v>14</v>
      </c>
      <c r="D17" s="74" t="s">
        <v>15</v>
      </c>
      <c r="E17" s="74" t="s">
        <v>16</v>
      </c>
      <c r="F17" s="106" t="s">
        <v>17</v>
      </c>
      <c r="G17" s="74" t="s">
        <v>18</v>
      </c>
      <c r="H17" s="74"/>
      <c r="I17" s="82" t="s">
        <v>54</v>
      </c>
      <c r="J17" s="68"/>
    </row>
    <row r="18" spans="2:18" ht="42.6" customHeight="1" x14ac:dyDescent="0.25">
      <c r="B18" s="108" t="s">
        <v>21</v>
      </c>
      <c r="C18" s="94" t="s">
        <v>0</v>
      </c>
      <c r="D18" s="109">
        <v>0.2</v>
      </c>
      <c r="E18" s="109">
        <v>0.9</v>
      </c>
      <c r="F18" s="110">
        <v>0.9</v>
      </c>
      <c r="G18" s="109">
        <v>1</v>
      </c>
      <c r="H18" s="109"/>
      <c r="I18" s="96" t="s">
        <v>55</v>
      </c>
      <c r="J18" s="94" t="s">
        <v>147</v>
      </c>
    </row>
    <row r="19" spans="2:18" ht="42.6" customHeight="1" x14ac:dyDescent="0.25">
      <c r="B19" s="156"/>
      <c r="C19" s="164" t="s">
        <v>0</v>
      </c>
      <c r="D19" s="109">
        <v>0.22</v>
      </c>
      <c r="E19" s="109">
        <v>0.39</v>
      </c>
      <c r="F19" s="111">
        <v>0.56000000000000005</v>
      </c>
      <c r="G19" s="109">
        <v>1</v>
      </c>
      <c r="H19" s="109"/>
      <c r="I19" s="96" t="s">
        <v>148</v>
      </c>
      <c r="J19" s="94" t="s">
        <v>161</v>
      </c>
    </row>
    <row r="20" spans="2:18" ht="56.1" customHeight="1" x14ac:dyDescent="0.25">
      <c r="B20" s="74"/>
      <c r="C20" s="163" t="s">
        <v>0</v>
      </c>
      <c r="D20" s="110">
        <v>0</v>
      </c>
      <c r="E20" s="110">
        <v>0.7</v>
      </c>
      <c r="F20" s="111">
        <v>0.94</v>
      </c>
      <c r="G20" s="110">
        <v>1</v>
      </c>
      <c r="H20" s="110"/>
      <c r="I20" s="99" t="s">
        <v>104</v>
      </c>
      <c r="J20" s="99" t="s">
        <v>100</v>
      </c>
      <c r="K20" s="81" t="s">
        <v>180</v>
      </c>
    </row>
    <row r="21" spans="2:18" ht="47.25" customHeight="1" x14ac:dyDescent="0.25">
      <c r="B21" s="74"/>
      <c r="C21" s="112" t="s">
        <v>0</v>
      </c>
      <c r="D21" s="111" t="s">
        <v>56</v>
      </c>
      <c r="E21" s="111">
        <v>0</v>
      </c>
      <c r="F21" s="111" t="s">
        <v>56</v>
      </c>
      <c r="G21" s="111" t="s">
        <v>56</v>
      </c>
      <c r="H21" s="111"/>
      <c r="I21" s="113" t="s">
        <v>111</v>
      </c>
      <c r="J21" s="113" t="s">
        <v>112</v>
      </c>
    </row>
    <row r="22" spans="2:18" ht="47.25" customHeight="1" x14ac:dyDescent="0.25">
      <c r="B22" s="74"/>
      <c r="C22" s="97" t="s">
        <v>0</v>
      </c>
      <c r="D22" s="97" t="s">
        <v>56</v>
      </c>
      <c r="E22" s="97" t="s">
        <v>56</v>
      </c>
      <c r="F22" s="97" t="s">
        <v>56</v>
      </c>
      <c r="G22" s="97" t="s">
        <v>56</v>
      </c>
      <c r="H22" s="97"/>
      <c r="I22" s="99" t="s">
        <v>113</v>
      </c>
      <c r="J22" s="113" t="s">
        <v>114</v>
      </c>
    </row>
    <row r="23" spans="2:18" ht="120.75" customHeight="1" x14ac:dyDescent="0.25">
      <c r="B23" s="73"/>
      <c r="C23" s="174" t="s">
        <v>20</v>
      </c>
      <c r="D23" s="77">
        <v>0.01</v>
      </c>
      <c r="E23" s="77">
        <v>0.01</v>
      </c>
      <c r="F23" s="77">
        <v>0.01</v>
      </c>
      <c r="G23" s="77">
        <v>0.2</v>
      </c>
      <c r="H23" s="77"/>
      <c r="I23" s="175" t="s">
        <v>159</v>
      </c>
      <c r="J23" s="80" t="s">
        <v>160</v>
      </c>
    </row>
    <row r="24" spans="2:18" ht="70.5" customHeight="1" x14ac:dyDescent="0.25">
      <c r="B24" s="67"/>
      <c r="C24" s="71" t="s">
        <v>20</v>
      </c>
      <c r="D24" s="85" t="s">
        <v>56</v>
      </c>
      <c r="E24" s="133"/>
      <c r="F24" s="86"/>
      <c r="G24" s="87"/>
      <c r="H24" s="87"/>
      <c r="I24" s="79" t="s">
        <v>102</v>
      </c>
      <c r="J24" s="79" t="s">
        <v>58</v>
      </c>
      <c r="K24" s="89"/>
      <c r="L24" s="89"/>
      <c r="M24" s="89"/>
      <c r="N24" s="89"/>
    </row>
    <row r="25" spans="2:18" ht="70.5" customHeight="1" x14ac:dyDescent="0.25">
      <c r="B25" s="67"/>
      <c r="C25" s="71" t="s">
        <v>20</v>
      </c>
      <c r="D25" s="157">
        <v>0.2</v>
      </c>
      <c r="E25" s="158">
        <v>0.2</v>
      </c>
      <c r="F25" s="159">
        <v>0.2</v>
      </c>
      <c r="G25" s="160">
        <v>0.2</v>
      </c>
      <c r="H25" s="160"/>
      <c r="I25" s="81" t="s">
        <v>148</v>
      </c>
      <c r="J25" s="81" t="s">
        <v>149</v>
      </c>
      <c r="K25" s="89"/>
      <c r="L25" s="89"/>
      <c r="M25" s="89"/>
      <c r="N25" s="89"/>
    </row>
    <row r="26" spans="2:18" ht="47.25" x14ac:dyDescent="0.25">
      <c r="B26" s="67"/>
      <c r="C26" s="67" t="s">
        <v>20</v>
      </c>
      <c r="D26" s="78">
        <v>0</v>
      </c>
      <c r="E26" s="78">
        <v>0</v>
      </c>
      <c r="F26" s="78">
        <v>0</v>
      </c>
      <c r="G26" s="78">
        <v>0</v>
      </c>
      <c r="H26" s="78"/>
      <c r="I26" s="79" t="s">
        <v>101</v>
      </c>
      <c r="J26" s="79" t="s">
        <v>150</v>
      </c>
    </row>
    <row r="27" spans="2:18" ht="63.95" customHeight="1" x14ac:dyDescent="0.25">
      <c r="B27" s="67"/>
      <c r="C27" s="71" t="s">
        <v>20</v>
      </c>
      <c r="D27" s="64">
        <v>0</v>
      </c>
      <c r="E27" s="67">
        <v>0</v>
      </c>
      <c r="F27" s="77">
        <v>0</v>
      </c>
      <c r="G27" s="64">
        <v>0</v>
      </c>
      <c r="H27" s="64"/>
      <c r="I27" s="79" t="s">
        <v>93</v>
      </c>
      <c r="J27" s="72" t="s">
        <v>92</v>
      </c>
      <c r="R27" s="60"/>
    </row>
    <row r="28" spans="2:18" ht="42.6" customHeight="1" x14ac:dyDescent="0.25">
      <c r="B28" s="70"/>
      <c r="J28" s="70"/>
    </row>
    <row r="29" spans="2:18" ht="48.6" customHeight="1" x14ac:dyDescent="0.25">
      <c r="B29" s="88"/>
      <c r="C29" s="88"/>
      <c r="D29" s="88"/>
      <c r="E29" s="88"/>
      <c r="F29" s="88"/>
      <c r="G29" s="88"/>
      <c r="H29" s="88"/>
      <c r="I29" s="88"/>
      <c r="J29" s="88"/>
    </row>
    <row r="30" spans="2:18" ht="51.75" customHeight="1" x14ac:dyDescent="0.25">
      <c r="B30" s="88"/>
      <c r="C30" s="88"/>
      <c r="D30" s="88"/>
      <c r="E30" s="88"/>
      <c r="F30" s="88"/>
      <c r="G30" s="88"/>
      <c r="H30" s="88"/>
      <c r="I30" s="88"/>
      <c r="J30" s="88"/>
    </row>
    <row r="31" spans="2:18" ht="56.1" customHeight="1" x14ac:dyDescent="0.25">
      <c r="B31" s="88"/>
      <c r="C31" s="88"/>
      <c r="D31" s="88"/>
      <c r="E31" s="88"/>
      <c r="F31" s="88"/>
      <c r="G31" s="88"/>
      <c r="H31" s="88"/>
      <c r="I31" s="88"/>
      <c r="J31" s="88"/>
    </row>
    <row r="32" spans="2:18" x14ac:dyDescent="0.25">
      <c r="B32" s="88"/>
      <c r="C32" s="88"/>
      <c r="D32" s="88"/>
      <c r="E32" s="88"/>
      <c r="F32" s="88"/>
      <c r="G32" s="88"/>
      <c r="H32" s="88"/>
      <c r="I32" s="88"/>
      <c r="J32" s="88"/>
    </row>
  </sheetData>
  <mergeCells count="2">
    <mergeCell ref="B6:G6"/>
    <mergeCell ref="B16:G1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3F65-7A6F-4713-9EDA-87101CE3007F}">
  <dimension ref="B4:AB19"/>
  <sheetViews>
    <sheetView showGridLines="0" tabSelected="1" topLeftCell="V1" zoomScale="70" zoomScaleNormal="70" workbookViewId="0">
      <selection activeCell="Y14" sqref="Y14"/>
    </sheetView>
  </sheetViews>
  <sheetFormatPr defaultRowHeight="15" x14ac:dyDescent="0.25"/>
  <cols>
    <col min="1" max="1" width="20.85546875" customWidth="1"/>
    <col min="2" max="2" width="24.28515625" customWidth="1"/>
    <col min="3" max="3" width="22.42578125" customWidth="1"/>
    <col min="4" max="11" width="10.7109375" customWidth="1"/>
    <col min="12" max="12" width="50" customWidth="1"/>
    <col min="13" max="13" width="89.42578125" customWidth="1"/>
    <col min="14" max="14" width="20.7109375" customWidth="1"/>
    <col min="17" max="17" width="3.5703125" customWidth="1"/>
    <col min="21" max="21" width="28.42578125" customWidth="1"/>
    <col min="22" max="22" width="22.42578125" customWidth="1"/>
    <col min="23" max="26" width="10.7109375" customWidth="1"/>
    <col min="27" max="27" width="47" customWidth="1"/>
    <col min="28" max="28" width="89.42578125" customWidth="1"/>
  </cols>
  <sheetData>
    <row r="4" spans="2:28" x14ac:dyDescent="0.25">
      <c r="U4" t="s">
        <v>182</v>
      </c>
    </row>
    <row r="6" spans="2:28" ht="42.6" customHeight="1" x14ac:dyDescent="0.3">
      <c r="B6" s="232" t="s">
        <v>53</v>
      </c>
      <c r="C6" s="232"/>
      <c r="D6" s="232"/>
      <c r="E6" s="232"/>
      <c r="F6" s="232"/>
      <c r="G6" s="232"/>
      <c r="H6" s="232"/>
      <c r="I6" s="232"/>
      <c r="J6" s="232"/>
      <c r="K6" s="173"/>
      <c r="L6" s="67"/>
      <c r="M6" s="67"/>
      <c r="U6" s="233" t="s">
        <v>53</v>
      </c>
      <c r="V6" s="233"/>
      <c r="W6" s="233"/>
      <c r="X6" s="233"/>
      <c r="Y6" s="233"/>
      <c r="Z6" s="233"/>
      <c r="AA6" s="207"/>
      <c r="AB6" s="207"/>
    </row>
    <row r="7" spans="2:28" ht="47.25" customHeight="1" x14ac:dyDescent="0.3">
      <c r="B7" s="61" t="s">
        <v>13</v>
      </c>
      <c r="C7" s="62" t="s">
        <v>14</v>
      </c>
      <c r="D7" s="62" t="s">
        <v>15</v>
      </c>
      <c r="E7" s="199" t="s">
        <v>169</v>
      </c>
      <c r="F7" s="62" t="s">
        <v>16</v>
      </c>
      <c r="G7" s="199" t="s">
        <v>169</v>
      </c>
      <c r="H7" s="63" t="s">
        <v>17</v>
      </c>
      <c r="I7" s="199" t="s">
        <v>169</v>
      </c>
      <c r="J7" s="62" t="s">
        <v>18</v>
      </c>
      <c r="K7" s="199" t="s">
        <v>169</v>
      </c>
      <c r="L7" s="82" t="s">
        <v>54</v>
      </c>
      <c r="M7" s="83" t="s">
        <v>103</v>
      </c>
      <c r="U7" s="208" t="s">
        <v>183</v>
      </c>
      <c r="V7" s="209" t="s">
        <v>14</v>
      </c>
      <c r="W7" s="209" t="s">
        <v>15</v>
      </c>
      <c r="X7" s="209" t="s">
        <v>16</v>
      </c>
      <c r="Y7" s="210" t="s">
        <v>17</v>
      </c>
      <c r="Z7" s="209" t="s">
        <v>18</v>
      </c>
      <c r="AA7" s="211" t="s">
        <v>54</v>
      </c>
      <c r="AB7" s="212" t="s">
        <v>188</v>
      </c>
    </row>
    <row r="8" spans="2:28" s="150" customFormat="1" ht="49.5" customHeight="1" x14ac:dyDescent="0.3">
      <c r="B8" s="107" t="s">
        <v>19</v>
      </c>
      <c r="C8" s="193" t="s">
        <v>0</v>
      </c>
      <c r="D8" s="157">
        <v>0</v>
      </c>
      <c r="E8" s="200">
        <v>6.8052429999999997E-2</v>
      </c>
      <c r="F8" s="157">
        <f>(2+13)/(51+73)</f>
        <v>0.12096774193548387</v>
      </c>
      <c r="G8" s="197">
        <v>0.17599999999999999</v>
      </c>
      <c r="H8" s="157">
        <f>(16)/(46)</f>
        <v>0.34782608695652173</v>
      </c>
      <c r="I8" s="197">
        <v>0.46800000000000003</v>
      </c>
      <c r="J8" s="157">
        <v>0.8</v>
      </c>
      <c r="K8" s="198" t="s">
        <v>56</v>
      </c>
      <c r="L8" s="194" t="s">
        <v>166</v>
      </c>
      <c r="M8" s="81" t="s">
        <v>181</v>
      </c>
      <c r="U8" s="107" t="s">
        <v>7</v>
      </c>
      <c r="V8" s="213" t="s">
        <v>0</v>
      </c>
      <c r="W8" s="214">
        <v>0</v>
      </c>
      <c r="X8" s="214">
        <f>(2+13)/(51+73)</f>
        <v>0.12096774193548387</v>
      </c>
      <c r="Y8" s="214">
        <f>(16)/(46)</f>
        <v>0.34782608695652173</v>
      </c>
      <c r="Z8" s="214">
        <v>0.8</v>
      </c>
      <c r="AA8" s="215" t="s">
        <v>184</v>
      </c>
      <c r="AB8" s="215" t="s">
        <v>191</v>
      </c>
    </row>
    <row r="9" spans="2:28" ht="42.6" customHeight="1" x14ac:dyDescent="0.3">
      <c r="B9" s="84"/>
      <c r="C9" s="186" t="s">
        <v>20</v>
      </c>
      <c r="D9" s="187">
        <v>0</v>
      </c>
      <c r="E9" s="196">
        <v>5.4532990000000003E-2</v>
      </c>
      <c r="F9" s="187">
        <f>3/(38+34)</f>
        <v>4.1666666666666664E-2</v>
      </c>
      <c r="G9" s="196">
        <v>9.4654180000000004E-2</v>
      </c>
      <c r="H9" s="187">
        <f>(4+7)/(21+14)</f>
        <v>0.31428571428571428</v>
      </c>
      <c r="I9" s="196">
        <v>0.45127030000000001</v>
      </c>
      <c r="J9" s="187">
        <v>0.4</v>
      </c>
      <c r="K9" s="196" t="s">
        <v>56</v>
      </c>
      <c r="L9" s="188" t="s">
        <v>167</v>
      </c>
      <c r="M9" s="195" t="s">
        <v>168</v>
      </c>
      <c r="U9" s="216"/>
      <c r="V9" s="217" t="s">
        <v>20</v>
      </c>
      <c r="W9" s="218">
        <v>0</v>
      </c>
      <c r="X9" s="218">
        <f>3/(38+34)</f>
        <v>4.1666666666666664E-2</v>
      </c>
      <c r="Y9" s="218">
        <f>(4+7)/(21+14)</f>
        <v>0.31428571428571428</v>
      </c>
      <c r="Z9" s="218">
        <v>0.4</v>
      </c>
      <c r="AA9" s="219" t="s">
        <v>185</v>
      </c>
      <c r="AB9" s="219" t="s">
        <v>190</v>
      </c>
    </row>
    <row r="10" spans="2:28" s="89" customFormat="1" ht="42.6" customHeight="1" x14ac:dyDescent="0.3">
      <c r="B10" s="180"/>
      <c r="C10" s="180"/>
      <c r="D10" s="181"/>
      <c r="E10" s="181"/>
      <c r="F10" s="181"/>
      <c r="G10" s="181"/>
      <c r="H10" s="181"/>
      <c r="I10" s="181"/>
      <c r="J10" s="181"/>
      <c r="K10" s="181"/>
      <c r="L10" s="65"/>
      <c r="M10" s="182"/>
      <c r="U10" s="220"/>
      <c r="V10" s="220"/>
      <c r="W10" s="214"/>
      <c r="X10" s="214"/>
      <c r="Y10" s="214"/>
      <c r="Z10" s="214"/>
      <c r="AA10" s="221"/>
      <c r="AB10" s="222"/>
    </row>
    <row r="11" spans="2:28" ht="42.6" customHeight="1" x14ac:dyDescent="0.3">
      <c r="B11" s="105" t="s">
        <v>13</v>
      </c>
      <c r="C11" s="74" t="s">
        <v>14</v>
      </c>
      <c r="D11" s="105" t="s">
        <v>15</v>
      </c>
      <c r="E11" s="205" t="s">
        <v>169</v>
      </c>
      <c r="F11" s="105" t="s">
        <v>16</v>
      </c>
      <c r="G11" s="205" t="s">
        <v>169</v>
      </c>
      <c r="H11" s="202" t="s">
        <v>17</v>
      </c>
      <c r="I11" s="205" t="s">
        <v>169</v>
      </c>
      <c r="J11" s="105" t="s">
        <v>18</v>
      </c>
      <c r="K11" s="205" t="s">
        <v>169</v>
      </c>
      <c r="L11" s="82" t="s">
        <v>54</v>
      </c>
      <c r="M11" s="68"/>
      <c r="O11" s="178" t="s">
        <v>154</v>
      </c>
      <c r="P11" s="178" t="s">
        <v>163</v>
      </c>
      <c r="Q11" s="178"/>
      <c r="R11" s="178" t="s">
        <v>154</v>
      </c>
      <c r="S11" s="178" t="s">
        <v>163</v>
      </c>
      <c r="U11" s="108" t="s">
        <v>8</v>
      </c>
      <c r="V11" s="213" t="s">
        <v>0</v>
      </c>
      <c r="W11" s="223">
        <v>0</v>
      </c>
      <c r="X11" s="223">
        <v>0.7</v>
      </c>
      <c r="Y11" s="223">
        <v>0.94</v>
      </c>
      <c r="Z11" s="223">
        <v>1</v>
      </c>
      <c r="AA11" s="215" t="s">
        <v>186</v>
      </c>
      <c r="AB11" s="215" t="s">
        <v>180</v>
      </c>
    </row>
    <row r="12" spans="2:28" ht="164.25" customHeight="1" x14ac:dyDescent="0.3">
      <c r="B12" s="108" t="s">
        <v>21</v>
      </c>
      <c r="C12" s="193" t="s">
        <v>0</v>
      </c>
      <c r="D12" s="159">
        <v>0</v>
      </c>
      <c r="E12" s="206">
        <v>0.56999999999999995</v>
      </c>
      <c r="F12" s="159">
        <f>1-P16</f>
        <v>0.69660714285714276</v>
      </c>
      <c r="G12" s="206">
        <v>0.79</v>
      </c>
      <c r="H12" s="159">
        <f>1-S16</f>
        <v>0.93823529411764706</v>
      </c>
      <c r="I12" s="206">
        <v>1</v>
      </c>
      <c r="J12" s="159">
        <v>1</v>
      </c>
      <c r="K12" s="206">
        <v>1</v>
      </c>
      <c r="L12" s="81" t="s">
        <v>162</v>
      </c>
      <c r="M12" s="81" t="s">
        <v>180</v>
      </c>
      <c r="O12" s="178">
        <v>4</v>
      </c>
      <c r="P12" s="179">
        <f>4*0.75</f>
        <v>3</v>
      </c>
      <c r="Q12" s="178"/>
      <c r="R12" s="178">
        <v>21</v>
      </c>
      <c r="S12" s="178">
        <f>21*0.1</f>
        <v>2.1</v>
      </c>
      <c r="U12" s="177"/>
      <c r="V12" s="224" t="s">
        <v>20</v>
      </c>
      <c r="W12" s="225">
        <v>0.01</v>
      </c>
      <c r="X12" s="225">
        <v>0.01</v>
      </c>
      <c r="Y12" s="225">
        <v>0.01</v>
      </c>
      <c r="Z12" s="225">
        <v>0.2</v>
      </c>
      <c r="AA12" s="226" t="s">
        <v>187</v>
      </c>
      <c r="AB12" s="227" t="s">
        <v>189</v>
      </c>
    </row>
    <row r="13" spans="2:28" ht="117.75" customHeight="1" x14ac:dyDescent="0.25">
      <c r="B13" s="177"/>
      <c r="C13" s="189" t="s">
        <v>20</v>
      </c>
      <c r="D13" s="190">
        <v>0.01</v>
      </c>
      <c r="E13" s="190" t="s">
        <v>56</v>
      </c>
      <c r="F13" s="190">
        <v>0.01</v>
      </c>
      <c r="G13" s="190" t="s">
        <v>56</v>
      </c>
      <c r="H13" s="190">
        <v>0.01</v>
      </c>
      <c r="I13" s="190" t="s">
        <v>56</v>
      </c>
      <c r="J13" s="190">
        <v>0.2</v>
      </c>
      <c r="K13" s="190" t="s">
        <v>56</v>
      </c>
      <c r="L13" s="191" t="s">
        <v>159</v>
      </c>
      <c r="M13" s="192" t="s">
        <v>160</v>
      </c>
      <c r="O13" s="178">
        <v>6</v>
      </c>
      <c r="P13" s="179">
        <f>6*0.17</f>
        <v>1.02</v>
      </c>
      <c r="Q13" s="178"/>
      <c r="R13" s="178">
        <v>8</v>
      </c>
      <c r="S13" s="178">
        <f>8*0</f>
        <v>0</v>
      </c>
    </row>
    <row r="14" spans="2:28" ht="56.1" customHeight="1" x14ac:dyDescent="0.25">
      <c r="B14" s="84"/>
      <c r="M14" s="70"/>
      <c r="O14" s="178">
        <v>19</v>
      </c>
      <c r="P14" s="179">
        <f>19*0.37</f>
        <v>7.03</v>
      </c>
      <c r="Q14" s="178"/>
      <c r="R14" s="178">
        <v>5</v>
      </c>
      <c r="S14" s="178">
        <f>5*0</f>
        <v>0</v>
      </c>
    </row>
    <row r="15" spans="2:28" ht="33" customHeight="1" x14ac:dyDescent="0.25">
      <c r="B15" s="176"/>
      <c r="C15" s="88"/>
      <c r="D15" s="88"/>
      <c r="E15" s="88"/>
      <c r="F15" s="88"/>
      <c r="G15" s="88"/>
      <c r="H15" s="88"/>
      <c r="I15" s="88"/>
      <c r="J15" s="88"/>
      <c r="K15" s="88"/>
      <c r="L15" s="88"/>
      <c r="M15" s="88"/>
      <c r="O15" s="178">
        <v>27</v>
      </c>
      <c r="P15" s="179">
        <f>27*0.22</f>
        <v>5.94</v>
      </c>
      <c r="Q15" s="178"/>
      <c r="R15" s="178"/>
      <c r="S15" s="178"/>
    </row>
    <row r="16" spans="2:28" ht="42.6" customHeight="1" x14ac:dyDescent="0.25">
      <c r="B16" s="88"/>
      <c r="C16" s="88"/>
      <c r="D16" s="88"/>
      <c r="E16" s="88"/>
      <c r="F16" s="88"/>
      <c r="G16" s="88"/>
      <c r="H16" s="88"/>
      <c r="I16" s="88"/>
      <c r="J16" s="88"/>
      <c r="K16" s="88"/>
      <c r="L16" s="88"/>
      <c r="M16" s="88"/>
      <c r="O16" s="178"/>
      <c r="P16" s="178">
        <f>SUM(P12:Q15)/SUM(O12:O15)</f>
        <v>0.30339285714285719</v>
      </c>
      <c r="Q16" s="178"/>
      <c r="R16" s="178"/>
      <c r="S16" s="178">
        <f>SUM(S12:T15)/SUM(R12:R15)</f>
        <v>6.1764705882352944E-2</v>
      </c>
    </row>
    <row r="17" spans="2:13" ht="48.6" customHeight="1" x14ac:dyDescent="0.25">
      <c r="B17" s="88"/>
      <c r="C17" s="88"/>
      <c r="D17" s="88"/>
      <c r="E17" s="88"/>
      <c r="F17" s="88"/>
      <c r="G17" s="88"/>
      <c r="H17" s="88"/>
      <c r="I17" s="88"/>
      <c r="J17" s="88"/>
      <c r="K17" s="88"/>
      <c r="L17" s="88"/>
      <c r="M17" s="88"/>
    </row>
    <row r="18" spans="2:13" ht="51.75" customHeight="1" x14ac:dyDescent="0.25">
      <c r="B18" s="88"/>
      <c r="C18" s="88"/>
      <c r="D18" s="88"/>
      <c r="E18" s="88"/>
      <c r="F18" s="88"/>
      <c r="G18" s="88"/>
      <c r="H18" s="88"/>
      <c r="I18" s="88"/>
      <c r="J18" s="88"/>
      <c r="K18" s="88"/>
      <c r="L18" s="88"/>
      <c r="M18" s="88"/>
    </row>
    <row r="19" spans="2:13" ht="56.1" customHeight="1" x14ac:dyDescent="0.25">
      <c r="B19" s="88"/>
    </row>
  </sheetData>
  <mergeCells count="2">
    <mergeCell ref="B6:J6"/>
    <mergeCell ref="U6:Z6"/>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0C25-A32C-46FE-9336-701A77DC950B}">
  <dimension ref="C3:Q116"/>
  <sheetViews>
    <sheetView zoomScale="80" zoomScaleNormal="80" workbookViewId="0">
      <selection activeCell="U105" sqref="U105"/>
    </sheetView>
  </sheetViews>
  <sheetFormatPr defaultRowHeight="15" x14ac:dyDescent="0.25"/>
  <cols>
    <col min="3" max="3" width="21.42578125" customWidth="1"/>
    <col min="4" max="4" width="19.85546875" customWidth="1"/>
    <col min="5" max="5" width="17.42578125" customWidth="1"/>
    <col min="16" max="16" width="8.7109375" customWidth="1"/>
  </cols>
  <sheetData>
    <row r="3" spans="3:4" x14ac:dyDescent="0.25">
      <c r="C3" t="s">
        <v>78</v>
      </c>
      <c r="D3" t="s">
        <v>79</v>
      </c>
    </row>
    <row r="20" spans="3:4" x14ac:dyDescent="0.25">
      <c r="C20" t="s">
        <v>80</v>
      </c>
      <c r="D20" t="s">
        <v>81</v>
      </c>
    </row>
    <row r="35" spans="3:4" x14ac:dyDescent="0.25">
      <c r="C35" t="s">
        <v>82</v>
      </c>
      <c r="D35" t="s">
        <v>83</v>
      </c>
    </row>
    <row r="53" spans="3:4" x14ac:dyDescent="0.25">
      <c r="C53" t="s">
        <v>84</v>
      </c>
      <c r="D53" t="s">
        <v>85</v>
      </c>
    </row>
    <row r="68" spans="3:5" x14ac:dyDescent="0.25">
      <c r="C68" t="s">
        <v>88</v>
      </c>
      <c r="D68" t="s">
        <v>89</v>
      </c>
    </row>
    <row r="69" spans="3:5" x14ac:dyDescent="0.25">
      <c r="E69" t="s">
        <v>99</v>
      </c>
    </row>
    <row r="83" spans="3:17" x14ac:dyDescent="0.25">
      <c r="Q83" t="s">
        <v>98</v>
      </c>
    </row>
    <row r="84" spans="3:17" x14ac:dyDescent="0.25">
      <c r="Q84" t="s">
        <v>94</v>
      </c>
    </row>
    <row r="85" spans="3:17" x14ac:dyDescent="0.25">
      <c r="Q85" t="s">
        <v>95</v>
      </c>
    </row>
    <row r="86" spans="3:17" x14ac:dyDescent="0.25">
      <c r="Q86" t="s">
        <v>96</v>
      </c>
    </row>
    <row r="87" spans="3:17" x14ac:dyDescent="0.25">
      <c r="Q87" t="s">
        <v>97</v>
      </c>
    </row>
    <row r="88" spans="3:17" x14ac:dyDescent="0.25">
      <c r="Q88">
        <v>2010</v>
      </c>
    </row>
    <row r="92" spans="3:17" x14ac:dyDescent="0.25">
      <c r="C92" t="s">
        <v>90</v>
      </c>
      <c r="D92" t="s">
        <v>91</v>
      </c>
    </row>
    <row r="116" spans="3:4" x14ac:dyDescent="0.25">
      <c r="C116" t="s">
        <v>86</v>
      </c>
      <c r="D116" t="s">
        <v>87</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4FF6B-D9A5-42C1-9274-C50C846E8D85}">
  <dimension ref="B6:T50"/>
  <sheetViews>
    <sheetView zoomScale="80" zoomScaleNormal="80" workbookViewId="0">
      <selection activeCell="I39" sqref="I39"/>
    </sheetView>
  </sheetViews>
  <sheetFormatPr defaultRowHeight="15" x14ac:dyDescent="0.25"/>
  <cols>
    <col min="8" max="8" width="14.5703125" customWidth="1"/>
    <col min="9" max="9" width="11.5703125" customWidth="1"/>
    <col min="10" max="10" width="11.28515625" customWidth="1"/>
    <col min="11" max="11" width="14.42578125" customWidth="1"/>
  </cols>
  <sheetData>
    <row r="6" spans="2:20" x14ac:dyDescent="0.25">
      <c r="T6" t="s">
        <v>98</v>
      </c>
    </row>
    <row r="7" spans="2:20" x14ac:dyDescent="0.25">
      <c r="T7" t="s">
        <v>94</v>
      </c>
    </row>
    <row r="8" spans="2:20" x14ac:dyDescent="0.25">
      <c r="T8" t="s">
        <v>95</v>
      </c>
    </row>
    <row r="9" spans="2:20" x14ac:dyDescent="0.25">
      <c r="T9" t="s">
        <v>96</v>
      </c>
    </row>
    <row r="10" spans="2:20" x14ac:dyDescent="0.25">
      <c r="T10" t="s">
        <v>97</v>
      </c>
    </row>
    <row r="11" spans="2:20" ht="60" x14ac:dyDescent="0.25">
      <c r="C11" t="s">
        <v>132</v>
      </c>
      <c r="D11" s="115" t="s">
        <v>115</v>
      </c>
      <c r="E11" s="145" t="s">
        <v>139</v>
      </c>
      <c r="F11" s="115" t="s">
        <v>116</v>
      </c>
      <c r="G11" s="145" t="s">
        <v>139</v>
      </c>
      <c r="H11" s="115" t="s">
        <v>146</v>
      </c>
      <c r="I11" s="145" t="s">
        <v>139</v>
      </c>
      <c r="J11" s="146" t="s">
        <v>140</v>
      </c>
      <c r="K11" s="152" t="s">
        <v>141</v>
      </c>
      <c r="L11" s="154" t="s">
        <v>145</v>
      </c>
      <c r="T11">
        <v>2010</v>
      </c>
    </row>
    <row r="12" spans="2:20" ht="15.75" x14ac:dyDescent="0.25">
      <c r="B12" s="130" t="s">
        <v>15</v>
      </c>
      <c r="C12" s="118" t="s">
        <v>117</v>
      </c>
      <c r="D12" s="28">
        <v>0</v>
      </c>
      <c r="E12" s="117">
        <f>D12/145</f>
        <v>0</v>
      </c>
      <c r="F12" s="28">
        <v>0</v>
      </c>
      <c r="G12" s="117">
        <f>F12/37</f>
        <v>0</v>
      </c>
      <c r="H12" s="28">
        <v>0</v>
      </c>
      <c r="I12" s="117">
        <v>0</v>
      </c>
      <c r="J12" s="143"/>
      <c r="K12" t="s">
        <v>56</v>
      </c>
    </row>
    <row r="13" spans="2:20" x14ac:dyDescent="0.25">
      <c r="C13" s="119" t="s">
        <v>118</v>
      </c>
      <c r="D13" s="28">
        <v>0</v>
      </c>
      <c r="E13" s="117">
        <f t="shared" ref="E13:E26" si="0">D13/145</f>
        <v>0</v>
      </c>
      <c r="F13" s="28">
        <v>0</v>
      </c>
      <c r="G13" s="117">
        <f t="shared" ref="G13:G26" si="1">F13/37</f>
        <v>0</v>
      </c>
      <c r="H13" s="28">
        <v>0</v>
      </c>
      <c r="I13" s="117">
        <v>0</v>
      </c>
      <c r="J13" s="143"/>
      <c r="K13" t="s">
        <v>56</v>
      </c>
    </row>
    <row r="14" spans="2:20" x14ac:dyDescent="0.25">
      <c r="C14" s="118" t="s">
        <v>119</v>
      </c>
      <c r="D14" s="28">
        <v>0</v>
      </c>
      <c r="E14" s="117">
        <f t="shared" si="0"/>
        <v>0</v>
      </c>
      <c r="F14" s="28">
        <v>0</v>
      </c>
      <c r="G14" s="117">
        <f t="shared" si="1"/>
        <v>0</v>
      </c>
      <c r="H14" s="28">
        <v>0</v>
      </c>
      <c r="I14" s="117">
        <v>0</v>
      </c>
      <c r="J14" s="143"/>
      <c r="K14" t="s">
        <v>56</v>
      </c>
    </row>
    <row r="15" spans="2:20" x14ac:dyDescent="0.25">
      <c r="C15" s="121" t="s">
        <v>120</v>
      </c>
      <c r="D15" s="122">
        <v>0</v>
      </c>
      <c r="E15" s="123">
        <f t="shared" si="0"/>
        <v>0</v>
      </c>
      <c r="F15" s="122">
        <v>0</v>
      </c>
      <c r="G15" s="123">
        <f t="shared" si="1"/>
        <v>0</v>
      </c>
      <c r="H15" s="122">
        <v>2</v>
      </c>
      <c r="I15" s="123">
        <v>2.1052631578947368E-2</v>
      </c>
      <c r="J15" s="147">
        <v>100</v>
      </c>
      <c r="K15" s="148">
        <v>2</v>
      </c>
      <c r="L15" s="128">
        <f>SUM(K12:K15)/SUM(H12:H15)</f>
        <v>1</v>
      </c>
    </row>
    <row r="16" spans="2:20" ht="15.75" x14ac:dyDescent="0.25">
      <c r="B16" s="129" t="s">
        <v>16</v>
      </c>
      <c r="C16" s="118" t="s">
        <v>121</v>
      </c>
      <c r="D16" s="28">
        <v>4</v>
      </c>
      <c r="E16" s="117">
        <f t="shared" si="0"/>
        <v>2.7586206896551724E-2</v>
      </c>
      <c r="F16" s="28">
        <v>0</v>
      </c>
      <c r="G16" s="117">
        <f t="shared" si="1"/>
        <v>0</v>
      </c>
      <c r="H16" s="28">
        <v>4</v>
      </c>
      <c r="I16" s="117">
        <v>4.2105263157894736E-2</v>
      </c>
      <c r="J16" s="144">
        <v>75</v>
      </c>
      <c r="K16" s="149">
        <f>H16*0.75</f>
        <v>3</v>
      </c>
      <c r="L16" s="128"/>
    </row>
    <row r="17" spans="2:14" x14ac:dyDescent="0.25">
      <c r="C17" s="118" t="s">
        <v>122</v>
      </c>
      <c r="D17" s="28">
        <v>8</v>
      </c>
      <c r="E17" s="117">
        <f t="shared" si="0"/>
        <v>5.5172413793103448E-2</v>
      </c>
      <c r="F17" s="28">
        <v>3</v>
      </c>
      <c r="G17" s="117">
        <f t="shared" si="1"/>
        <v>8.1081081081081086E-2</v>
      </c>
      <c r="H17" s="28">
        <v>6</v>
      </c>
      <c r="I17" s="117">
        <v>6.3157894736842107E-2</v>
      </c>
      <c r="J17" s="144">
        <v>17</v>
      </c>
      <c r="K17" s="150">
        <f>H17*0.17</f>
        <v>1.02</v>
      </c>
      <c r="L17" s="128"/>
    </row>
    <row r="18" spans="2:14" x14ac:dyDescent="0.25">
      <c r="C18" s="118" t="s">
        <v>123</v>
      </c>
      <c r="D18" s="28">
        <v>27</v>
      </c>
      <c r="E18" s="117">
        <f t="shared" si="0"/>
        <v>0.18620689655172415</v>
      </c>
      <c r="F18" s="28">
        <v>10</v>
      </c>
      <c r="G18" s="117">
        <f t="shared" si="1"/>
        <v>0.27027027027027029</v>
      </c>
      <c r="H18" s="28">
        <v>19</v>
      </c>
      <c r="I18" s="117">
        <v>0.2</v>
      </c>
      <c r="J18" s="144">
        <v>37</v>
      </c>
      <c r="K18" s="150">
        <f>H18*0.37</f>
        <v>7.03</v>
      </c>
      <c r="L18" s="128"/>
    </row>
    <row r="19" spans="2:14" x14ac:dyDescent="0.25">
      <c r="C19" s="121" t="s">
        <v>124</v>
      </c>
      <c r="D19" s="122">
        <v>41</v>
      </c>
      <c r="E19" s="123">
        <f t="shared" si="0"/>
        <v>0.28275862068965518</v>
      </c>
      <c r="F19" s="122">
        <v>12</v>
      </c>
      <c r="G19" s="123">
        <f t="shared" si="1"/>
        <v>0.32432432432432434</v>
      </c>
      <c r="H19" s="122">
        <v>27</v>
      </c>
      <c r="I19" s="123">
        <v>0.28421052631578947</v>
      </c>
      <c r="J19" s="147">
        <v>22</v>
      </c>
      <c r="K19" s="151">
        <f>H19*0.22</f>
        <v>5.94</v>
      </c>
      <c r="L19" s="128">
        <f>SUM(K16:K19)/SUM(H16:H19)</f>
        <v>0.30339285714285719</v>
      </c>
    </row>
    <row r="20" spans="2:14" ht="15.75" x14ac:dyDescent="0.25">
      <c r="B20" s="131" t="s">
        <v>17</v>
      </c>
      <c r="C20" s="118" t="s">
        <v>125</v>
      </c>
      <c r="D20" s="28">
        <v>36</v>
      </c>
      <c r="E20" s="117">
        <f t="shared" si="0"/>
        <v>0.24827586206896551</v>
      </c>
      <c r="F20" s="28">
        <v>7</v>
      </c>
      <c r="G20" s="117">
        <f t="shared" si="1"/>
        <v>0.1891891891891892</v>
      </c>
      <c r="H20" s="28">
        <v>21</v>
      </c>
      <c r="I20" s="117">
        <v>0.22105263157894736</v>
      </c>
      <c r="J20" s="144">
        <v>10</v>
      </c>
      <c r="K20" s="150">
        <f>H20*0.1</f>
        <v>2.1</v>
      </c>
      <c r="L20" s="128"/>
    </row>
    <row r="21" spans="2:14" x14ac:dyDescent="0.25">
      <c r="C21" s="118" t="s">
        <v>126</v>
      </c>
      <c r="D21" s="28">
        <v>20</v>
      </c>
      <c r="E21" s="117">
        <f t="shared" si="0"/>
        <v>0.13793103448275862</v>
      </c>
      <c r="F21" s="28">
        <v>4</v>
      </c>
      <c r="G21" s="117">
        <f t="shared" si="1"/>
        <v>0.10810810810810811</v>
      </c>
      <c r="H21" s="28">
        <v>8</v>
      </c>
      <c r="I21" s="117">
        <v>8.4210526315789472E-2</v>
      </c>
      <c r="J21" s="144">
        <v>0</v>
      </c>
      <c r="K21" s="150">
        <f>H21*0</f>
        <v>0</v>
      </c>
      <c r="L21" s="128"/>
    </row>
    <row r="22" spans="2:14" x14ac:dyDescent="0.25">
      <c r="C22" s="118" t="s">
        <v>127</v>
      </c>
      <c r="D22" s="28">
        <v>4</v>
      </c>
      <c r="E22" s="117">
        <f t="shared" si="0"/>
        <v>2.7586206896551724E-2</v>
      </c>
      <c r="F22" s="28">
        <v>1</v>
      </c>
      <c r="G22" s="117">
        <f t="shared" si="1"/>
        <v>2.7027027027027029E-2</v>
      </c>
      <c r="H22" s="28">
        <v>5</v>
      </c>
      <c r="I22" s="117">
        <v>5.2631578947368418E-2</v>
      </c>
      <c r="J22" s="144">
        <v>0</v>
      </c>
      <c r="K22" s="150">
        <f>H22*0</f>
        <v>0</v>
      </c>
      <c r="L22" s="128"/>
    </row>
    <row r="23" spans="2:14" x14ac:dyDescent="0.25">
      <c r="C23" s="121" t="s">
        <v>128</v>
      </c>
      <c r="D23" s="122">
        <v>2</v>
      </c>
      <c r="E23" s="123">
        <f t="shared" si="0"/>
        <v>1.3793103448275862E-2</v>
      </c>
      <c r="F23" s="122">
        <v>0</v>
      </c>
      <c r="G23" s="123">
        <f t="shared" si="1"/>
        <v>0</v>
      </c>
      <c r="H23" s="122">
        <v>2</v>
      </c>
      <c r="I23" s="123">
        <v>2.1052631578947368E-2</v>
      </c>
      <c r="J23" s="147">
        <v>0</v>
      </c>
      <c r="K23" s="148">
        <v>0</v>
      </c>
      <c r="L23" s="128">
        <f>SUM(K20:K23)/SUM(H20:H23)</f>
        <v>5.8333333333333334E-2</v>
      </c>
    </row>
    <row r="24" spans="2:14" ht="15.75" x14ac:dyDescent="0.25">
      <c r="B24" s="132" t="s">
        <v>18</v>
      </c>
      <c r="C24" s="118" t="s">
        <v>129</v>
      </c>
      <c r="D24" s="28">
        <v>1</v>
      </c>
      <c r="E24" s="117">
        <f t="shared" si="0"/>
        <v>6.8965517241379309E-3</v>
      </c>
      <c r="F24" s="28">
        <v>0</v>
      </c>
      <c r="G24" s="117">
        <f t="shared" si="1"/>
        <v>0</v>
      </c>
      <c r="H24" s="28">
        <v>0</v>
      </c>
      <c r="I24" s="117">
        <v>0</v>
      </c>
      <c r="J24" s="144">
        <v>0</v>
      </c>
      <c r="K24" s="149" t="s">
        <v>56</v>
      </c>
      <c r="L24" s="128"/>
    </row>
    <row r="25" spans="2:14" x14ac:dyDescent="0.25">
      <c r="C25" s="118" t="s">
        <v>130</v>
      </c>
      <c r="D25" s="28">
        <v>1</v>
      </c>
      <c r="E25" s="117">
        <f t="shared" si="0"/>
        <v>6.8965517241379309E-3</v>
      </c>
      <c r="F25" s="28">
        <v>0</v>
      </c>
      <c r="G25" s="117">
        <f t="shared" si="1"/>
        <v>0</v>
      </c>
      <c r="H25" s="28">
        <v>0</v>
      </c>
      <c r="I25" s="117">
        <v>0</v>
      </c>
      <c r="J25" s="144">
        <v>0</v>
      </c>
      <c r="K25" s="149" t="s">
        <v>56</v>
      </c>
      <c r="L25" s="128"/>
    </row>
    <row r="26" spans="2:14" x14ac:dyDescent="0.25">
      <c r="C26" s="118" t="s">
        <v>131</v>
      </c>
      <c r="D26" s="28">
        <v>1</v>
      </c>
      <c r="E26" s="117">
        <f t="shared" si="0"/>
        <v>6.8965517241379309E-3</v>
      </c>
      <c r="F26" s="28">
        <v>0</v>
      </c>
      <c r="G26" s="117">
        <f t="shared" si="1"/>
        <v>0</v>
      </c>
      <c r="H26" s="28">
        <v>1</v>
      </c>
      <c r="I26" s="117">
        <v>1.0526315789473684E-2</v>
      </c>
      <c r="J26" s="144">
        <v>0</v>
      </c>
      <c r="K26" s="149">
        <v>0</v>
      </c>
      <c r="L26" s="128">
        <f>SUM(K24:K26)/SUM(H24:H26)</f>
        <v>0</v>
      </c>
    </row>
    <row r="27" spans="2:14" x14ac:dyDescent="0.25">
      <c r="J27" s="143"/>
    </row>
    <row r="30" spans="2:14" ht="15.75" thickBot="1" x14ac:dyDescent="0.3">
      <c r="D30" s="116" t="s">
        <v>135</v>
      </c>
      <c r="E30" s="116"/>
      <c r="F30" s="116" t="s">
        <v>136</v>
      </c>
      <c r="G30" s="88"/>
      <c r="H30" s="134" t="s">
        <v>137</v>
      </c>
    </row>
    <row r="31" spans="2:14" ht="55.5" customHeight="1" x14ac:dyDescent="0.25">
      <c r="C31" s="114" t="s">
        <v>132</v>
      </c>
      <c r="D31" s="125" t="s">
        <v>115</v>
      </c>
      <c r="E31" s="126"/>
      <c r="F31" s="125" t="s">
        <v>116</v>
      </c>
      <c r="G31" s="126"/>
      <c r="H31" s="125" t="s">
        <v>133</v>
      </c>
      <c r="I31" s="126" t="s">
        <v>134</v>
      </c>
      <c r="K31" s="136" t="s">
        <v>138</v>
      </c>
      <c r="L31" s="153" t="s">
        <v>144</v>
      </c>
      <c r="M31" s="20"/>
      <c r="N31" s="20"/>
    </row>
    <row r="32" spans="2:14" ht="15.75" x14ac:dyDescent="0.25">
      <c r="B32" s="130" t="s">
        <v>15</v>
      </c>
      <c r="C32" s="118" t="s">
        <v>117</v>
      </c>
      <c r="D32" s="28">
        <v>0</v>
      </c>
      <c r="E32" s="117"/>
      <c r="F32" s="28">
        <v>0</v>
      </c>
      <c r="G32" s="117"/>
      <c r="H32" s="28">
        <f>D32+F32</f>
        <v>0</v>
      </c>
      <c r="I32" s="117"/>
      <c r="K32" s="137"/>
    </row>
    <row r="33" spans="2:11" x14ac:dyDescent="0.25">
      <c r="C33" s="119" t="s">
        <v>118</v>
      </c>
      <c r="D33" s="28">
        <v>0</v>
      </c>
      <c r="E33" s="117"/>
      <c r="F33" s="28">
        <v>0</v>
      </c>
      <c r="G33" s="117"/>
      <c r="H33" s="28">
        <f t="shared" ref="H33:H46" si="2">D33+F33</f>
        <v>0</v>
      </c>
      <c r="I33" s="117"/>
      <c r="K33" s="137"/>
    </row>
    <row r="34" spans="2:11" x14ac:dyDescent="0.25">
      <c r="C34" s="118" t="s">
        <v>119</v>
      </c>
      <c r="D34" s="28">
        <v>0</v>
      </c>
      <c r="E34" s="117"/>
      <c r="F34" s="28">
        <v>0</v>
      </c>
      <c r="G34" s="117"/>
      <c r="H34" s="28">
        <f t="shared" si="2"/>
        <v>0</v>
      </c>
      <c r="I34" s="117"/>
      <c r="K34" s="137"/>
    </row>
    <row r="35" spans="2:11" x14ac:dyDescent="0.25">
      <c r="C35" s="121" t="s">
        <v>120</v>
      </c>
      <c r="D35" s="122">
        <v>0</v>
      </c>
      <c r="E35" s="123">
        <f>SUM(D32:D35)</f>
        <v>0</v>
      </c>
      <c r="F35" s="122">
        <v>0</v>
      </c>
      <c r="G35" s="123">
        <f>SUM(F32:F35)</f>
        <v>0</v>
      </c>
      <c r="H35" s="122">
        <f t="shared" si="2"/>
        <v>0</v>
      </c>
      <c r="I35" s="123"/>
      <c r="J35" s="135">
        <f>E35+G35</f>
        <v>0</v>
      </c>
      <c r="K35" s="138">
        <v>0</v>
      </c>
    </row>
    <row r="36" spans="2:11" ht="15.75" x14ac:dyDescent="0.25">
      <c r="B36" s="129" t="s">
        <v>16</v>
      </c>
      <c r="C36" s="118" t="s">
        <v>121</v>
      </c>
      <c r="D36" s="28">
        <v>4</v>
      </c>
      <c r="E36" s="117"/>
      <c r="F36" s="28">
        <v>0</v>
      </c>
      <c r="G36" s="117"/>
      <c r="H36" s="28">
        <f t="shared" si="2"/>
        <v>4</v>
      </c>
      <c r="I36" s="120">
        <f>D36/H36</f>
        <v>1</v>
      </c>
      <c r="J36" s="127"/>
      <c r="K36" s="137"/>
    </row>
    <row r="37" spans="2:11" x14ac:dyDescent="0.25">
      <c r="C37" s="118" t="s">
        <v>122</v>
      </c>
      <c r="D37" s="28">
        <v>8</v>
      </c>
      <c r="E37" s="117"/>
      <c r="F37" s="28">
        <v>3</v>
      </c>
      <c r="G37" s="117"/>
      <c r="H37" s="28">
        <f t="shared" si="2"/>
        <v>11</v>
      </c>
      <c r="I37" s="120">
        <f t="shared" ref="I37:I46" si="3">D37/H37</f>
        <v>0.72727272727272729</v>
      </c>
      <c r="J37" s="127"/>
      <c r="K37" s="139"/>
    </row>
    <row r="38" spans="2:11" x14ac:dyDescent="0.25">
      <c r="C38" s="118" t="s">
        <v>123</v>
      </c>
      <c r="D38" s="28">
        <v>27</v>
      </c>
      <c r="E38" s="117"/>
      <c r="F38" s="28">
        <v>10</v>
      </c>
      <c r="G38" s="117"/>
      <c r="H38" s="28">
        <f t="shared" si="2"/>
        <v>37</v>
      </c>
      <c r="I38" s="120">
        <f t="shared" si="3"/>
        <v>0.72972972972972971</v>
      </c>
      <c r="J38" s="127"/>
      <c r="K38" s="139"/>
    </row>
    <row r="39" spans="2:11" x14ac:dyDescent="0.25">
      <c r="C39" s="121" t="s">
        <v>124</v>
      </c>
      <c r="D39" s="122">
        <v>41</v>
      </c>
      <c r="E39" s="123">
        <f>SUM(D36:D39)</f>
        <v>80</v>
      </c>
      <c r="F39" s="122">
        <v>12</v>
      </c>
      <c r="G39" s="123">
        <f>SUM(F36:F39)</f>
        <v>25</v>
      </c>
      <c r="H39" s="122">
        <f>D39+F39</f>
        <v>53</v>
      </c>
      <c r="I39" s="124">
        <f>D39/H39</f>
        <v>0.77358490566037741</v>
      </c>
      <c r="J39" s="135">
        <f>E39+G39</f>
        <v>105</v>
      </c>
      <c r="K39" s="140">
        <f>E39/J39</f>
        <v>0.76190476190476186</v>
      </c>
    </row>
    <row r="40" spans="2:11" ht="15.75" x14ac:dyDescent="0.25">
      <c r="B40" s="131" t="s">
        <v>17</v>
      </c>
      <c r="C40" s="118" t="s">
        <v>125</v>
      </c>
      <c r="D40" s="28">
        <v>36</v>
      </c>
      <c r="E40" s="117"/>
      <c r="F40" s="28">
        <v>7</v>
      </c>
      <c r="G40" s="117"/>
      <c r="H40" s="28">
        <f t="shared" si="2"/>
        <v>43</v>
      </c>
      <c r="I40" s="120">
        <f t="shared" si="3"/>
        <v>0.83720930232558144</v>
      </c>
      <c r="J40" s="127"/>
      <c r="K40" s="139"/>
    </row>
    <row r="41" spans="2:11" x14ac:dyDescent="0.25">
      <c r="C41" s="118" t="s">
        <v>126</v>
      </c>
      <c r="D41" s="28">
        <v>20</v>
      </c>
      <c r="E41" s="117"/>
      <c r="F41" s="28">
        <v>4</v>
      </c>
      <c r="G41" s="117"/>
      <c r="H41" s="28">
        <f t="shared" si="2"/>
        <v>24</v>
      </c>
      <c r="I41" s="120">
        <f t="shared" si="3"/>
        <v>0.83333333333333337</v>
      </c>
      <c r="J41" s="127"/>
      <c r="K41" s="139"/>
    </row>
    <row r="42" spans="2:11" x14ac:dyDescent="0.25">
      <c r="C42" s="118" t="s">
        <v>127</v>
      </c>
      <c r="D42" s="28">
        <v>4</v>
      </c>
      <c r="E42" s="117"/>
      <c r="F42" s="28">
        <v>1</v>
      </c>
      <c r="G42" s="117"/>
      <c r="H42" s="28">
        <f t="shared" si="2"/>
        <v>5</v>
      </c>
      <c r="I42" s="120">
        <f t="shared" si="3"/>
        <v>0.8</v>
      </c>
      <c r="J42" s="127"/>
      <c r="K42" s="139"/>
    </row>
    <row r="43" spans="2:11" x14ac:dyDescent="0.25">
      <c r="C43" s="121" t="s">
        <v>128</v>
      </c>
      <c r="D43" s="122">
        <v>2</v>
      </c>
      <c r="E43" s="123">
        <f>SUM(D40:D43)</f>
        <v>62</v>
      </c>
      <c r="F43" s="122">
        <v>0</v>
      </c>
      <c r="G43" s="123">
        <f>SUM(F40:F43)</f>
        <v>12</v>
      </c>
      <c r="H43" s="122">
        <f t="shared" si="2"/>
        <v>2</v>
      </c>
      <c r="I43" s="124">
        <f t="shared" si="3"/>
        <v>1</v>
      </c>
      <c r="J43" s="135">
        <f>E43+G43</f>
        <v>74</v>
      </c>
      <c r="K43" s="141">
        <f>E43/J43</f>
        <v>0.83783783783783783</v>
      </c>
    </row>
    <row r="44" spans="2:11" ht="15.75" x14ac:dyDescent="0.25">
      <c r="B44" s="132" t="s">
        <v>18</v>
      </c>
      <c r="C44" s="118" t="s">
        <v>129</v>
      </c>
      <c r="D44" s="28">
        <v>1</v>
      </c>
      <c r="E44" s="117"/>
      <c r="F44" s="28">
        <v>0</v>
      </c>
      <c r="G44" s="117"/>
      <c r="H44" s="28">
        <f t="shared" si="2"/>
        <v>1</v>
      </c>
      <c r="I44" s="120">
        <f t="shared" si="3"/>
        <v>1</v>
      </c>
      <c r="J44" s="127"/>
      <c r="K44" s="139"/>
    </row>
    <row r="45" spans="2:11" x14ac:dyDescent="0.25">
      <c r="C45" s="118" t="s">
        <v>130</v>
      </c>
      <c r="D45" s="28">
        <v>1</v>
      </c>
      <c r="E45" s="117"/>
      <c r="F45" s="28">
        <v>0</v>
      </c>
      <c r="G45" s="117"/>
      <c r="H45" s="28">
        <f t="shared" si="2"/>
        <v>1</v>
      </c>
      <c r="I45" s="120">
        <f t="shared" si="3"/>
        <v>1</v>
      </c>
      <c r="J45" s="127"/>
      <c r="K45" s="139"/>
    </row>
    <row r="46" spans="2:11" ht="15.75" thickBot="1" x14ac:dyDescent="0.3">
      <c r="C46" s="121" t="s">
        <v>131</v>
      </c>
      <c r="D46" s="122">
        <v>1</v>
      </c>
      <c r="E46" s="123">
        <f>SUM(D44:D46)</f>
        <v>3</v>
      </c>
      <c r="F46" s="122">
        <v>0</v>
      </c>
      <c r="G46" s="123">
        <f>SUM(F44:F46)</f>
        <v>0</v>
      </c>
      <c r="H46" s="122">
        <f t="shared" si="2"/>
        <v>1</v>
      </c>
      <c r="I46" s="124">
        <f t="shared" si="3"/>
        <v>1</v>
      </c>
      <c r="J46" s="135">
        <f>E46+G46</f>
        <v>3</v>
      </c>
      <c r="K46" s="142">
        <f>E46/J46</f>
        <v>1</v>
      </c>
    </row>
    <row r="47" spans="2:11" x14ac:dyDescent="0.25">
      <c r="J47" s="127"/>
    </row>
    <row r="48" spans="2:11" x14ac:dyDescent="0.25">
      <c r="J48" s="127"/>
    </row>
    <row r="49" spans="10:10" x14ac:dyDescent="0.25">
      <c r="J49" s="127"/>
    </row>
    <row r="50" spans="10:10" x14ac:dyDescent="0.25">
      <c r="J50" s="127"/>
    </row>
  </sheetData>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ED08-DE5F-46C8-B2C5-EAA60C029D2E}">
  <dimension ref="C3:X29"/>
  <sheetViews>
    <sheetView zoomScale="80" zoomScaleNormal="80" workbookViewId="0">
      <selection activeCell="M21" sqref="M21"/>
    </sheetView>
  </sheetViews>
  <sheetFormatPr defaultRowHeight="15" x14ac:dyDescent="0.25"/>
  <cols>
    <col min="3" max="3" width="24.7109375" customWidth="1"/>
    <col min="4" max="4" width="13.85546875" customWidth="1"/>
    <col min="5" max="5" width="13.28515625" customWidth="1"/>
    <col min="6" max="6" width="13" customWidth="1"/>
    <col min="7" max="7" width="16.5703125" customWidth="1"/>
    <col min="8" max="8" width="26.140625" customWidth="1"/>
    <col min="11" max="11" width="22.7109375" customWidth="1"/>
    <col min="13" max="13" width="9.140625" customWidth="1"/>
    <col min="15" max="15" width="9.140625" customWidth="1"/>
    <col min="17" max="17" width="9.140625" customWidth="1"/>
    <col min="19" max="19" width="9.140625" customWidth="1"/>
  </cols>
  <sheetData>
    <row r="3" spans="3:24" x14ac:dyDescent="0.25">
      <c r="K3" t="s">
        <v>172</v>
      </c>
    </row>
    <row r="5" spans="3:24" ht="23.25" x14ac:dyDescent="0.35">
      <c r="C5" s="25" t="s">
        <v>39</v>
      </c>
      <c r="D5" s="26"/>
      <c r="E5" s="26"/>
      <c r="F5" s="26"/>
      <c r="G5" s="26"/>
      <c r="H5" s="27"/>
      <c r="L5" t="s">
        <v>175</v>
      </c>
    </row>
    <row r="6" spans="3:24" x14ac:dyDescent="0.25">
      <c r="C6" s="28"/>
      <c r="D6" s="29" t="s">
        <v>40</v>
      </c>
      <c r="E6" s="29" t="s">
        <v>41</v>
      </c>
      <c r="F6" s="29" t="s">
        <v>42</v>
      </c>
      <c r="G6" s="29" t="s">
        <v>43</v>
      </c>
      <c r="H6" s="30" t="s">
        <v>44</v>
      </c>
      <c r="L6" s="234" t="s">
        <v>174</v>
      </c>
      <c r="M6" s="234"/>
      <c r="N6" s="234" t="s">
        <v>176</v>
      </c>
      <c r="O6" s="234"/>
      <c r="P6" s="234" t="s">
        <v>177</v>
      </c>
      <c r="Q6" s="234"/>
      <c r="R6" s="234" t="s">
        <v>178</v>
      </c>
      <c r="S6" s="234"/>
    </row>
    <row r="7" spans="3:24" ht="30" x14ac:dyDescent="0.25">
      <c r="C7" s="31" t="s">
        <v>45</v>
      </c>
      <c r="D7" s="32">
        <v>35</v>
      </c>
      <c r="E7" s="32">
        <v>45</v>
      </c>
      <c r="F7" s="32">
        <v>44</v>
      </c>
      <c r="G7" s="32">
        <v>38</v>
      </c>
      <c r="H7" s="33">
        <v>40</v>
      </c>
      <c r="L7" t="s">
        <v>154</v>
      </c>
      <c r="M7" t="s">
        <v>179</v>
      </c>
      <c r="N7" t="s">
        <v>154</v>
      </c>
      <c r="O7" t="s">
        <v>179</v>
      </c>
      <c r="P7" t="s">
        <v>154</v>
      </c>
      <c r="Q7" t="s">
        <v>179</v>
      </c>
      <c r="R7" t="s">
        <v>154</v>
      </c>
      <c r="S7" t="s">
        <v>179</v>
      </c>
      <c r="U7" s="74"/>
      <c r="V7" s="74"/>
      <c r="W7" s="106"/>
      <c r="X7" s="74"/>
    </row>
    <row r="8" spans="3:24" ht="15.75" x14ac:dyDescent="0.25">
      <c r="C8" s="34" t="s">
        <v>46</v>
      </c>
      <c r="D8" s="35"/>
      <c r="E8" s="35"/>
      <c r="F8" s="35"/>
      <c r="G8" s="35"/>
      <c r="H8" s="36"/>
      <c r="K8" t="s">
        <v>173</v>
      </c>
      <c r="L8">
        <v>1</v>
      </c>
      <c r="M8">
        <v>0</v>
      </c>
      <c r="N8">
        <v>25</v>
      </c>
      <c r="O8">
        <v>0</v>
      </c>
      <c r="P8">
        <v>9</v>
      </c>
      <c r="Q8">
        <v>2</v>
      </c>
      <c r="R8">
        <v>0</v>
      </c>
      <c r="S8">
        <v>0</v>
      </c>
      <c r="U8" s="204"/>
      <c r="V8" s="204"/>
      <c r="W8" s="204"/>
      <c r="X8" s="204"/>
    </row>
    <row r="9" spans="3:24" x14ac:dyDescent="0.25">
      <c r="C9" s="37" t="s">
        <v>47</v>
      </c>
      <c r="D9" s="35">
        <v>1</v>
      </c>
      <c r="E9" s="35">
        <v>0</v>
      </c>
      <c r="F9" s="35">
        <v>0</v>
      </c>
      <c r="G9" s="35">
        <v>1</v>
      </c>
      <c r="H9" s="36">
        <v>0</v>
      </c>
      <c r="K9" s="203" t="s">
        <v>78</v>
      </c>
      <c r="L9">
        <v>27</v>
      </c>
      <c r="M9">
        <v>0</v>
      </c>
      <c r="N9">
        <f>51+73</f>
        <v>124</v>
      </c>
      <c r="O9">
        <v>15</v>
      </c>
      <c r="P9">
        <v>46</v>
      </c>
      <c r="Q9">
        <v>16</v>
      </c>
      <c r="R9">
        <v>0</v>
      </c>
      <c r="S9">
        <v>0</v>
      </c>
    </row>
    <row r="10" spans="3:24" x14ac:dyDescent="0.25">
      <c r="C10" s="37" t="s">
        <v>48</v>
      </c>
      <c r="D10" s="35">
        <v>2</v>
      </c>
      <c r="E10" s="35">
        <v>14</v>
      </c>
      <c r="F10" s="35">
        <v>1</v>
      </c>
      <c r="G10" s="35">
        <v>0</v>
      </c>
      <c r="H10" s="36">
        <v>0</v>
      </c>
    </row>
    <row r="11" spans="3:24" x14ac:dyDescent="0.25">
      <c r="C11" s="37" t="s">
        <v>49</v>
      </c>
      <c r="D11" s="35">
        <v>23</v>
      </c>
      <c r="E11" s="35">
        <v>20</v>
      </c>
      <c r="F11" s="35">
        <v>29</v>
      </c>
      <c r="G11" s="35">
        <v>25</v>
      </c>
      <c r="H11" s="36">
        <v>11</v>
      </c>
    </row>
    <row r="12" spans="3:24" x14ac:dyDescent="0.25">
      <c r="C12" s="37" t="s">
        <v>170</v>
      </c>
      <c r="D12" s="35">
        <v>9</v>
      </c>
      <c r="E12" s="35">
        <v>11</v>
      </c>
      <c r="F12" s="35">
        <v>14</v>
      </c>
      <c r="G12" s="35">
        <v>12</v>
      </c>
      <c r="H12" s="36">
        <v>29</v>
      </c>
    </row>
    <row r="13" spans="3:24" x14ac:dyDescent="0.25">
      <c r="C13" s="28"/>
      <c r="D13" s="35"/>
      <c r="E13" s="35"/>
      <c r="F13" s="35"/>
      <c r="G13" s="35"/>
      <c r="H13" s="36"/>
    </row>
    <row r="14" spans="3:24" x14ac:dyDescent="0.25">
      <c r="C14" s="38" t="s">
        <v>51</v>
      </c>
      <c r="D14" s="39"/>
      <c r="E14" s="39"/>
      <c r="F14" s="39"/>
      <c r="G14" s="39"/>
      <c r="H14" s="40"/>
    </row>
    <row r="15" spans="3:24" x14ac:dyDescent="0.25">
      <c r="C15" s="28"/>
      <c r="D15" s="29" t="s">
        <v>40</v>
      </c>
      <c r="E15" s="29" t="s">
        <v>41</v>
      </c>
      <c r="F15" s="29" t="s">
        <v>42</v>
      </c>
      <c r="G15" s="29" t="s">
        <v>43</v>
      </c>
      <c r="H15" s="30" t="s">
        <v>44</v>
      </c>
    </row>
    <row r="16" spans="3:24" x14ac:dyDescent="0.25">
      <c r="C16" s="34" t="s">
        <v>46</v>
      </c>
      <c r="D16" s="35"/>
      <c r="E16" s="35"/>
      <c r="F16" s="35"/>
      <c r="G16" s="35"/>
      <c r="H16" s="36"/>
    </row>
    <row r="17" spans="3:8" x14ac:dyDescent="0.25">
      <c r="C17" s="37" t="s">
        <v>47</v>
      </c>
      <c r="D17" s="35">
        <v>0</v>
      </c>
      <c r="E17" s="35">
        <v>0</v>
      </c>
      <c r="F17" s="35">
        <v>0</v>
      </c>
      <c r="G17" s="35">
        <v>1</v>
      </c>
      <c r="H17" s="36">
        <v>0</v>
      </c>
    </row>
    <row r="18" spans="3:8" x14ac:dyDescent="0.25">
      <c r="C18" s="37" t="s">
        <v>48</v>
      </c>
      <c r="D18" s="35">
        <v>0</v>
      </c>
      <c r="E18" s="35">
        <v>1</v>
      </c>
      <c r="F18" s="35">
        <v>0</v>
      </c>
      <c r="G18" s="35">
        <v>0</v>
      </c>
      <c r="H18" s="36">
        <v>0</v>
      </c>
    </row>
    <row r="19" spans="3:8" x14ac:dyDescent="0.25">
      <c r="C19" s="37" t="s">
        <v>49</v>
      </c>
      <c r="D19" s="35">
        <v>0</v>
      </c>
      <c r="E19" s="35">
        <v>0</v>
      </c>
      <c r="F19" s="35">
        <v>1</v>
      </c>
      <c r="G19" s="35">
        <v>4</v>
      </c>
      <c r="H19" s="36">
        <v>5</v>
      </c>
    </row>
    <row r="20" spans="3:8" x14ac:dyDescent="0.25">
      <c r="C20" s="37" t="s">
        <v>50</v>
      </c>
      <c r="D20" s="35">
        <v>2</v>
      </c>
      <c r="E20" s="35">
        <v>3</v>
      </c>
      <c r="F20" s="35">
        <v>2</v>
      </c>
      <c r="G20" s="35">
        <v>6</v>
      </c>
      <c r="H20" s="36">
        <v>19</v>
      </c>
    </row>
    <row r="21" spans="3:8" x14ac:dyDescent="0.25">
      <c r="C21" s="28"/>
      <c r="D21" s="35"/>
      <c r="E21" s="35"/>
      <c r="F21" s="35"/>
      <c r="G21" s="35"/>
      <c r="H21" s="36"/>
    </row>
    <row r="22" spans="3:8" x14ac:dyDescent="0.25">
      <c r="C22" s="41" t="s">
        <v>52</v>
      </c>
      <c r="D22" s="42"/>
      <c r="E22" s="42"/>
      <c r="F22" s="42"/>
      <c r="G22" s="42"/>
      <c r="H22" s="43"/>
    </row>
    <row r="23" spans="3:8" x14ac:dyDescent="0.25">
      <c r="C23" s="28"/>
      <c r="D23" s="29" t="s">
        <v>40</v>
      </c>
      <c r="E23" s="29" t="s">
        <v>41</v>
      </c>
      <c r="F23" s="29" t="s">
        <v>42</v>
      </c>
      <c r="G23" s="29" t="s">
        <v>43</v>
      </c>
      <c r="H23" s="30" t="s">
        <v>44</v>
      </c>
    </row>
    <row r="24" spans="3:8" x14ac:dyDescent="0.25">
      <c r="C24" s="34" t="s">
        <v>46</v>
      </c>
      <c r="D24" s="35"/>
      <c r="E24" s="35"/>
      <c r="F24" s="35"/>
      <c r="G24" s="35"/>
      <c r="H24" s="36"/>
    </row>
    <row r="25" spans="3:8" x14ac:dyDescent="0.25">
      <c r="C25" s="37" t="s">
        <v>47</v>
      </c>
      <c r="D25" s="44">
        <f t="shared" ref="D25:H28" si="0">D17/D$7</f>
        <v>0</v>
      </c>
      <c r="E25" s="44">
        <f t="shared" si="0"/>
        <v>0</v>
      </c>
      <c r="F25" s="44">
        <f t="shared" si="0"/>
        <v>0</v>
      </c>
      <c r="G25" s="44">
        <f t="shared" si="0"/>
        <v>2.6315789473684209E-2</v>
      </c>
      <c r="H25" s="45">
        <f t="shared" si="0"/>
        <v>0</v>
      </c>
    </row>
    <row r="26" spans="3:8" x14ac:dyDescent="0.25">
      <c r="C26" s="37" t="s">
        <v>48</v>
      </c>
      <c r="D26" s="44">
        <f t="shared" si="0"/>
        <v>0</v>
      </c>
      <c r="E26" s="44">
        <f t="shared" si="0"/>
        <v>2.2222222222222223E-2</v>
      </c>
      <c r="F26" s="44">
        <f t="shared" si="0"/>
        <v>0</v>
      </c>
      <c r="G26" s="44">
        <f t="shared" si="0"/>
        <v>0</v>
      </c>
      <c r="H26" s="45">
        <f t="shared" si="0"/>
        <v>0</v>
      </c>
    </row>
    <row r="27" spans="3:8" x14ac:dyDescent="0.25">
      <c r="C27" s="37" t="s">
        <v>49</v>
      </c>
      <c r="D27" s="44">
        <f t="shared" si="0"/>
        <v>0</v>
      </c>
      <c r="E27" s="44">
        <f t="shared" si="0"/>
        <v>0</v>
      </c>
      <c r="F27" s="44">
        <f t="shared" si="0"/>
        <v>2.2727272727272728E-2</v>
      </c>
      <c r="G27" s="44">
        <f t="shared" si="0"/>
        <v>0.10526315789473684</v>
      </c>
      <c r="H27" s="45">
        <f t="shared" si="0"/>
        <v>0.125</v>
      </c>
    </row>
    <row r="28" spans="3:8" x14ac:dyDescent="0.25">
      <c r="C28" s="46" t="s">
        <v>50</v>
      </c>
      <c r="D28" s="47">
        <f t="shared" si="0"/>
        <v>5.7142857142857141E-2</v>
      </c>
      <c r="E28" s="47">
        <f t="shared" si="0"/>
        <v>6.6666666666666666E-2</v>
      </c>
      <c r="F28" s="47">
        <f t="shared" si="0"/>
        <v>4.5454545454545456E-2</v>
      </c>
      <c r="G28" s="47">
        <f t="shared" si="0"/>
        <v>0.15789473684210525</v>
      </c>
      <c r="H28" s="48">
        <f t="shared" si="0"/>
        <v>0.47499999999999998</v>
      </c>
    </row>
    <row r="29" spans="3:8" x14ac:dyDescent="0.25">
      <c r="D29" s="201">
        <f>D20/D12</f>
        <v>0.22222222222222221</v>
      </c>
    </row>
  </sheetData>
  <mergeCells count="4">
    <mergeCell ref="L6:M6"/>
    <mergeCell ref="N6:O6"/>
    <mergeCell ref="P6:Q6"/>
    <mergeCell ref="R6:S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417B-F311-4C24-B731-708178C73AC7}">
  <dimension ref="M10:O18"/>
  <sheetViews>
    <sheetView workbookViewId="0">
      <selection activeCell="G46" sqref="G46"/>
    </sheetView>
  </sheetViews>
  <sheetFormatPr defaultRowHeight="15" x14ac:dyDescent="0.25"/>
  <cols>
    <col min="13" max="13" width="22" customWidth="1"/>
    <col min="14" max="14" width="13.85546875" customWidth="1"/>
    <col min="15" max="15" width="17.85546875" customWidth="1"/>
  </cols>
  <sheetData>
    <row r="10" spans="13:15" ht="15.75" x14ac:dyDescent="0.25">
      <c r="M10" s="235" t="s">
        <v>68</v>
      </c>
      <c r="N10" s="235"/>
      <c r="O10" s="235"/>
    </row>
    <row r="11" spans="13:15" x14ac:dyDescent="0.25">
      <c r="M11" s="54" t="s">
        <v>69</v>
      </c>
      <c r="N11" s="236" t="s">
        <v>70</v>
      </c>
      <c r="O11" s="236"/>
    </row>
    <row r="12" spans="13:15" x14ac:dyDescent="0.25">
      <c r="M12" s="55" t="s">
        <v>71</v>
      </c>
      <c r="N12" s="56">
        <v>0.2487</v>
      </c>
      <c r="O12" s="57">
        <v>48</v>
      </c>
    </row>
    <row r="13" spans="13:15" x14ac:dyDescent="0.25">
      <c r="M13" s="55" t="s">
        <v>72</v>
      </c>
      <c r="N13" s="56">
        <v>0.19170000000000001</v>
      </c>
      <c r="O13" s="57">
        <v>37</v>
      </c>
    </row>
    <row r="14" spans="13:15" x14ac:dyDescent="0.25">
      <c r="M14" s="55" t="s">
        <v>73</v>
      </c>
      <c r="N14" s="56">
        <v>0.47149999999999997</v>
      </c>
      <c r="O14" s="57">
        <v>91</v>
      </c>
    </row>
    <row r="15" spans="13:15" x14ac:dyDescent="0.25">
      <c r="M15" s="55" t="s">
        <v>74</v>
      </c>
      <c r="N15" s="56">
        <v>8.2900000000000001E-2</v>
      </c>
      <c r="O15" s="57">
        <v>16</v>
      </c>
    </row>
    <row r="16" spans="13:15" x14ac:dyDescent="0.25">
      <c r="M16" s="55" t="s">
        <v>75</v>
      </c>
      <c r="N16" s="56">
        <v>5.1999999999999998E-3</v>
      </c>
      <c r="O16" s="57">
        <v>1</v>
      </c>
    </row>
    <row r="17" spans="14:15" x14ac:dyDescent="0.25">
      <c r="N17" s="58" t="s">
        <v>76</v>
      </c>
      <c r="O17" s="59">
        <v>193</v>
      </c>
    </row>
    <row r="18" spans="14:15" x14ac:dyDescent="0.25">
      <c r="N18" s="58" t="s">
        <v>77</v>
      </c>
      <c r="O18" s="59">
        <v>207</v>
      </c>
    </row>
  </sheetData>
  <mergeCells count="2">
    <mergeCell ref="M10:O10"/>
    <mergeCell ref="N11:O1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6B216-7549-416F-9EEA-CBC84A372E7D}">
  <dimension ref="A4:D19"/>
  <sheetViews>
    <sheetView topLeftCell="A20" workbookViewId="0">
      <selection activeCell="B30" sqref="B30"/>
    </sheetView>
  </sheetViews>
  <sheetFormatPr defaultRowHeight="15" x14ac:dyDescent="0.25"/>
  <cols>
    <col min="1" max="17" width="131.5703125" customWidth="1"/>
  </cols>
  <sheetData>
    <row r="4" spans="1:2" x14ac:dyDescent="0.25">
      <c r="A4" s="50" t="s">
        <v>60</v>
      </c>
    </row>
    <row r="5" spans="1:2" ht="30" x14ac:dyDescent="0.25">
      <c r="A5" s="51" t="s">
        <v>61</v>
      </c>
    </row>
    <row r="6" spans="1:2" ht="30" x14ac:dyDescent="0.25">
      <c r="A6" s="51" t="s">
        <v>62</v>
      </c>
    </row>
    <row r="7" spans="1:2" ht="30" x14ac:dyDescent="0.25">
      <c r="A7" s="51" t="s">
        <v>63</v>
      </c>
    </row>
    <row r="8" spans="1:2" ht="30" x14ac:dyDescent="0.25">
      <c r="A8" s="51" t="s">
        <v>64</v>
      </c>
    </row>
    <row r="9" spans="1:2" ht="25.5" x14ac:dyDescent="0.25">
      <c r="A9" s="52" t="s">
        <v>65</v>
      </c>
    </row>
    <row r="11" spans="1:2" x14ac:dyDescent="0.25">
      <c r="A11" s="53" t="s">
        <v>65</v>
      </c>
    </row>
    <row r="12" spans="1:2" x14ac:dyDescent="0.25">
      <c r="A12" s="53" t="s">
        <v>66</v>
      </c>
    </row>
    <row r="15" spans="1:2" x14ac:dyDescent="0.25">
      <c r="A15" t="s">
        <v>67</v>
      </c>
    </row>
    <row r="16" spans="1:2" x14ac:dyDescent="0.25">
      <c r="B16" t="s">
        <v>106</v>
      </c>
    </row>
    <row r="17" spans="2:4" x14ac:dyDescent="0.25">
      <c r="B17" s="89" t="s">
        <v>35</v>
      </c>
      <c r="C17" s="89"/>
      <c r="D17" s="89"/>
    </row>
    <row r="18" spans="2:4" x14ac:dyDescent="0.25">
      <c r="B18" s="89" t="s">
        <v>36</v>
      </c>
      <c r="C18" s="89"/>
      <c r="D18" s="89"/>
    </row>
    <row r="19" spans="2:4" x14ac:dyDescent="0.25">
      <c r="B19" s="89" t="s">
        <v>37</v>
      </c>
      <c r="C19" s="89"/>
      <c r="D19" s="89"/>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5B7F3-31AC-4A34-895E-197FFE67DDA0}">
  <dimension ref="B4:B9"/>
  <sheetViews>
    <sheetView workbookViewId="0">
      <selection activeCell="B40" sqref="B40"/>
    </sheetView>
  </sheetViews>
  <sheetFormatPr defaultRowHeight="15" x14ac:dyDescent="0.25"/>
  <cols>
    <col min="2" max="2" width="133.28515625" customWidth="1"/>
  </cols>
  <sheetData>
    <row r="4" spans="2:2" x14ac:dyDescent="0.25">
      <c r="B4" t="s">
        <v>59</v>
      </c>
    </row>
    <row r="5" spans="2:2" ht="102.95" customHeight="1" x14ac:dyDescent="0.25">
      <c r="B5" s="49" t="s">
        <v>25</v>
      </c>
    </row>
    <row r="6" spans="2:2" x14ac:dyDescent="0.25">
      <c r="B6" s="49"/>
    </row>
    <row r="7" spans="2:2" ht="84.6" customHeight="1" x14ac:dyDescent="0.25">
      <c r="B7" s="49" t="s">
        <v>26</v>
      </c>
    </row>
    <row r="8" spans="2:2" x14ac:dyDescent="0.25">
      <c r="B8" s="49"/>
    </row>
    <row r="9" spans="2:2" ht="94.5" customHeight="1" x14ac:dyDescent="0.25">
      <c r="B9" s="49" t="s">
        <v>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rates</vt:lpstr>
      <vt:lpstr>tables</vt:lpstr>
      <vt:lpstr>condensed tables</vt:lpstr>
      <vt:lpstr>lit data</vt:lpstr>
      <vt:lpstr>PWS Hoch studies</vt:lpstr>
      <vt:lpstr>PWS Blain sub study</vt:lpstr>
      <vt:lpstr>Ragan info</vt:lpstr>
      <vt:lpstr>literature</vt:lpstr>
      <vt:lpstr>Hazzy email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Schuster, Martin D (DFG)</dc:creator>
  <cp:lastModifiedBy>St Saviour, Adam B (DFG)</cp:lastModifiedBy>
  <dcterms:created xsi:type="dcterms:W3CDTF">2020-12-31T17:36:07Z</dcterms:created>
  <dcterms:modified xsi:type="dcterms:W3CDTF">2021-04-26T17:58:48Z</dcterms:modified>
</cp:coreProperties>
</file>